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160" yWindow="2535" windowWidth="15600" windowHeight="8790" tabRatio="719" activeTab="5"/>
  </bookViews>
  <sheets>
    <sheet name="FORMASI KARYAWAN JANUARI" sheetId="74" r:id="rId1"/>
    <sheet name="Rekap Usia Mrt" sheetId="98" r:id="rId2"/>
    <sheet name="Rekap Th Pensiun New" sheetId="97" r:id="rId3"/>
    <sheet name="Sheet17" sheetId="119" r:id="rId4"/>
    <sheet name="Sheet18" sheetId="120" r:id="rId5"/>
    <sheet name="Pivot tabel" sheetId="107" r:id="rId6"/>
    <sheet name="MASTER" sheetId="103" r:id="rId7"/>
    <sheet name="ALAMAT" sheetId="59" r:id="rId8"/>
    <sheet name="DATA KARYAWAN &amp; ALAMAT" sheetId="1" r:id="rId9"/>
    <sheet name="GRADE" sheetId="24" r:id="rId10"/>
    <sheet name="STATUS" sheetId="26" r:id="rId11"/>
    <sheet name="JENIS KELAMIN" sheetId="31" r:id="rId12"/>
    <sheet name="GRAFIK KARY OPS &amp; NON OPS" sheetId="66" r:id="rId13"/>
    <sheet name="GRAFIK PER DEPT" sheetId="65" r:id="rId14"/>
    <sheet name="GRAFIK PER SEKSI" sheetId="48" r:id="rId15"/>
    <sheet name="GRAFIK GT MUKTI" sheetId="47" r:id="rId16"/>
    <sheet name="GRAFIK GT MANYAR" sheetId="46" r:id="rId17"/>
    <sheet name="GRAFIK PENDIDIKAN" sheetId="70" r:id="rId18"/>
    <sheet name="GRAFIK JENIS KELAMIN" sheetId="44" r:id="rId19"/>
    <sheet name="GRAFIK AGAMA" sheetId="68" r:id="rId20"/>
    <sheet name="GRAFIK USIA" sheetId="69" r:id="rId21"/>
    <sheet name="GRAFIK KARY TETAP &amp; TDK TETAP" sheetId="71" r:id="rId22"/>
    <sheet name="JUMLAH KARYAWAN" sheetId="21" r:id="rId23"/>
    <sheet name="OS" sheetId="23" r:id="rId24"/>
    <sheet name="JLO" sheetId="104" r:id="rId25"/>
    <sheet name="OS1" sheetId="50" r:id="rId26"/>
    <sheet name="REKAP CUTI, PENSIUN DLL" sheetId="63" r:id="rId27"/>
    <sheet name="Sheet5" sheetId="52" r:id="rId28"/>
    <sheet name="Sheet1" sheetId="57" r:id="rId29"/>
    <sheet name="KARYAWAN KONTRAK" sheetId="62" r:id="rId30"/>
  </sheets>
  <definedNames>
    <definedName name="_xlnm._FilterDatabase" localSheetId="8" hidden="1">'DATA KARYAWAN &amp; ALAMAT'!$A$10:$U$153</definedName>
    <definedName name="_xlnm._FilterDatabase" localSheetId="6" hidden="1">MASTER!$N$7:$N$135</definedName>
    <definedName name="_xlnm._FilterDatabase" localSheetId="23" hidden="1">OS!$A$48:$Q$61</definedName>
    <definedName name="_xlnm._FilterDatabase" localSheetId="25" hidden="1">'OS1'!$A$4:$WVY$46</definedName>
    <definedName name="_xlnm._FilterDatabase" localSheetId="5" hidden="1">'Pivot tabel'!$A$7:$U$126</definedName>
    <definedName name="_xlnm.Print_Area" localSheetId="8">'DATA KARYAWAN &amp; ALAMAT'!$A$1:$U$164</definedName>
    <definedName name="_xlnm.Print_Area" localSheetId="9">GRADE!$A$1:$S$38</definedName>
    <definedName name="_xlnm.Print_Area" localSheetId="11">'JENIS KELAMIN'!$A$1:$I$44</definedName>
    <definedName name="_xlnm.Print_Area" localSheetId="22">'JUMLAH KARYAWAN'!$A$1:$L$23</definedName>
    <definedName name="_xlnm.Print_Area" localSheetId="23">OS!$A$1:$N$62</definedName>
    <definedName name="_xlnm.Print_Area" localSheetId="25">'OS1'!$B$1:$Q$55</definedName>
    <definedName name="_xlnm.Print_Area" localSheetId="5">'Pivot tabel'!$A$1:$U$137</definedName>
    <definedName name="_xlnm.Print_Area" localSheetId="26">'REKAP CUTI, PENSIUN DLL'!$A$1:$H$44</definedName>
    <definedName name="_xlnm.Print_Area" localSheetId="10">STATUS!$A$1:$R$56</definedName>
    <definedName name="_xlnm.Print_Titles" localSheetId="8">'DATA KARYAWAN &amp; ALAMAT'!$1:$6</definedName>
    <definedName name="_xlnm.Print_Titles" localSheetId="0">'FORMASI KARYAWAN JANUARI'!$1:$8</definedName>
    <definedName name="_xlnm.Print_Titles" localSheetId="25">'OS1'!$4:$4</definedName>
    <definedName name="_xlnm.Print_Titles" localSheetId="5">'Pivot tabel'!$1:$5</definedName>
    <definedName name="_xlnm.Print_Titles" localSheetId="10">STATUS!$1:$8</definedName>
  </definedNames>
  <calcPr calcId="124519"/>
  <pivotCaches>
    <pivotCache cacheId="0" r:id="rId31"/>
  </pivotCaches>
</workbook>
</file>

<file path=xl/calcChain.xml><?xml version="1.0" encoding="utf-8"?>
<calcChain xmlns="http://schemas.openxmlformats.org/spreadsheetml/2006/main">
  <c r="H23" i="31"/>
  <c r="H34" s="1"/>
  <c r="H33"/>
  <c r="C30" i="26"/>
  <c r="C29"/>
  <c r="C28"/>
  <c r="C20"/>
  <c r="C22"/>
  <c r="N16"/>
  <c r="N15"/>
  <c r="N17" s="1"/>
  <c r="Q11"/>
  <c r="Q12" s="1"/>
  <c r="N23"/>
  <c r="N21"/>
  <c r="N24" s="1"/>
  <c r="N27"/>
  <c r="C27" s="1"/>
  <c r="C32" s="1"/>
  <c r="C29" i="31"/>
  <c r="M56" i="26"/>
  <c r="O56"/>
  <c r="Q56"/>
  <c r="P56"/>
  <c r="C55"/>
  <c r="C56" s="1"/>
  <c r="S40"/>
  <c r="O36" i="24"/>
  <c r="O34"/>
  <c r="O27"/>
  <c r="O14"/>
  <c r="D22"/>
  <c r="D20" i="97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C20"/>
  <c r="W8"/>
  <c r="W9"/>
  <c r="W10"/>
  <c r="W11"/>
  <c r="W12"/>
  <c r="W13"/>
  <c r="W14"/>
  <c r="W15"/>
  <c r="W16"/>
  <c r="W17"/>
  <c r="W18"/>
  <c r="W19"/>
  <c r="W7"/>
  <c r="U124" i="107"/>
  <c r="T124"/>
  <c r="S124"/>
  <c r="R124"/>
  <c r="Q124"/>
  <c r="P124"/>
  <c r="N124"/>
  <c r="Y124" s="1"/>
  <c r="K124"/>
  <c r="X124" s="1"/>
  <c r="J124"/>
  <c r="I124"/>
  <c r="H124"/>
  <c r="G124"/>
  <c r="C124"/>
  <c r="U123"/>
  <c r="T123"/>
  <c r="S123"/>
  <c r="R123"/>
  <c r="Q123"/>
  <c r="P123"/>
  <c r="N123"/>
  <c r="O123" s="1"/>
  <c r="K123"/>
  <c r="J123"/>
  <c r="I123"/>
  <c r="H123"/>
  <c r="G123"/>
  <c r="C123"/>
  <c r="U122"/>
  <c r="T122"/>
  <c r="S122"/>
  <c r="R122"/>
  <c r="Q122"/>
  <c r="P122"/>
  <c r="N122"/>
  <c r="K122"/>
  <c r="X122" s="1"/>
  <c r="J122"/>
  <c r="I122"/>
  <c r="H122"/>
  <c r="G122"/>
  <c r="C122"/>
  <c r="U121"/>
  <c r="T121"/>
  <c r="S121"/>
  <c r="R121"/>
  <c r="Q121"/>
  <c r="P121"/>
  <c r="N121"/>
  <c r="O121" s="1"/>
  <c r="K121"/>
  <c r="X121" s="1"/>
  <c r="J121"/>
  <c r="I121"/>
  <c r="H121"/>
  <c r="G121"/>
  <c r="C121"/>
  <c r="U120"/>
  <c r="T120"/>
  <c r="S120"/>
  <c r="R120"/>
  <c r="Q120"/>
  <c r="P120"/>
  <c r="N120"/>
  <c r="Y120" s="1"/>
  <c r="K120"/>
  <c r="X120" s="1"/>
  <c r="J120"/>
  <c r="I120"/>
  <c r="H120"/>
  <c r="G120"/>
  <c r="C120"/>
  <c r="U119"/>
  <c r="T119"/>
  <c r="S119"/>
  <c r="R119"/>
  <c r="Q119"/>
  <c r="P119"/>
  <c r="N119"/>
  <c r="O119" s="1"/>
  <c r="K119"/>
  <c r="J119"/>
  <c r="I119"/>
  <c r="H119"/>
  <c r="G119"/>
  <c r="C119"/>
  <c r="U118"/>
  <c r="T118"/>
  <c r="S118"/>
  <c r="R118"/>
  <c r="Q118"/>
  <c r="P118"/>
  <c r="N118"/>
  <c r="K118"/>
  <c r="X118" s="1"/>
  <c r="J118"/>
  <c r="I118"/>
  <c r="H118"/>
  <c r="G118"/>
  <c r="C118"/>
  <c r="U117"/>
  <c r="T117"/>
  <c r="S117"/>
  <c r="R117"/>
  <c r="Q117"/>
  <c r="P117"/>
  <c r="N117"/>
  <c r="O117" s="1"/>
  <c r="K117"/>
  <c r="X117" s="1"/>
  <c r="J117"/>
  <c r="I117"/>
  <c r="H117"/>
  <c r="G117"/>
  <c r="C117"/>
  <c r="U116"/>
  <c r="T116"/>
  <c r="S116"/>
  <c r="R116"/>
  <c r="Q116"/>
  <c r="P116"/>
  <c r="N116"/>
  <c r="Y116" s="1"/>
  <c r="K116"/>
  <c r="X116" s="1"/>
  <c r="J116"/>
  <c r="I116"/>
  <c r="H116"/>
  <c r="G116"/>
  <c r="C116"/>
  <c r="U115"/>
  <c r="T115"/>
  <c r="S115"/>
  <c r="R115"/>
  <c r="Q115"/>
  <c r="P115"/>
  <c r="N115"/>
  <c r="O115" s="1"/>
  <c r="K115"/>
  <c r="J115"/>
  <c r="I115"/>
  <c r="H115"/>
  <c r="G115"/>
  <c r="C115"/>
  <c r="U114"/>
  <c r="T114"/>
  <c r="S114"/>
  <c r="R114"/>
  <c r="Q114"/>
  <c r="P114"/>
  <c r="N114"/>
  <c r="K114"/>
  <c r="X114" s="1"/>
  <c r="J114"/>
  <c r="I114"/>
  <c r="H114"/>
  <c r="G114"/>
  <c r="C114"/>
  <c r="U113"/>
  <c r="T113"/>
  <c r="S113"/>
  <c r="R113"/>
  <c r="Q113"/>
  <c r="P113"/>
  <c r="N113"/>
  <c r="O113" s="1"/>
  <c r="K113"/>
  <c r="X113" s="1"/>
  <c r="J113"/>
  <c r="I113"/>
  <c r="H113"/>
  <c r="G113"/>
  <c r="C113"/>
  <c r="U112"/>
  <c r="T112"/>
  <c r="S112"/>
  <c r="R112"/>
  <c r="Q112"/>
  <c r="P112"/>
  <c r="N112"/>
  <c r="Y112" s="1"/>
  <c r="K112"/>
  <c r="X112" s="1"/>
  <c r="J112"/>
  <c r="I112"/>
  <c r="H112"/>
  <c r="G112"/>
  <c r="C112"/>
  <c r="U111"/>
  <c r="T111"/>
  <c r="S111"/>
  <c r="R111"/>
  <c r="Q111"/>
  <c r="P111"/>
  <c r="N111"/>
  <c r="K111"/>
  <c r="X111" s="1"/>
  <c r="J111"/>
  <c r="I111"/>
  <c r="H111"/>
  <c r="G111"/>
  <c r="C111"/>
  <c r="U110"/>
  <c r="T110"/>
  <c r="S110"/>
  <c r="R110"/>
  <c r="Q110"/>
  <c r="P110"/>
  <c r="N110"/>
  <c r="O110" s="1"/>
  <c r="K110"/>
  <c r="X110" s="1"/>
  <c r="J110"/>
  <c r="I110"/>
  <c r="H110"/>
  <c r="G110"/>
  <c r="C110"/>
  <c r="U109"/>
  <c r="T109"/>
  <c r="S109"/>
  <c r="R109"/>
  <c r="Q109"/>
  <c r="P109"/>
  <c r="N109"/>
  <c r="Y109" s="1"/>
  <c r="K109"/>
  <c r="X109" s="1"/>
  <c r="J109"/>
  <c r="I109"/>
  <c r="H109"/>
  <c r="G109"/>
  <c r="C109"/>
  <c r="U108"/>
  <c r="T108"/>
  <c r="S108"/>
  <c r="R108"/>
  <c r="Q108"/>
  <c r="P108"/>
  <c r="N108"/>
  <c r="O108" s="1"/>
  <c r="K108"/>
  <c r="J108"/>
  <c r="I108"/>
  <c r="H108"/>
  <c r="G108"/>
  <c r="C108"/>
  <c r="U107"/>
  <c r="T107"/>
  <c r="S107"/>
  <c r="R107"/>
  <c r="Q107"/>
  <c r="P107"/>
  <c r="N107"/>
  <c r="K107"/>
  <c r="X107" s="1"/>
  <c r="J107"/>
  <c r="I107"/>
  <c r="H107"/>
  <c r="G107"/>
  <c r="C107"/>
  <c r="U106"/>
  <c r="T106"/>
  <c r="S106"/>
  <c r="R106"/>
  <c r="Q106"/>
  <c r="P106"/>
  <c r="N106"/>
  <c r="O106" s="1"/>
  <c r="K106"/>
  <c r="X106" s="1"/>
  <c r="J106"/>
  <c r="I106"/>
  <c r="H106"/>
  <c r="G106"/>
  <c r="C106"/>
  <c r="U105"/>
  <c r="T105"/>
  <c r="S105"/>
  <c r="R105"/>
  <c r="Q105"/>
  <c r="P105"/>
  <c r="N105"/>
  <c r="Y105" s="1"/>
  <c r="K105"/>
  <c r="X105" s="1"/>
  <c r="J105"/>
  <c r="I105"/>
  <c r="H105"/>
  <c r="G105"/>
  <c r="C105"/>
  <c r="U104"/>
  <c r="T104"/>
  <c r="S104"/>
  <c r="R104"/>
  <c r="Q104"/>
  <c r="P104"/>
  <c r="N104"/>
  <c r="O104" s="1"/>
  <c r="K104"/>
  <c r="J104"/>
  <c r="I104"/>
  <c r="H104"/>
  <c r="G104"/>
  <c r="C104"/>
  <c r="U103"/>
  <c r="T103"/>
  <c r="S103"/>
  <c r="R103"/>
  <c r="Q103"/>
  <c r="P103"/>
  <c r="N103"/>
  <c r="K103"/>
  <c r="X103" s="1"/>
  <c r="J103"/>
  <c r="I103"/>
  <c r="H103"/>
  <c r="G103"/>
  <c r="C103"/>
  <c r="U102"/>
  <c r="T102"/>
  <c r="S102"/>
  <c r="R102"/>
  <c r="Q102"/>
  <c r="P102"/>
  <c r="N102"/>
  <c r="O102" s="1"/>
  <c r="K102"/>
  <c r="X102" s="1"/>
  <c r="J102"/>
  <c r="I102"/>
  <c r="H102"/>
  <c r="G102"/>
  <c r="C102"/>
  <c r="U101"/>
  <c r="T101"/>
  <c r="S101"/>
  <c r="R101"/>
  <c r="Q101"/>
  <c r="P101"/>
  <c r="N101"/>
  <c r="Y101" s="1"/>
  <c r="K101"/>
  <c r="X101" s="1"/>
  <c r="J101"/>
  <c r="I101"/>
  <c r="H101"/>
  <c r="G101"/>
  <c r="C101"/>
  <c r="U100"/>
  <c r="T100"/>
  <c r="S100"/>
  <c r="R100"/>
  <c r="Q100"/>
  <c r="P100"/>
  <c r="N100"/>
  <c r="O100" s="1"/>
  <c r="K100"/>
  <c r="J100"/>
  <c r="I100"/>
  <c r="H100"/>
  <c r="G100"/>
  <c r="C100"/>
  <c r="U99"/>
  <c r="T99"/>
  <c r="S99"/>
  <c r="R99"/>
  <c r="Q99"/>
  <c r="P99"/>
  <c r="N99"/>
  <c r="K99"/>
  <c r="X99" s="1"/>
  <c r="J99"/>
  <c r="I99"/>
  <c r="H99"/>
  <c r="G99"/>
  <c r="C99"/>
  <c r="U98"/>
  <c r="T98"/>
  <c r="S98"/>
  <c r="R98"/>
  <c r="Q98"/>
  <c r="P98"/>
  <c r="N98"/>
  <c r="O98" s="1"/>
  <c r="K98"/>
  <c r="X98" s="1"/>
  <c r="J98"/>
  <c r="I98"/>
  <c r="H98"/>
  <c r="G98"/>
  <c r="C98"/>
  <c r="U97"/>
  <c r="T97"/>
  <c r="S97"/>
  <c r="R97"/>
  <c r="Q97"/>
  <c r="P97"/>
  <c r="N97"/>
  <c r="Y97" s="1"/>
  <c r="K97"/>
  <c r="L97" s="1"/>
  <c r="J97"/>
  <c r="I97"/>
  <c r="H97"/>
  <c r="G97"/>
  <c r="C97"/>
  <c r="U96"/>
  <c r="T96"/>
  <c r="S96"/>
  <c r="R96"/>
  <c r="Q96"/>
  <c r="P96"/>
  <c r="N96"/>
  <c r="Y96" s="1"/>
  <c r="K96"/>
  <c r="J96"/>
  <c r="I96"/>
  <c r="H96"/>
  <c r="G96"/>
  <c r="C96"/>
  <c r="U95"/>
  <c r="T95"/>
  <c r="S95"/>
  <c r="R95"/>
  <c r="Q95"/>
  <c r="P95"/>
  <c r="N95"/>
  <c r="K95"/>
  <c r="X95" s="1"/>
  <c r="J95"/>
  <c r="I95"/>
  <c r="H95"/>
  <c r="G95"/>
  <c r="C95"/>
  <c r="U94"/>
  <c r="T94"/>
  <c r="S94"/>
  <c r="R94"/>
  <c r="Q94"/>
  <c r="P94"/>
  <c r="N94"/>
  <c r="Y94" s="1"/>
  <c r="K94"/>
  <c r="X94" s="1"/>
  <c r="J94"/>
  <c r="I94"/>
  <c r="H94"/>
  <c r="G94"/>
  <c r="C94"/>
  <c r="U93"/>
  <c r="T93"/>
  <c r="S93"/>
  <c r="R93"/>
  <c r="Q93"/>
  <c r="P93"/>
  <c r="N93"/>
  <c r="Y93" s="1"/>
  <c r="K93"/>
  <c r="X93" s="1"/>
  <c r="J93"/>
  <c r="I93"/>
  <c r="H93"/>
  <c r="G93"/>
  <c r="C93"/>
  <c r="U92"/>
  <c r="T92"/>
  <c r="S92"/>
  <c r="R92"/>
  <c r="Q92"/>
  <c r="P92"/>
  <c r="N92"/>
  <c r="O92" s="1"/>
  <c r="K92"/>
  <c r="J92"/>
  <c r="I92"/>
  <c r="H92"/>
  <c r="G92"/>
  <c r="C92"/>
  <c r="U91"/>
  <c r="T91"/>
  <c r="S91"/>
  <c r="R91"/>
  <c r="Q91"/>
  <c r="P91"/>
  <c r="N91"/>
  <c r="K91"/>
  <c r="X91" s="1"/>
  <c r="J91"/>
  <c r="I91"/>
  <c r="H91"/>
  <c r="G91"/>
  <c r="C91"/>
  <c r="U90"/>
  <c r="T90"/>
  <c r="S90"/>
  <c r="R90"/>
  <c r="Q90"/>
  <c r="P90"/>
  <c r="N90"/>
  <c r="O90" s="1"/>
  <c r="K90"/>
  <c r="X90" s="1"/>
  <c r="J90"/>
  <c r="I90"/>
  <c r="H90"/>
  <c r="G90"/>
  <c r="C90"/>
  <c r="U89"/>
  <c r="T89"/>
  <c r="S89"/>
  <c r="R89"/>
  <c r="Q89"/>
  <c r="P89"/>
  <c r="N89"/>
  <c r="Y89" s="1"/>
  <c r="K89"/>
  <c r="X89" s="1"/>
  <c r="J89"/>
  <c r="I89"/>
  <c r="H89"/>
  <c r="G89"/>
  <c r="C89"/>
  <c r="U88"/>
  <c r="T88"/>
  <c r="S88"/>
  <c r="R88"/>
  <c r="Q88"/>
  <c r="P88"/>
  <c r="N88"/>
  <c r="Y88" s="1"/>
  <c r="K88"/>
  <c r="J88"/>
  <c r="I88"/>
  <c r="H88"/>
  <c r="G88"/>
  <c r="C88"/>
  <c r="U87"/>
  <c r="T87"/>
  <c r="S87"/>
  <c r="R87"/>
  <c r="Q87"/>
  <c r="P87"/>
  <c r="N87"/>
  <c r="K87"/>
  <c r="X87" s="1"/>
  <c r="J87"/>
  <c r="I87"/>
  <c r="H87"/>
  <c r="G87"/>
  <c r="C87"/>
  <c r="U86"/>
  <c r="T86"/>
  <c r="S86"/>
  <c r="R86"/>
  <c r="Q86"/>
  <c r="P86"/>
  <c r="N86"/>
  <c r="O86" s="1"/>
  <c r="K86"/>
  <c r="X86" s="1"/>
  <c r="J86"/>
  <c r="I86"/>
  <c r="H86"/>
  <c r="G86"/>
  <c r="C86"/>
  <c r="U85"/>
  <c r="T85"/>
  <c r="S85"/>
  <c r="R85"/>
  <c r="Q85"/>
  <c r="P85"/>
  <c r="N85"/>
  <c r="Y85" s="1"/>
  <c r="K85"/>
  <c r="X85" s="1"/>
  <c r="J85"/>
  <c r="I85"/>
  <c r="H85"/>
  <c r="G85"/>
  <c r="C85"/>
  <c r="U84"/>
  <c r="T84"/>
  <c r="S84"/>
  <c r="R84"/>
  <c r="Q84"/>
  <c r="P84"/>
  <c r="N84"/>
  <c r="O84" s="1"/>
  <c r="K84"/>
  <c r="J84"/>
  <c r="I84"/>
  <c r="H84"/>
  <c r="G84"/>
  <c r="C84"/>
  <c r="U83"/>
  <c r="T83"/>
  <c r="S83"/>
  <c r="R83"/>
  <c r="Q83"/>
  <c r="P83"/>
  <c r="N83"/>
  <c r="K83"/>
  <c r="X83" s="1"/>
  <c r="J83"/>
  <c r="I83"/>
  <c r="H83"/>
  <c r="G83"/>
  <c r="C83"/>
  <c r="U82"/>
  <c r="T82"/>
  <c r="S82"/>
  <c r="R82"/>
  <c r="Q82"/>
  <c r="P82"/>
  <c r="N82"/>
  <c r="O82" s="1"/>
  <c r="K82"/>
  <c r="X82" s="1"/>
  <c r="J82"/>
  <c r="I82"/>
  <c r="H82"/>
  <c r="G82"/>
  <c r="C82"/>
  <c r="U81"/>
  <c r="T81"/>
  <c r="S81"/>
  <c r="R81"/>
  <c r="Q81"/>
  <c r="P81"/>
  <c r="N81"/>
  <c r="Y81" s="1"/>
  <c r="K81"/>
  <c r="X81" s="1"/>
  <c r="J81"/>
  <c r="I81"/>
  <c r="H81"/>
  <c r="G81"/>
  <c r="C81"/>
  <c r="U80"/>
  <c r="T80"/>
  <c r="S80"/>
  <c r="R80"/>
  <c r="Q80"/>
  <c r="P80"/>
  <c r="N80"/>
  <c r="Y80" s="1"/>
  <c r="K80"/>
  <c r="J80"/>
  <c r="I80"/>
  <c r="H80"/>
  <c r="G80"/>
  <c r="C80"/>
  <c r="U79"/>
  <c r="T79"/>
  <c r="S79"/>
  <c r="R79"/>
  <c r="Q79"/>
  <c r="P79"/>
  <c r="N79"/>
  <c r="K79"/>
  <c r="X79" s="1"/>
  <c r="J79"/>
  <c r="I79"/>
  <c r="H79"/>
  <c r="G79"/>
  <c r="C79"/>
  <c r="U78"/>
  <c r="T78"/>
  <c r="S78"/>
  <c r="R78"/>
  <c r="Q78"/>
  <c r="P78"/>
  <c r="N78"/>
  <c r="O78" s="1"/>
  <c r="K78"/>
  <c r="X78" s="1"/>
  <c r="J78"/>
  <c r="I78"/>
  <c r="H78"/>
  <c r="G78"/>
  <c r="C78"/>
  <c r="U77"/>
  <c r="T77"/>
  <c r="S77"/>
  <c r="R77"/>
  <c r="Q77"/>
  <c r="P77"/>
  <c r="N77"/>
  <c r="Y77" s="1"/>
  <c r="K77"/>
  <c r="X77" s="1"/>
  <c r="J77"/>
  <c r="I77"/>
  <c r="H77"/>
  <c r="G77"/>
  <c r="C77"/>
  <c r="U76"/>
  <c r="T76"/>
  <c r="S76"/>
  <c r="R76"/>
  <c r="Q76"/>
  <c r="P76"/>
  <c r="N76"/>
  <c r="O76" s="1"/>
  <c r="K76"/>
  <c r="J76"/>
  <c r="I76"/>
  <c r="H76"/>
  <c r="G76"/>
  <c r="C76"/>
  <c r="U75"/>
  <c r="T75"/>
  <c r="S75"/>
  <c r="R75"/>
  <c r="Q75"/>
  <c r="P75"/>
  <c r="N75"/>
  <c r="K75"/>
  <c r="X75" s="1"/>
  <c r="J75"/>
  <c r="I75"/>
  <c r="H75"/>
  <c r="G75"/>
  <c r="C75"/>
  <c r="U74"/>
  <c r="T74"/>
  <c r="S74"/>
  <c r="R74"/>
  <c r="Q74"/>
  <c r="P74"/>
  <c r="N74"/>
  <c r="Y74" s="1"/>
  <c r="K74"/>
  <c r="X74" s="1"/>
  <c r="J74"/>
  <c r="I74"/>
  <c r="H74"/>
  <c r="G74"/>
  <c r="C74"/>
  <c r="U73"/>
  <c r="T73"/>
  <c r="S73"/>
  <c r="R73"/>
  <c r="Q73"/>
  <c r="P73"/>
  <c r="N73"/>
  <c r="Y73" s="1"/>
  <c r="K73"/>
  <c r="X73" s="1"/>
  <c r="J73"/>
  <c r="I73"/>
  <c r="H73"/>
  <c r="G73"/>
  <c r="C73"/>
  <c r="U72"/>
  <c r="T72"/>
  <c r="S72"/>
  <c r="R72"/>
  <c r="Q72"/>
  <c r="P72"/>
  <c r="N72"/>
  <c r="O72" s="1"/>
  <c r="K72"/>
  <c r="J72"/>
  <c r="I72"/>
  <c r="H72"/>
  <c r="G72"/>
  <c r="C72"/>
  <c r="U71"/>
  <c r="T71"/>
  <c r="S71"/>
  <c r="R71"/>
  <c r="Q71"/>
  <c r="P71"/>
  <c r="N71"/>
  <c r="K71"/>
  <c r="X71" s="1"/>
  <c r="J71"/>
  <c r="I71"/>
  <c r="H71"/>
  <c r="G71"/>
  <c r="C71"/>
  <c r="U70"/>
  <c r="T70"/>
  <c r="S70"/>
  <c r="R70"/>
  <c r="Q70"/>
  <c r="P70"/>
  <c r="N70"/>
  <c r="O70" s="1"/>
  <c r="K70"/>
  <c r="X70" s="1"/>
  <c r="J70"/>
  <c r="I70"/>
  <c r="H70"/>
  <c r="G70"/>
  <c r="C70"/>
  <c r="U69"/>
  <c r="T69"/>
  <c r="S69"/>
  <c r="R69"/>
  <c r="Q69"/>
  <c r="P69"/>
  <c r="N69"/>
  <c r="Y69" s="1"/>
  <c r="K69"/>
  <c r="X69" s="1"/>
  <c r="J69"/>
  <c r="I69"/>
  <c r="H69"/>
  <c r="G69"/>
  <c r="C69"/>
  <c r="U68"/>
  <c r="T68"/>
  <c r="S68"/>
  <c r="R68"/>
  <c r="Q68"/>
  <c r="P68"/>
  <c r="N68"/>
  <c r="Y68" s="1"/>
  <c r="K68"/>
  <c r="J68"/>
  <c r="I68"/>
  <c r="H68"/>
  <c r="G68"/>
  <c r="C68"/>
  <c r="U67"/>
  <c r="T67"/>
  <c r="S67"/>
  <c r="R67"/>
  <c r="Q67"/>
  <c r="P67"/>
  <c r="N67"/>
  <c r="K67"/>
  <c r="X67" s="1"/>
  <c r="J67"/>
  <c r="I67"/>
  <c r="H67"/>
  <c r="G67"/>
  <c r="C67"/>
  <c r="U66"/>
  <c r="T66"/>
  <c r="S66"/>
  <c r="R66"/>
  <c r="Q66"/>
  <c r="P66"/>
  <c r="N66"/>
  <c r="O66" s="1"/>
  <c r="K66"/>
  <c r="X66" s="1"/>
  <c r="J66"/>
  <c r="I66"/>
  <c r="H66"/>
  <c r="G66"/>
  <c r="C66"/>
  <c r="U65"/>
  <c r="T65"/>
  <c r="S65"/>
  <c r="R65"/>
  <c r="Q65"/>
  <c r="P65"/>
  <c r="N65"/>
  <c r="O65" s="1"/>
  <c r="K65"/>
  <c r="X65" s="1"/>
  <c r="J65"/>
  <c r="I65"/>
  <c r="H65"/>
  <c r="G65"/>
  <c r="C65"/>
  <c r="U64"/>
  <c r="T64"/>
  <c r="S64"/>
  <c r="R64"/>
  <c r="Q64"/>
  <c r="P64"/>
  <c r="N64"/>
  <c r="Y64" s="1"/>
  <c r="K64"/>
  <c r="J64"/>
  <c r="I64"/>
  <c r="H64"/>
  <c r="G64"/>
  <c r="C64"/>
  <c r="U63"/>
  <c r="T63"/>
  <c r="S63"/>
  <c r="R63"/>
  <c r="Q63"/>
  <c r="P63"/>
  <c r="N63"/>
  <c r="K63"/>
  <c r="X63" s="1"/>
  <c r="J63"/>
  <c r="I63"/>
  <c r="H63"/>
  <c r="G63"/>
  <c r="C63"/>
  <c r="U62"/>
  <c r="T62"/>
  <c r="S62"/>
  <c r="R62"/>
  <c r="Q62"/>
  <c r="P62"/>
  <c r="N62"/>
  <c r="Y62" s="1"/>
  <c r="K62"/>
  <c r="X62" s="1"/>
  <c r="J62"/>
  <c r="I62"/>
  <c r="H62"/>
  <c r="G62"/>
  <c r="C62"/>
  <c r="U61"/>
  <c r="T61"/>
  <c r="S61"/>
  <c r="R61"/>
  <c r="Q61"/>
  <c r="P61"/>
  <c r="N61"/>
  <c r="Y61" s="1"/>
  <c r="K61"/>
  <c r="L61" s="1"/>
  <c r="J61"/>
  <c r="I61"/>
  <c r="H61"/>
  <c r="G61"/>
  <c r="C61"/>
  <c r="U60"/>
  <c r="T60"/>
  <c r="S60"/>
  <c r="R60"/>
  <c r="Q60"/>
  <c r="P60"/>
  <c r="N60"/>
  <c r="Y60" s="1"/>
  <c r="K60"/>
  <c r="J60"/>
  <c r="I60"/>
  <c r="H60"/>
  <c r="G60"/>
  <c r="C60"/>
  <c r="U59"/>
  <c r="T59"/>
  <c r="S59"/>
  <c r="R59"/>
  <c r="Q59"/>
  <c r="P59"/>
  <c r="N59"/>
  <c r="K59"/>
  <c r="X59" s="1"/>
  <c r="J59"/>
  <c r="I59"/>
  <c r="H59"/>
  <c r="G59"/>
  <c r="C59"/>
  <c r="U58"/>
  <c r="T58"/>
  <c r="S58"/>
  <c r="R58"/>
  <c r="Q58"/>
  <c r="P58"/>
  <c r="N58"/>
  <c r="Y58" s="1"/>
  <c r="K58"/>
  <c r="X58" s="1"/>
  <c r="J58"/>
  <c r="I58"/>
  <c r="H58"/>
  <c r="G58"/>
  <c r="C58"/>
  <c r="U57"/>
  <c r="T57"/>
  <c r="S57"/>
  <c r="R57"/>
  <c r="Q57"/>
  <c r="P57"/>
  <c r="N57"/>
  <c r="Y57" s="1"/>
  <c r="K57"/>
  <c r="X57" s="1"/>
  <c r="J57"/>
  <c r="I57"/>
  <c r="H57"/>
  <c r="G57"/>
  <c r="C57"/>
  <c r="U56"/>
  <c r="T56"/>
  <c r="S56"/>
  <c r="R56"/>
  <c r="Q56"/>
  <c r="P56"/>
  <c r="N56"/>
  <c r="Y56" s="1"/>
  <c r="K56"/>
  <c r="J56"/>
  <c r="I56"/>
  <c r="H56"/>
  <c r="G56"/>
  <c r="C56"/>
  <c r="U55"/>
  <c r="T55"/>
  <c r="S55"/>
  <c r="R55"/>
  <c r="Q55"/>
  <c r="P55"/>
  <c r="N55"/>
  <c r="K55"/>
  <c r="X55" s="1"/>
  <c r="J55"/>
  <c r="I55"/>
  <c r="H55"/>
  <c r="G55"/>
  <c r="C55"/>
  <c r="U54"/>
  <c r="T54"/>
  <c r="S54"/>
  <c r="R54"/>
  <c r="Q54"/>
  <c r="P54"/>
  <c r="N54"/>
  <c r="Y54" s="1"/>
  <c r="K54"/>
  <c r="X54" s="1"/>
  <c r="J54"/>
  <c r="I54"/>
  <c r="H54"/>
  <c r="G54"/>
  <c r="C54"/>
  <c r="U53"/>
  <c r="T53"/>
  <c r="S53"/>
  <c r="R53"/>
  <c r="Q53"/>
  <c r="P53"/>
  <c r="N53"/>
  <c r="Y53" s="1"/>
  <c r="K53"/>
  <c r="X53" s="1"/>
  <c r="J53"/>
  <c r="I53"/>
  <c r="H53"/>
  <c r="G53"/>
  <c r="C53"/>
  <c r="U52"/>
  <c r="T52"/>
  <c r="S52"/>
  <c r="R52"/>
  <c r="Q52"/>
  <c r="P52"/>
  <c r="N52"/>
  <c r="Y52" s="1"/>
  <c r="K52"/>
  <c r="J52"/>
  <c r="I52"/>
  <c r="H52"/>
  <c r="G52"/>
  <c r="C52"/>
  <c r="U51"/>
  <c r="T51"/>
  <c r="S51"/>
  <c r="R51"/>
  <c r="Q51"/>
  <c r="P51"/>
  <c r="N51"/>
  <c r="K51"/>
  <c r="X51" s="1"/>
  <c r="J51"/>
  <c r="I51"/>
  <c r="H51"/>
  <c r="G51"/>
  <c r="C51"/>
  <c r="U50"/>
  <c r="T50"/>
  <c r="S50"/>
  <c r="R50"/>
  <c r="Q50"/>
  <c r="P50"/>
  <c r="N50"/>
  <c r="Y50" s="1"/>
  <c r="K50"/>
  <c r="X50" s="1"/>
  <c r="J50"/>
  <c r="I50"/>
  <c r="H50"/>
  <c r="G50"/>
  <c r="C50"/>
  <c r="U49"/>
  <c r="T49"/>
  <c r="S49"/>
  <c r="R49"/>
  <c r="Q49"/>
  <c r="P49"/>
  <c r="N49"/>
  <c r="Y49" s="1"/>
  <c r="K49"/>
  <c r="X49" s="1"/>
  <c r="J49"/>
  <c r="I49"/>
  <c r="H49"/>
  <c r="G49"/>
  <c r="C49"/>
  <c r="U48"/>
  <c r="T48"/>
  <c r="S48"/>
  <c r="R48"/>
  <c r="Q48"/>
  <c r="P48"/>
  <c r="N48"/>
  <c r="Y48" s="1"/>
  <c r="K48"/>
  <c r="J48"/>
  <c r="I48"/>
  <c r="H48"/>
  <c r="G48"/>
  <c r="C48"/>
  <c r="U47"/>
  <c r="T47"/>
  <c r="S47"/>
  <c r="R47"/>
  <c r="Q47"/>
  <c r="P47"/>
  <c r="N47"/>
  <c r="K47"/>
  <c r="X47" s="1"/>
  <c r="J47"/>
  <c r="I47"/>
  <c r="H47"/>
  <c r="G47"/>
  <c r="C47"/>
  <c r="U46"/>
  <c r="T46"/>
  <c r="S46"/>
  <c r="R46"/>
  <c r="Q46"/>
  <c r="P46"/>
  <c r="N46"/>
  <c r="Y46" s="1"/>
  <c r="K46"/>
  <c r="X46" s="1"/>
  <c r="J46"/>
  <c r="I46"/>
  <c r="H46"/>
  <c r="G46"/>
  <c r="C46"/>
  <c r="U45"/>
  <c r="T45"/>
  <c r="S45"/>
  <c r="R45"/>
  <c r="Q45"/>
  <c r="P45"/>
  <c r="N45"/>
  <c r="Y45" s="1"/>
  <c r="K45"/>
  <c r="X45" s="1"/>
  <c r="J45"/>
  <c r="I45"/>
  <c r="H45"/>
  <c r="G45"/>
  <c r="C45"/>
  <c r="U44"/>
  <c r="T44"/>
  <c r="S44"/>
  <c r="R44"/>
  <c r="Q44"/>
  <c r="P44"/>
  <c r="N44"/>
  <c r="O44" s="1"/>
  <c r="K44"/>
  <c r="J44"/>
  <c r="I44"/>
  <c r="H44"/>
  <c r="G44"/>
  <c r="C44"/>
  <c r="U43"/>
  <c r="T43"/>
  <c r="S43"/>
  <c r="R43"/>
  <c r="Q43"/>
  <c r="P43"/>
  <c r="N43"/>
  <c r="K43"/>
  <c r="X43" s="1"/>
  <c r="J43"/>
  <c r="I43"/>
  <c r="H43"/>
  <c r="G43"/>
  <c r="C43"/>
  <c r="U42"/>
  <c r="T42"/>
  <c r="S42"/>
  <c r="R42"/>
  <c r="Q42"/>
  <c r="P42"/>
  <c r="N42"/>
  <c r="O42" s="1"/>
  <c r="K42"/>
  <c r="X42" s="1"/>
  <c r="J42"/>
  <c r="I42"/>
  <c r="H42"/>
  <c r="G42"/>
  <c r="C42"/>
  <c r="U41"/>
  <c r="T41"/>
  <c r="S41"/>
  <c r="R41"/>
  <c r="Q41"/>
  <c r="P41"/>
  <c r="N41"/>
  <c r="Y41" s="1"/>
  <c r="K41"/>
  <c r="X41" s="1"/>
  <c r="J41"/>
  <c r="I41"/>
  <c r="H41"/>
  <c r="G41"/>
  <c r="C41"/>
  <c r="U40"/>
  <c r="T40"/>
  <c r="S40"/>
  <c r="R40"/>
  <c r="Q40"/>
  <c r="P40"/>
  <c r="N40"/>
  <c r="Y40" s="1"/>
  <c r="K40"/>
  <c r="L40" s="1"/>
  <c r="J40"/>
  <c r="I40"/>
  <c r="H40"/>
  <c r="G40"/>
  <c r="C40"/>
  <c r="U39"/>
  <c r="T39"/>
  <c r="S39"/>
  <c r="R39"/>
  <c r="Q39"/>
  <c r="P39"/>
  <c r="N39"/>
  <c r="K39"/>
  <c r="X39" s="1"/>
  <c r="J39"/>
  <c r="I39"/>
  <c r="H39"/>
  <c r="G39"/>
  <c r="C39"/>
  <c r="U38"/>
  <c r="T38"/>
  <c r="S38"/>
  <c r="R38"/>
  <c r="Q38"/>
  <c r="P38"/>
  <c r="N38"/>
  <c r="Y38" s="1"/>
  <c r="K38"/>
  <c r="L38" s="1"/>
  <c r="J38"/>
  <c r="I38"/>
  <c r="H38"/>
  <c r="G38"/>
  <c r="C38"/>
  <c r="U37"/>
  <c r="T37"/>
  <c r="S37"/>
  <c r="R37"/>
  <c r="Q37"/>
  <c r="P37"/>
  <c r="N37"/>
  <c r="O37" s="1"/>
  <c r="K37"/>
  <c r="X37" s="1"/>
  <c r="J37"/>
  <c r="I37"/>
  <c r="H37"/>
  <c r="G37"/>
  <c r="C37"/>
  <c r="U36"/>
  <c r="T36"/>
  <c r="S36"/>
  <c r="R36"/>
  <c r="Q36"/>
  <c r="P36"/>
  <c r="N36"/>
  <c r="Y36" s="1"/>
  <c r="K36"/>
  <c r="L36" s="1"/>
  <c r="J36"/>
  <c r="I36"/>
  <c r="H36"/>
  <c r="G36"/>
  <c r="C36"/>
  <c r="U35"/>
  <c r="T35"/>
  <c r="S35"/>
  <c r="R35"/>
  <c r="Q35"/>
  <c r="P35"/>
  <c r="N35"/>
  <c r="K35"/>
  <c r="X35" s="1"/>
  <c r="J35"/>
  <c r="I35"/>
  <c r="H35"/>
  <c r="G35"/>
  <c r="C35"/>
  <c r="U34"/>
  <c r="T34"/>
  <c r="S34"/>
  <c r="R34"/>
  <c r="Q34"/>
  <c r="P34"/>
  <c r="N34"/>
  <c r="Y34" s="1"/>
  <c r="K34"/>
  <c r="L34" s="1"/>
  <c r="J34"/>
  <c r="I34"/>
  <c r="H34"/>
  <c r="G34"/>
  <c r="C34"/>
  <c r="U33"/>
  <c r="T33"/>
  <c r="S33"/>
  <c r="R33"/>
  <c r="Q33"/>
  <c r="P33"/>
  <c r="N33"/>
  <c r="Y33" s="1"/>
  <c r="K33"/>
  <c r="L33" s="1"/>
  <c r="J33"/>
  <c r="I33"/>
  <c r="H33"/>
  <c r="G33"/>
  <c r="C33"/>
  <c r="U32"/>
  <c r="T32"/>
  <c r="S32"/>
  <c r="R32"/>
  <c r="Q32"/>
  <c r="P32"/>
  <c r="N32"/>
  <c r="Y32" s="1"/>
  <c r="K32"/>
  <c r="L32" s="1"/>
  <c r="J32"/>
  <c r="I32"/>
  <c r="H32"/>
  <c r="G32"/>
  <c r="C32"/>
  <c r="U31"/>
  <c r="T31"/>
  <c r="S31"/>
  <c r="R31"/>
  <c r="Q31"/>
  <c r="P31"/>
  <c r="N31"/>
  <c r="K31"/>
  <c r="X31" s="1"/>
  <c r="J31"/>
  <c r="I31"/>
  <c r="H31"/>
  <c r="G31"/>
  <c r="C31"/>
  <c r="U30"/>
  <c r="T30"/>
  <c r="S30"/>
  <c r="R30"/>
  <c r="Q30"/>
  <c r="P30"/>
  <c r="N30"/>
  <c r="O30" s="1"/>
  <c r="K30"/>
  <c r="X30" s="1"/>
  <c r="J30"/>
  <c r="I30"/>
  <c r="H30"/>
  <c r="G30"/>
  <c r="C30"/>
  <c r="U29"/>
  <c r="T29"/>
  <c r="S29"/>
  <c r="R29"/>
  <c r="Q29"/>
  <c r="P29"/>
  <c r="N29"/>
  <c r="Y29" s="1"/>
  <c r="K29"/>
  <c r="X29" s="1"/>
  <c r="J29"/>
  <c r="I29"/>
  <c r="H29"/>
  <c r="G29"/>
  <c r="C29"/>
  <c r="U28"/>
  <c r="T28"/>
  <c r="S28"/>
  <c r="R28"/>
  <c r="Q28"/>
  <c r="P28"/>
  <c r="N28"/>
  <c r="Y28" s="1"/>
  <c r="K28"/>
  <c r="L28" s="1"/>
  <c r="J28"/>
  <c r="I28"/>
  <c r="H28"/>
  <c r="G28"/>
  <c r="C28"/>
  <c r="U27"/>
  <c r="T27"/>
  <c r="S27"/>
  <c r="R27"/>
  <c r="Q27"/>
  <c r="P27"/>
  <c r="N27"/>
  <c r="K27"/>
  <c r="X27" s="1"/>
  <c r="J27"/>
  <c r="I27"/>
  <c r="H27"/>
  <c r="G27"/>
  <c r="C27"/>
  <c r="U26"/>
  <c r="T26"/>
  <c r="S26"/>
  <c r="R26"/>
  <c r="Q26"/>
  <c r="P26"/>
  <c r="N26"/>
  <c r="Y26" s="1"/>
  <c r="K26"/>
  <c r="L26" s="1"/>
  <c r="J26"/>
  <c r="I26"/>
  <c r="H26"/>
  <c r="G26"/>
  <c r="C26"/>
  <c r="U25"/>
  <c r="T25"/>
  <c r="S25"/>
  <c r="R25"/>
  <c r="Q25"/>
  <c r="P25"/>
  <c r="N25"/>
  <c r="O25" s="1"/>
  <c r="K25"/>
  <c r="X25" s="1"/>
  <c r="J25"/>
  <c r="I25"/>
  <c r="H25"/>
  <c r="G25"/>
  <c r="C25"/>
  <c r="U24"/>
  <c r="T24"/>
  <c r="S24"/>
  <c r="R24"/>
  <c r="Q24"/>
  <c r="P24"/>
  <c r="N24"/>
  <c r="Y24" s="1"/>
  <c r="K24"/>
  <c r="L24" s="1"/>
  <c r="J24"/>
  <c r="I24"/>
  <c r="H24"/>
  <c r="G24"/>
  <c r="C24"/>
  <c r="U23"/>
  <c r="T23"/>
  <c r="S23"/>
  <c r="R23"/>
  <c r="Q23"/>
  <c r="P23"/>
  <c r="N23"/>
  <c r="K23"/>
  <c r="X23" s="1"/>
  <c r="J23"/>
  <c r="I23"/>
  <c r="H23"/>
  <c r="G23"/>
  <c r="C23"/>
  <c r="U22"/>
  <c r="T22"/>
  <c r="S22"/>
  <c r="R22"/>
  <c r="Q22"/>
  <c r="P22"/>
  <c r="N22"/>
  <c r="Y22" s="1"/>
  <c r="K22"/>
  <c r="X22" s="1"/>
  <c r="J22"/>
  <c r="I22"/>
  <c r="H22"/>
  <c r="G22"/>
  <c r="C22"/>
  <c r="U21"/>
  <c r="T21"/>
  <c r="S21"/>
  <c r="R21"/>
  <c r="Q21"/>
  <c r="P21"/>
  <c r="N21"/>
  <c r="O21" s="1"/>
  <c r="K21"/>
  <c r="X21" s="1"/>
  <c r="J21"/>
  <c r="I21"/>
  <c r="H21"/>
  <c r="G21"/>
  <c r="C21"/>
  <c r="U20"/>
  <c r="T20"/>
  <c r="S20"/>
  <c r="R20"/>
  <c r="Q20"/>
  <c r="P20"/>
  <c r="N20"/>
  <c r="Y20" s="1"/>
  <c r="K20"/>
  <c r="L20" s="1"/>
  <c r="J20"/>
  <c r="I20"/>
  <c r="H20"/>
  <c r="G20"/>
  <c r="C20"/>
  <c r="U19"/>
  <c r="T19"/>
  <c r="S19"/>
  <c r="R19"/>
  <c r="Q19"/>
  <c r="P19"/>
  <c r="N19"/>
  <c r="K19"/>
  <c r="X19" s="1"/>
  <c r="J19"/>
  <c r="I19"/>
  <c r="H19"/>
  <c r="G19"/>
  <c r="C19"/>
  <c r="U18"/>
  <c r="T18"/>
  <c r="S18"/>
  <c r="R18"/>
  <c r="Q18"/>
  <c r="P18"/>
  <c r="N18"/>
  <c r="O18" s="1"/>
  <c r="K18"/>
  <c r="X18" s="1"/>
  <c r="J18"/>
  <c r="I18"/>
  <c r="H18"/>
  <c r="G18"/>
  <c r="C18"/>
  <c r="U17"/>
  <c r="T17"/>
  <c r="S17"/>
  <c r="R17"/>
  <c r="Q17"/>
  <c r="P17"/>
  <c r="N17"/>
  <c r="Y17" s="1"/>
  <c r="K17"/>
  <c r="X17" s="1"/>
  <c r="J17"/>
  <c r="I17"/>
  <c r="H17"/>
  <c r="G17"/>
  <c r="C17"/>
  <c r="U16"/>
  <c r="T16"/>
  <c r="S16"/>
  <c r="R16"/>
  <c r="Q16"/>
  <c r="P16"/>
  <c r="N16"/>
  <c r="Y16" s="1"/>
  <c r="K16"/>
  <c r="L16" s="1"/>
  <c r="J16"/>
  <c r="I16"/>
  <c r="H16"/>
  <c r="G16"/>
  <c r="C16"/>
  <c r="U15"/>
  <c r="T15"/>
  <c r="S15"/>
  <c r="R15"/>
  <c r="Q15"/>
  <c r="P15"/>
  <c r="N15"/>
  <c r="K15"/>
  <c r="X15" s="1"/>
  <c r="J15"/>
  <c r="I15"/>
  <c r="H15"/>
  <c r="G15"/>
  <c r="C15"/>
  <c r="U14"/>
  <c r="T14"/>
  <c r="S14"/>
  <c r="R14"/>
  <c r="Q14"/>
  <c r="P14"/>
  <c r="N14"/>
  <c r="Y14" s="1"/>
  <c r="K14"/>
  <c r="X14" s="1"/>
  <c r="U13"/>
  <c r="T13"/>
  <c r="S13"/>
  <c r="R13"/>
  <c r="Q13"/>
  <c r="P13"/>
  <c r="N13"/>
  <c r="Y13" s="1"/>
  <c r="K13"/>
  <c r="L13" s="1"/>
  <c r="J13"/>
  <c r="I13"/>
  <c r="H13"/>
  <c r="G13"/>
  <c r="C13"/>
  <c r="U12"/>
  <c r="T12"/>
  <c r="S12"/>
  <c r="R12"/>
  <c r="Q12"/>
  <c r="P12"/>
  <c r="N12"/>
  <c r="O12" s="1"/>
  <c r="K12"/>
  <c r="X12" s="1"/>
  <c r="J12"/>
  <c r="I12"/>
  <c r="H12"/>
  <c r="G12"/>
  <c r="C12"/>
  <c r="U11"/>
  <c r="T11"/>
  <c r="S11"/>
  <c r="R11"/>
  <c r="Q11"/>
  <c r="P11"/>
  <c r="N11"/>
  <c r="Y11" s="1"/>
  <c r="K11"/>
  <c r="L11" s="1"/>
  <c r="J11"/>
  <c r="I11"/>
  <c r="H11"/>
  <c r="G11"/>
  <c r="C11"/>
  <c r="U10"/>
  <c r="T10"/>
  <c r="S10"/>
  <c r="R10"/>
  <c r="Q10"/>
  <c r="P10"/>
  <c r="N10"/>
  <c r="Y10" s="1"/>
  <c r="K10"/>
  <c r="L10" s="1"/>
  <c r="J10"/>
  <c r="I10"/>
  <c r="H10"/>
  <c r="G10"/>
  <c r="C10"/>
  <c r="U9"/>
  <c r="T9"/>
  <c r="S9"/>
  <c r="R9"/>
  <c r="Q9"/>
  <c r="P9"/>
  <c r="N9"/>
  <c r="Y9" s="1"/>
  <c r="K9"/>
  <c r="X9" s="1"/>
  <c r="J9"/>
  <c r="I9"/>
  <c r="H9"/>
  <c r="G9"/>
  <c r="C9"/>
  <c r="U8"/>
  <c r="T8"/>
  <c r="S8"/>
  <c r="R8"/>
  <c r="Q8"/>
  <c r="P8"/>
  <c r="N8"/>
  <c r="Y8" s="1"/>
  <c r="K8"/>
  <c r="X8" s="1"/>
  <c r="J8"/>
  <c r="I8"/>
  <c r="H8"/>
  <c r="G8"/>
  <c r="C8"/>
  <c r="U7"/>
  <c r="T7"/>
  <c r="S7"/>
  <c r="R7"/>
  <c r="Q7"/>
  <c r="P7"/>
  <c r="N7"/>
  <c r="O7" s="1"/>
  <c r="K7"/>
  <c r="L7" s="1"/>
  <c r="J7"/>
  <c r="I7"/>
  <c r="H7"/>
  <c r="G7"/>
  <c r="C7"/>
  <c r="U6"/>
  <c r="T6"/>
  <c r="S6"/>
  <c r="R6"/>
  <c r="Q6"/>
  <c r="P6"/>
  <c r="N6"/>
  <c r="Y6" s="1"/>
  <c r="K6"/>
  <c r="L6" s="1"/>
  <c r="J6"/>
  <c r="I6"/>
  <c r="H6"/>
  <c r="G6"/>
  <c r="C6"/>
  <c r="C117" i="1"/>
  <c r="G117"/>
  <c r="H117"/>
  <c r="I117"/>
  <c r="J117"/>
  <c r="K117"/>
  <c r="L117"/>
  <c r="X117" s="1"/>
  <c r="M117"/>
  <c r="N117"/>
  <c r="O117" s="1"/>
  <c r="P117"/>
  <c r="Q117"/>
  <c r="R117"/>
  <c r="S117"/>
  <c r="T117"/>
  <c r="U117"/>
  <c r="S73"/>
  <c r="G8"/>
  <c r="V53" i="103"/>
  <c r="V52"/>
  <c r="V54"/>
  <c r="V17"/>
  <c r="V22"/>
  <c r="U8" i="1"/>
  <c r="U11"/>
  <c r="U12"/>
  <c r="U13"/>
  <c r="U14"/>
  <c r="U15"/>
  <c r="U16"/>
  <c r="U17"/>
  <c r="U18"/>
  <c r="U19"/>
  <c r="U20"/>
  <c r="U21"/>
  <c r="U67"/>
  <c r="T67"/>
  <c r="S67"/>
  <c r="R67"/>
  <c r="Q67"/>
  <c r="U66"/>
  <c r="T66"/>
  <c r="S66"/>
  <c r="R66"/>
  <c r="Q66"/>
  <c r="U65"/>
  <c r="T65"/>
  <c r="S65"/>
  <c r="R65"/>
  <c r="Q65"/>
  <c r="U64"/>
  <c r="T64"/>
  <c r="S64"/>
  <c r="R64"/>
  <c r="Q64"/>
  <c r="U63"/>
  <c r="T63"/>
  <c r="S63"/>
  <c r="R63"/>
  <c r="U60"/>
  <c r="T60"/>
  <c r="S60"/>
  <c r="R60"/>
  <c r="Q60"/>
  <c r="P60"/>
  <c r="N60"/>
  <c r="Y60" s="1"/>
  <c r="L60"/>
  <c r="X60" s="1"/>
  <c r="K60"/>
  <c r="J60"/>
  <c r="I60"/>
  <c r="H60"/>
  <c r="G60"/>
  <c r="U59"/>
  <c r="T59"/>
  <c r="S59"/>
  <c r="R59"/>
  <c r="Q59"/>
  <c r="P59"/>
  <c r="N59"/>
  <c r="Y59" s="1"/>
  <c r="L59"/>
  <c r="M59" s="1"/>
  <c r="K59"/>
  <c r="J59"/>
  <c r="I59"/>
  <c r="H59"/>
  <c r="G59"/>
  <c r="U58"/>
  <c r="T58"/>
  <c r="S58"/>
  <c r="R58"/>
  <c r="Q58"/>
  <c r="P58"/>
  <c r="N58"/>
  <c r="Y58" s="1"/>
  <c r="L58"/>
  <c r="X58" s="1"/>
  <c r="K58"/>
  <c r="J58"/>
  <c r="I58"/>
  <c r="H58"/>
  <c r="G58"/>
  <c r="T20"/>
  <c r="S20"/>
  <c r="R20"/>
  <c r="Q20"/>
  <c r="P20"/>
  <c r="N20"/>
  <c r="O20" s="1"/>
  <c r="L20"/>
  <c r="M20" s="1"/>
  <c r="K20"/>
  <c r="V16" i="103"/>
  <c r="N32" i="26" l="1"/>
  <c r="W20" i="97"/>
  <c r="O109" i="107"/>
  <c r="L87"/>
  <c r="L66"/>
  <c r="L15"/>
  <c r="O17"/>
  <c r="L25"/>
  <c r="O96"/>
  <c r="O60"/>
  <c r="O54"/>
  <c r="L79"/>
  <c r="L110"/>
  <c r="L41"/>
  <c r="L31"/>
  <c r="Y65"/>
  <c r="L29"/>
  <c r="O48"/>
  <c r="L85"/>
  <c r="L93"/>
  <c r="O94"/>
  <c r="O11"/>
  <c r="X38"/>
  <c r="O52"/>
  <c r="X61"/>
  <c r="L43"/>
  <c r="O56"/>
  <c r="O62"/>
  <c r="L81"/>
  <c r="L89"/>
  <c r="L12"/>
  <c r="O14"/>
  <c r="O58"/>
  <c r="L83"/>
  <c r="L91"/>
  <c r="X97"/>
  <c r="O50"/>
  <c r="O64"/>
  <c r="L45"/>
  <c r="O46"/>
  <c r="O24"/>
  <c r="Y66"/>
  <c r="Y70"/>
  <c r="L71"/>
  <c r="Y72"/>
  <c r="Y76"/>
  <c r="L77"/>
  <c r="O97"/>
  <c r="L98"/>
  <c r="X6"/>
  <c r="Y7"/>
  <c r="L8"/>
  <c r="Y21"/>
  <c r="L22"/>
  <c r="O45"/>
  <c r="L46"/>
  <c r="O68"/>
  <c r="O74"/>
  <c r="Y98"/>
  <c r="L99"/>
  <c r="Y100"/>
  <c r="L101"/>
  <c r="Y102"/>
  <c r="L103"/>
  <c r="Y104"/>
  <c r="L105"/>
  <c r="Y106"/>
  <c r="L107"/>
  <c r="Y108"/>
  <c r="L109"/>
  <c r="X32"/>
  <c r="L47"/>
  <c r="L49"/>
  <c r="L51"/>
  <c r="L53"/>
  <c r="L55"/>
  <c r="L57"/>
  <c r="L59"/>
  <c r="O77"/>
  <c r="L78"/>
  <c r="X34"/>
  <c r="Y42"/>
  <c r="Y44"/>
  <c r="L73"/>
  <c r="L75"/>
  <c r="Y30"/>
  <c r="Y37"/>
  <c r="Y84"/>
  <c r="Y86"/>
  <c r="Y90"/>
  <c r="Y92"/>
  <c r="O28"/>
  <c r="O80"/>
  <c r="O88"/>
  <c r="Y110"/>
  <c r="L111"/>
  <c r="L112"/>
  <c r="Y113"/>
  <c r="L114"/>
  <c r="Y115"/>
  <c r="L116"/>
  <c r="Y117"/>
  <c r="L118"/>
  <c r="Y119"/>
  <c r="L120"/>
  <c r="Y121"/>
  <c r="L122"/>
  <c r="Y123"/>
  <c r="L124"/>
  <c r="X16"/>
  <c r="L18"/>
  <c r="L63"/>
  <c r="L65"/>
  <c r="O93"/>
  <c r="L94"/>
  <c r="L67"/>
  <c r="L69"/>
  <c r="Y78"/>
  <c r="Y82"/>
  <c r="O61"/>
  <c r="L62"/>
  <c r="X10"/>
  <c r="L95"/>
  <c r="O124"/>
  <c r="X48"/>
  <c r="L48"/>
  <c r="X80"/>
  <c r="L80"/>
  <c r="O8"/>
  <c r="L9"/>
  <c r="Y12"/>
  <c r="Y18"/>
  <c r="Y25"/>
  <c r="Y31"/>
  <c r="O31"/>
  <c r="Y67"/>
  <c r="O67"/>
  <c r="X92"/>
  <c r="L92"/>
  <c r="Y99"/>
  <c r="O99"/>
  <c r="O120"/>
  <c r="L121"/>
  <c r="X123"/>
  <c r="L123"/>
  <c r="X13"/>
  <c r="L14"/>
  <c r="Y19"/>
  <c r="O19"/>
  <c r="O20"/>
  <c r="L21"/>
  <c r="X26"/>
  <c r="X33"/>
  <c r="O38"/>
  <c r="L39"/>
  <c r="X40"/>
  <c r="Y47"/>
  <c r="O47"/>
  <c r="O69"/>
  <c r="L70"/>
  <c r="X72"/>
  <c r="L72"/>
  <c r="Y79"/>
  <c r="O79"/>
  <c r="O101"/>
  <c r="L102"/>
  <c r="X104"/>
  <c r="L104"/>
  <c r="Y111"/>
  <c r="O111"/>
  <c r="O9"/>
  <c r="O13"/>
  <c r="O26"/>
  <c r="L27"/>
  <c r="X28"/>
  <c r="O33"/>
  <c r="Y39"/>
  <c r="O39"/>
  <c r="O40"/>
  <c r="O49"/>
  <c r="L50"/>
  <c r="X52"/>
  <c r="L52"/>
  <c r="Y59"/>
  <c r="O59"/>
  <c r="O81"/>
  <c r="L82"/>
  <c r="X84"/>
  <c r="L84"/>
  <c r="Y91"/>
  <c r="O91"/>
  <c r="O112"/>
  <c r="L113"/>
  <c r="X115"/>
  <c r="L115"/>
  <c r="Y122"/>
  <c r="O122"/>
  <c r="Y55"/>
  <c r="O55"/>
  <c r="Y87"/>
  <c r="O87"/>
  <c r="L19"/>
  <c r="O32"/>
  <c r="Y27"/>
  <c r="O27"/>
  <c r="Y103"/>
  <c r="O103"/>
  <c r="O6"/>
  <c r="Y15"/>
  <c r="O15"/>
  <c r="O16"/>
  <c r="L17"/>
  <c r="X36"/>
  <c r="O41"/>
  <c r="X44"/>
  <c r="L44"/>
  <c r="X76"/>
  <c r="L76"/>
  <c r="Y83"/>
  <c r="O83"/>
  <c r="O105"/>
  <c r="L106"/>
  <c r="X108"/>
  <c r="L108"/>
  <c r="Y114"/>
  <c r="O114"/>
  <c r="X7"/>
  <c r="X11"/>
  <c r="O22"/>
  <c r="L23"/>
  <c r="X24"/>
  <c r="O29"/>
  <c r="L30"/>
  <c r="Y35"/>
  <c r="O35"/>
  <c r="O36"/>
  <c r="L37"/>
  <c r="O53"/>
  <c r="L54"/>
  <c r="X56"/>
  <c r="L56"/>
  <c r="Y63"/>
  <c r="O63"/>
  <c r="O85"/>
  <c r="L86"/>
  <c r="X88"/>
  <c r="L88"/>
  <c r="Y95"/>
  <c r="O95"/>
  <c r="O116"/>
  <c r="L117"/>
  <c r="X119"/>
  <c r="L119"/>
  <c r="Y118"/>
  <c r="O118"/>
  <c r="X20"/>
  <c r="O57"/>
  <c r="L58"/>
  <c r="X60"/>
  <c r="L60"/>
  <c r="O89"/>
  <c r="L90"/>
  <c r="X64"/>
  <c r="L64"/>
  <c r="Y71"/>
  <c r="O71"/>
  <c r="X96"/>
  <c r="L96"/>
  <c r="O10"/>
  <c r="O34"/>
  <c r="L35"/>
  <c r="L42"/>
  <c r="Y51"/>
  <c r="O51"/>
  <c r="O73"/>
  <c r="L74"/>
  <c r="Y23"/>
  <c r="O23"/>
  <c r="Y43"/>
  <c r="O43"/>
  <c r="X68"/>
  <c r="L68"/>
  <c r="Y75"/>
  <c r="O75"/>
  <c r="X100"/>
  <c r="L100"/>
  <c r="Y107"/>
  <c r="O107"/>
  <c r="Y117" i="1"/>
  <c r="M60"/>
  <c r="M58"/>
  <c r="X59"/>
  <c r="O59"/>
  <c r="O60"/>
  <c r="O58"/>
  <c r="P17" i="103" l="1"/>
  <c r="P16"/>
  <c r="N19" i="1" l="1"/>
  <c r="C20" l="1"/>
  <c r="T73"/>
  <c r="U73"/>
  <c r="V56" i="103"/>
  <c r="V55"/>
  <c r="L150" i="1"/>
  <c r="M150" s="1"/>
  <c r="C73"/>
  <c r="C149" l="1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19"/>
  <c r="C118"/>
  <c r="C116"/>
  <c r="C115"/>
  <c r="C114"/>
  <c r="C113"/>
  <c r="C112"/>
  <c r="C111"/>
  <c r="C110"/>
  <c r="C109"/>
  <c r="C108"/>
  <c r="C107"/>
  <c r="C106"/>
  <c r="A68" l="1"/>
  <c r="P67"/>
  <c r="N67"/>
  <c r="Y67" s="1"/>
  <c r="L67"/>
  <c r="X67" s="1"/>
  <c r="K67"/>
  <c r="J67"/>
  <c r="I67"/>
  <c r="H67"/>
  <c r="G67"/>
  <c r="C67"/>
  <c r="M67" l="1"/>
  <c r="O67"/>
  <c r="C63"/>
  <c r="U75" l="1"/>
  <c r="T75"/>
  <c r="S75"/>
  <c r="R75"/>
  <c r="Q75"/>
  <c r="P75"/>
  <c r="N75"/>
  <c r="Y75" s="1"/>
  <c r="L75"/>
  <c r="X75" s="1"/>
  <c r="K75"/>
  <c r="J75"/>
  <c r="I75"/>
  <c r="H75"/>
  <c r="U74"/>
  <c r="T74"/>
  <c r="S74"/>
  <c r="R74"/>
  <c r="Q74"/>
  <c r="P74"/>
  <c r="N74"/>
  <c r="Y74" s="1"/>
  <c r="L74"/>
  <c r="X74" s="1"/>
  <c r="K74"/>
  <c r="J74"/>
  <c r="I74"/>
  <c r="H74"/>
  <c r="R73"/>
  <c r="Q73"/>
  <c r="P73"/>
  <c r="N73"/>
  <c r="Y73" s="1"/>
  <c r="L73"/>
  <c r="K73"/>
  <c r="J73"/>
  <c r="I73"/>
  <c r="H73"/>
  <c r="U72"/>
  <c r="T72"/>
  <c r="S72"/>
  <c r="R72"/>
  <c r="Q72"/>
  <c r="P72"/>
  <c r="N72"/>
  <c r="Y72" s="1"/>
  <c r="L72"/>
  <c r="K72"/>
  <c r="J72"/>
  <c r="I72"/>
  <c r="H72"/>
  <c r="U71"/>
  <c r="S71"/>
  <c r="R71"/>
  <c r="Q71"/>
  <c r="P71"/>
  <c r="N71"/>
  <c r="Y71" s="1"/>
  <c r="L71"/>
  <c r="M71" s="1"/>
  <c r="K71"/>
  <c r="J71"/>
  <c r="I71"/>
  <c r="H71"/>
  <c r="G75"/>
  <c r="G74"/>
  <c r="G73"/>
  <c r="G72"/>
  <c r="G71"/>
  <c r="U70"/>
  <c r="T70"/>
  <c r="S70"/>
  <c r="R70"/>
  <c r="Q70"/>
  <c r="P70"/>
  <c r="N70"/>
  <c r="Y70" s="1"/>
  <c r="L70"/>
  <c r="X70" s="1"/>
  <c r="K70"/>
  <c r="J70"/>
  <c r="I70"/>
  <c r="I76" s="1"/>
  <c r="H70"/>
  <c r="G70"/>
  <c r="P56" i="103"/>
  <c r="M56"/>
  <c r="H76" i="1" l="1"/>
  <c r="X73"/>
  <c r="M73"/>
  <c r="X72"/>
  <c r="M72"/>
  <c r="O74"/>
  <c r="M75"/>
  <c r="O75"/>
  <c r="M74"/>
  <c r="O73"/>
  <c r="O72"/>
  <c r="X71"/>
  <c r="O71"/>
  <c r="M70"/>
  <c r="O70"/>
  <c r="C75" l="1"/>
  <c r="C74"/>
  <c r="C60"/>
  <c r="C59"/>
  <c r="C58"/>
  <c r="C72"/>
  <c r="C71"/>
  <c r="C70"/>
  <c r="I8" i="31" l="1"/>
  <c r="C11" i="26" l="1"/>
  <c r="F11" l="1"/>
  <c r="N11"/>
  <c r="O11"/>
  <c r="P11"/>
  <c r="F33" i="74"/>
  <c r="I51"/>
  <c r="J51"/>
  <c r="O35" i="23"/>
  <c r="P35" s="1"/>
  <c r="Q35" s="1"/>
  <c r="O34"/>
  <c r="P34" s="1"/>
  <c r="Q34" s="1"/>
  <c r="O33"/>
  <c r="P33" s="1"/>
  <c r="Q33" s="1"/>
  <c r="O32"/>
  <c r="P32" s="1"/>
  <c r="Q32" s="1"/>
  <c r="O31"/>
  <c r="P31" s="1"/>
  <c r="Q31" s="1"/>
  <c r="O30"/>
  <c r="P30" s="1"/>
  <c r="Q30" s="1"/>
  <c r="O62"/>
  <c r="P62" s="1"/>
  <c r="Q62" s="1"/>
  <c r="O61"/>
  <c r="P61" s="1"/>
  <c r="Q61" s="1"/>
  <c r="O60"/>
  <c r="P60" s="1"/>
  <c r="Q60" s="1"/>
  <c r="O59"/>
  <c r="P59" s="1"/>
  <c r="Q59" s="1"/>
  <c r="O58"/>
  <c r="P58" s="1"/>
  <c r="Q58" s="1"/>
  <c r="O57"/>
  <c r="P57" s="1"/>
  <c r="Q57" s="1"/>
  <c r="O56"/>
  <c r="P56" s="1"/>
  <c r="Q56" s="1"/>
  <c r="O55"/>
  <c r="P55" s="1"/>
  <c r="Q55" s="1"/>
  <c r="O54"/>
  <c r="P54" s="1"/>
  <c r="Q54" s="1"/>
  <c r="O53"/>
  <c r="P53" s="1"/>
  <c r="Q53" s="1"/>
  <c r="O52"/>
  <c r="P52" s="1"/>
  <c r="Q52" s="1"/>
  <c r="G127" i="1"/>
  <c r="H127"/>
  <c r="I127"/>
  <c r="J127"/>
  <c r="K127"/>
  <c r="L127"/>
  <c r="M127" s="1"/>
  <c r="N127"/>
  <c r="O127" s="1"/>
  <c r="P127"/>
  <c r="Q127"/>
  <c r="R127"/>
  <c r="S127"/>
  <c r="T127"/>
  <c r="U127"/>
  <c r="G128"/>
  <c r="H128"/>
  <c r="I128"/>
  <c r="J128"/>
  <c r="K128"/>
  <c r="L128"/>
  <c r="X128" s="1"/>
  <c r="N128"/>
  <c r="Y128" s="1"/>
  <c r="P128"/>
  <c r="Q128"/>
  <c r="R128"/>
  <c r="S128"/>
  <c r="T128"/>
  <c r="U128"/>
  <c r="G129"/>
  <c r="H129"/>
  <c r="I129"/>
  <c r="J129"/>
  <c r="K129"/>
  <c r="L129"/>
  <c r="M129" s="1"/>
  <c r="N129"/>
  <c r="O129" s="1"/>
  <c r="P129"/>
  <c r="Q129"/>
  <c r="R129"/>
  <c r="S129"/>
  <c r="T129"/>
  <c r="U129"/>
  <c r="U126"/>
  <c r="T126"/>
  <c r="S126"/>
  <c r="R126"/>
  <c r="Q126"/>
  <c r="P126"/>
  <c r="N126"/>
  <c r="Y126" s="1"/>
  <c r="L126"/>
  <c r="M126" s="1"/>
  <c r="K126"/>
  <c r="J126"/>
  <c r="I126"/>
  <c r="H126"/>
  <c r="G126"/>
  <c r="A120"/>
  <c r="U119"/>
  <c r="T119"/>
  <c r="S119"/>
  <c r="R119"/>
  <c r="Q119"/>
  <c r="P119"/>
  <c r="N119"/>
  <c r="Y119" s="1"/>
  <c r="L119"/>
  <c r="M119" s="1"/>
  <c r="K119"/>
  <c r="J119"/>
  <c r="I119"/>
  <c r="H119"/>
  <c r="G119"/>
  <c r="U116"/>
  <c r="T116"/>
  <c r="S116"/>
  <c r="R116"/>
  <c r="Q116"/>
  <c r="P116"/>
  <c r="N116"/>
  <c r="Y116" s="1"/>
  <c r="L116"/>
  <c r="X116" s="1"/>
  <c r="K116"/>
  <c r="J116"/>
  <c r="I116"/>
  <c r="H116"/>
  <c r="G116"/>
  <c r="G111"/>
  <c r="H111"/>
  <c r="I111"/>
  <c r="J111"/>
  <c r="K111"/>
  <c r="L111"/>
  <c r="M111" s="1"/>
  <c r="N111"/>
  <c r="O111" s="1"/>
  <c r="P111"/>
  <c r="Q111"/>
  <c r="R111"/>
  <c r="S111"/>
  <c r="T111"/>
  <c r="U111"/>
  <c r="U82"/>
  <c r="T82"/>
  <c r="S82"/>
  <c r="R82"/>
  <c r="Q82"/>
  <c r="P82"/>
  <c r="N82"/>
  <c r="Y82" s="1"/>
  <c r="L82"/>
  <c r="X82" s="1"/>
  <c r="K82"/>
  <c r="J82"/>
  <c r="I82"/>
  <c r="H82"/>
  <c r="G82"/>
  <c r="C82"/>
  <c r="U28"/>
  <c r="T28"/>
  <c r="S28"/>
  <c r="R28"/>
  <c r="Q28"/>
  <c r="P28"/>
  <c r="N28"/>
  <c r="Y28" s="1"/>
  <c r="L28"/>
  <c r="X28" s="1"/>
  <c r="K28"/>
  <c r="J28"/>
  <c r="I28"/>
  <c r="H28"/>
  <c r="G28"/>
  <c r="C28"/>
  <c r="L8"/>
  <c r="V8" i="103"/>
  <c r="P8"/>
  <c r="M8"/>
  <c r="E8"/>
  <c r="D8"/>
  <c r="C8" i="1"/>
  <c r="C11"/>
  <c r="M128" l="1"/>
  <c r="X127"/>
  <c r="O128"/>
  <c r="Y129"/>
  <c r="X129"/>
  <c r="Y127"/>
  <c r="X126"/>
  <c r="O126"/>
  <c r="X119"/>
  <c r="O119"/>
  <c r="X111"/>
  <c r="O116"/>
  <c r="M116"/>
  <c r="Y111"/>
  <c r="M82"/>
  <c r="O82"/>
  <c r="M28"/>
  <c r="O28"/>
  <c r="E16" i="103"/>
  <c r="E17"/>
  <c r="J41" i="74" l="1"/>
  <c r="F41"/>
  <c r="I52"/>
  <c r="A76" i="1" l="1"/>
  <c r="A61"/>
  <c r="A37" i="104" l="1"/>
  <c r="A30"/>
  <c r="A31" s="1"/>
  <c r="A32" s="1"/>
  <c r="A33" s="1"/>
  <c r="A34" s="1"/>
  <c r="A35" s="1"/>
  <c r="A36" s="1"/>
  <c r="A29"/>
  <c r="A25"/>
  <c r="A26" s="1"/>
  <c r="A27" s="1"/>
  <c r="A28" s="1"/>
  <c r="A17"/>
  <c r="A18" s="1"/>
  <c r="A19" s="1"/>
  <c r="A20" s="1"/>
  <c r="A21" s="1"/>
  <c r="A22" s="1"/>
  <c r="A23" s="1"/>
  <c r="A24" s="1"/>
  <c r="A16"/>
  <c r="A14"/>
  <c r="A15" s="1"/>
  <c r="A13"/>
  <c r="A10"/>
  <c r="A11" s="1"/>
  <c r="A12" s="1"/>
  <c r="A6"/>
  <c r="A7" s="1"/>
  <c r="A8" s="1"/>
  <c r="A9" s="1"/>
  <c r="K23" i="21" l="1"/>
  <c r="K22"/>
  <c r="K21"/>
  <c r="K20"/>
  <c r="Y9" i="1" l="1"/>
  <c r="Y10"/>
  <c r="Y41"/>
  <c r="Y50"/>
  <c r="Y55"/>
  <c r="Y56"/>
  <c r="Y61"/>
  <c r="Y62"/>
  <c r="Y68"/>
  <c r="Y69"/>
  <c r="Y76"/>
  <c r="Y77"/>
  <c r="Y104"/>
  <c r="Y105"/>
  <c r="Y120"/>
  <c r="Y121"/>
  <c r="A4" i="26"/>
  <c r="A4" i="24"/>
  <c r="X9" i="1"/>
  <c r="X10"/>
  <c r="X32"/>
  <c r="X33"/>
  <c r="X41"/>
  <c r="X42"/>
  <c r="X49"/>
  <c r="X50"/>
  <c r="X55"/>
  <c r="X56"/>
  <c r="X61"/>
  <c r="X62"/>
  <c r="X68"/>
  <c r="X69"/>
  <c r="X76"/>
  <c r="X77"/>
  <c r="X104"/>
  <c r="X105"/>
  <c r="X120"/>
  <c r="X121"/>
  <c r="S21" i="24"/>
  <c r="S20"/>
  <c r="Q29"/>
  <c r="Q27"/>
  <c r="Q26"/>
  <c r="P27"/>
  <c r="P26"/>
  <c r="O25"/>
  <c r="N27"/>
  <c r="N26"/>
  <c r="L26"/>
  <c r="K26"/>
  <c r="G27"/>
  <c r="I27"/>
  <c r="I26"/>
  <c r="H27"/>
  <c r="H26"/>
  <c r="G26"/>
  <c r="R27"/>
  <c r="C40" i="31" s="1"/>
  <c r="S27" i="24"/>
  <c r="Q23"/>
  <c r="Q22"/>
  <c r="Q21"/>
  <c r="Q20"/>
  <c r="Q19"/>
  <c r="Q18"/>
  <c r="S19"/>
  <c r="S18"/>
  <c r="H39" i="31" s="1"/>
  <c r="R18" i="24"/>
  <c r="H43" i="31" l="1"/>
  <c r="I42" s="1"/>
  <c r="I39" l="1"/>
  <c r="I41"/>
  <c r="I38"/>
  <c r="I40"/>
  <c r="K57" i="1" l="1"/>
  <c r="J57"/>
  <c r="L15" i="26" s="1"/>
  <c r="I57" i="1"/>
  <c r="H61"/>
  <c r="H57"/>
  <c r="G57"/>
  <c r="C12"/>
  <c r="C13"/>
  <c r="C14"/>
  <c r="C15"/>
  <c r="C16"/>
  <c r="C17"/>
  <c r="C19"/>
  <c r="C21"/>
  <c r="D9" i="103"/>
  <c r="D10"/>
  <c r="D11"/>
  <c r="D12"/>
  <c r="D23"/>
  <c r="D14"/>
  <c r="D15"/>
  <c r="D18"/>
  <c r="D19"/>
  <c r="D20"/>
  <c r="D21"/>
  <c r="D22"/>
  <c r="D24"/>
  <c r="D25"/>
  <c r="D27"/>
  <c r="D28"/>
  <c r="D29"/>
  <c r="D30"/>
  <c r="D34"/>
  <c r="D35"/>
  <c r="D36"/>
  <c r="D37"/>
  <c r="D38"/>
  <c r="D39"/>
  <c r="D40"/>
  <c r="D41"/>
  <c r="D42"/>
  <c r="D43"/>
  <c r="D44"/>
  <c r="D45"/>
  <c r="D46"/>
  <c r="D48"/>
  <c r="D13"/>
  <c r="D50"/>
  <c r="D51"/>
  <c r="D52"/>
  <c r="D53"/>
  <c r="D54"/>
  <c r="D55"/>
  <c r="D57"/>
  <c r="D59"/>
  <c r="D60"/>
  <c r="D61"/>
  <c r="D62"/>
  <c r="D63"/>
  <c r="D64"/>
  <c r="D65"/>
  <c r="D66"/>
  <c r="D67"/>
  <c r="D69"/>
  <c r="D70"/>
  <c r="D71"/>
  <c r="D72"/>
  <c r="D68"/>
  <c r="D75"/>
  <c r="D76"/>
  <c r="D77"/>
  <c r="D78"/>
  <c r="D79"/>
  <c r="D80"/>
  <c r="D49"/>
  <c r="D81"/>
  <c r="D82"/>
  <c r="D26"/>
  <c r="D83"/>
  <c r="D84"/>
  <c r="D31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73"/>
  <c r="D107"/>
  <c r="D108"/>
  <c r="D109"/>
  <c r="D110"/>
  <c r="D111"/>
  <c r="D112"/>
  <c r="D113"/>
  <c r="D114"/>
  <c r="D115"/>
  <c r="D116"/>
  <c r="D74"/>
  <c r="D117"/>
  <c r="D118"/>
  <c r="D119"/>
  <c r="D58"/>
  <c r="D33"/>
  <c r="D120"/>
  <c r="D121"/>
  <c r="D122"/>
  <c r="D123"/>
  <c r="D124"/>
  <c r="D125"/>
  <c r="D47"/>
  <c r="D126"/>
  <c r="D32"/>
  <c r="D127"/>
  <c r="D128"/>
  <c r="D129"/>
  <c r="D130"/>
  <c r="D131"/>
  <c r="D132"/>
  <c r="D133"/>
  <c r="D134"/>
  <c r="D135"/>
  <c r="E9"/>
  <c r="E10"/>
  <c r="E11"/>
  <c r="E12"/>
  <c r="E23"/>
  <c r="E14"/>
  <c r="E15"/>
  <c r="E18"/>
  <c r="E19"/>
  <c r="E20"/>
  <c r="E21"/>
  <c r="E22"/>
  <c r="E24"/>
  <c r="E25"/>
  <c r="E27"/>
  <c r="E28"/>
  <c r="E29"/>
  <c r="E30"/>
  <c r="E34"/>
  <c r="E35"/>
  <c r="E36"/>
  <c r="E37"/>
  <c r="E38"/>
  <c r="E39"/>
  <c r="E40"/>
  <c r="E41"/>
  <c r="E42"/>
  <c r="E43"/>
  <c r="E44"/>
  <c r="E45"/>
  <c r="E46"/>
  <c r="E48"/>
  <c r="E13"/>
  <c r="E50"/>
  <c r="E51"/>
  <c r="E52"/>
  <c r="E53"/>
  <c r="E54"/>
  <c r="E55"/>
  <c r="E57"/>
  <c r="E59"/>
  <c r="E60"/>
  <c r="E61"/>
  <c r="E62"/>
  <c r="E63"/>
  <c r="E64"/>
  <c r="E65"/>
  <c r="E66"/>
  <c r="E67"/>
  <c r="E69"/>
  <c r="E70"/>
  <c r="E71"/>
  <c r="E72"/>
  <c r="E68"/>
  <c r="E75"/>
  <c r="E76"/>
  <c r="E77"/>
  <c r="E78"/>
  <c r="E79"/>
  <c r="E80"/>
  <c r="E49"/>
  <c r="E81"/>
  <c r="E82"/>
  <c r="E26"/>
  <c r="E83"/>
  <c r="E84"/>
  <c r="E31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3"/>
  <c r="E107"/>
  <c r="E108"/>
  <c r="E109"/>
  <c r="E110"/>
  <c r="E111"/>
  <c r="E112"/>
  <c r="E113"/>
  <c r="E114"/>
  <c r="E115"/>
  <c r="E116"/>
  <c r="E74"/>
  <c r="E117"/>
  <c r="E118"/>
  <c r="E119"/>
  <c r="E58"/>
  <c r="E33"/>
  <c r="E120"/>
  <c r="E121"/>
  <c r="E122"/>
  <c r="E123"/>
  <c r="E124"/>
  <c r="E125"/>
  <c r="E47"/>
  <c r="E126"/>
  <c r="E32"/>
  <c r="E127"/>
  <c r="E128"/>
  <c r="E129"/>
  <c r="E130"/>
  <c r="E131"/>
  <c r="E132"/>
  <c r="E133"/>
  <c r="E134"/>
  <c r="E135"/>
  <c r="I61" i="1" l="1"/>
  <c r="O23" i="26"/>
  <c r="O22"/>
  <c r="M16"/>
  <c r="M15"/>
  <c r="O16"/>
  <c r="O15"/>
  <c r="M23"/>
  <c r="M24" s="1"/>
  <c r="U150" i="1"/>
  <c r="T150"/>
  <c r="S150"/>
  <c r="R150"/>
  <c r="Q150"/>
  <c r="P150"/>
  <c r="N150"/>
  <c r="O150" s="1"/>
  <c r="U149"/>
  <c r="T149"/>
  <c r="S149"/>
  <c r="R149"/>
  <c r="Q149"/>
  <c r="P149"/>
  <c r="N149"/>
  <c r="L149"/>
  <c r="K149"/>
  <c r="J149"/>
  <c r="I149"/>
  <c r="H149"/>
  <c r="G149"/>
  <c r="U148"/>
  <c r="T148"/>
  <c r="S148"/>
  <c r="R148"/>
  <c r="Q148"/>
  <c r="P148"/>
  <c r="N148"/>
  <c r="L148"/>
  <c r="K148"/>
  <c r="J148"/>
  <c r="I148"/>
  <c r="H148"/>
  <c r="G148"/>
  <c r="U147"/>
  <c r="T147"/>
  <c r="S147"/>
  <c r="R147"/>
  <c r="Q147"/>
  <c r="P147"/>
  <c r="N147"/>
  <c r="L147"/>
  <c r="K147"/>
  <c r="J147"/>
  <c r="I147"/>
  <c r="H147"/>
  <c r="G147"/>
  <c r="U146"/>
  <c r="T146"/>
  <c r="S146"/>
  <c r="R146"/>
  <c r="Q146"/>
  <c r="P146"/>
  <c r="N146"/>
  <c r="L146"/>
  <c r="K146"/>
  <c r="J146"/>
  <c r="I146"/>
  <c r="H146"/>
  <c r="G146"/>
  <c r="U145"/>
  <c r="T145"/>
  <c r="S145"/>
  <c r="R145"/>
  <c r="Q145"/>
  <c r="P145"/>
  <c r="N145"/>
  <c r="L145"/>
  <c r="K145"/>
  <c r="J145"/>
  <c r="I145"/>
  <c r="H145"/>
  <c r="G145"/>
  <c r="U144"/>
  <c r="T144"/>
  <c r="S144"/>
  <c r="R144"/>
  <c r="Q144"/>
  <c r="P144"/>
  <c r="N144"/>
  <c r="L144"/>
  <c r="K144"/>
  <c r="J144"/>
  <c r="I144"/>
  <c r="H144"/>
  <c r="G144"/>
  <c r="U143"/>
  <c r="T143"/>
  <c r="S143"/>
  <c r="R143"/>
  <c r="Q143"/>
  <c r="P143"/>
  <c r="N143"/>
  <c r="L143"/>
  <c r="K143"/>
  <c r="J143"/>
  <c r="I143"/>
  <c r="H143"/>
  <c r="G143"/>
  <c r="U142"/>
  <c r="T142"/>
  <c r="S142"/>
  <c r="R142"/>
  <c r="Q142"/>
  <c r="P142"/>
  <c r="N142"/>
  <c r="L142"/>
  <c r="K142"/>
  <c r="J142"/>
  <c r="I142"/>
  <c r="H142"/>
  <c r="G142"/>
  <c r="U141"/>
  <c r="T141"/>
  <c r="S141"/>
  <c r="R141"/>
  <c r="Q141"/>
  <c r="P141"/>
  <c r="N141"/>
  <c r="L141"/>
  <c r="K141"/>
  <c r="J141"/>
  <c r="I141"/>
  <c r="H141"/>
  <c r="G141"/>
  <c r="U140"/>
  <c r="T140"/>
  <c r="S140"/>
  <c r="R140"/>
  <c r="Q140"/>
  <c r="P140"/>
  <c r="N140"/>
  <c r="L140"/>
  <c r="K140"/>
  <c r="J140"/>
  <c r="I140"/>
  <c r="H140"/>
  <c r="G140"/>
  <c r="U139"/>
  <c r="T139"/>
  <c r="S139"/>
  <c r="R139"/>
  <c r="Q139"/>
  <c r="P139"/>
  <c r="N139"/>
  <c r="L139"/>
  <c r="K139"/>
  <c r="J139"/>
  <c r="I139"/>
  <c r="H139"/>
  <c r="G139"/>
  <c r="U138"/>
  <c r="T138"/>
  <c r="S138"/>
  <c r="R138"/>
  <c r="Q138"/>
  <c r="P138"/>
  <c r="N138"/>
  <c r="L138"/>
  <c r="K138"/>
  <c r="J138"/>
  <c r="I138"/>
  <c r="H138"/>
  <c r="G138"/>
  <c r="U137"/>
  <c r="T137"/>
  <c r="S137"/>
  <c r="R137"/>
  <c r="Q137"/>
  <c r="P137"/>
  <c r="N137"/>
  <c r="L137"/>
  <c r="K137"/>
  <c r="J137"/>
  <c r="I137"/>
  <c r="H137"/>
  <c r="G137"/>
  <c r="U136"/>
  <c r="T136"/>
  <c r="S136"/>
  <c r="R136"/>
  <c r="Q136"/>
  <c r="P136"/>
  <c r="N136"/>
  <c r="L136"/>
  <c r="K136"/>
  <c r="J136"/>
  <c r="I136"/>
  <c r="H136"/>
  <c r="G136"/>
  <c r="U135"/>
  <c r="T135"/>
  <c r="S135"/>
  <c r="R135"/>
  <c r="Q135"/>
  <c r="P135"/>
  <c r="N135"/>
  <c r="L135"/>
  <c r="K135"/>
  <c r="J135"/>
  <c r="I135"/>
  <c r="H135"/>
  <c r="G135"/>
  <c r="U134"/>
  <c r="T134"/>
  <c r="S134"/>
  <c r="R134"/>
  <c r="Q134"/>
  <c r="P134"/>
  <c r="N134"/>
  <c r="L134"/>
  <c r="K134"/>
  <c r="J134"/>
  <c r="I134"/>
  <c r="H134"/>
  <c r="G134"/>
  <c r="U133"/>
  <c r="T133"/>
  <c r="S133"/>
  <c r="R133"/>
  <c r="Q133"/>
  <c r="P133"/>
  <c r="N133"/>
  <c r="L133"/>
  <c r="K133"/>
  <c r="J133"/>
  <c r="I133"/>
  <c r="H133"/>
  <c r="G133"/>
  <c r="U132"/>
  <c r="T132"/>
  <c r="S132"/>
  <c r="R132"/>
  <c r="Q132"/>
  <c r="P132"/>
  <c r="N132"/>
  <c r="L132"/>
  <c r="K132"/>
  <c r="J132"/>
  <c r="I132"/>
  <c r="H132"/>
  <c r="G132"/>
  <c r="U131"/>
  <c r="T131"/>
  <c r="S131"/>
  <c r="R131"/>
  <c r="Q131"/>
  <c r="P131"/>
  <c r="N131"/>
  <c r="L131"/>
  <c r="K131"/>
  <c r="J131"/>
  <c r="I131"/>
  <c r="H131"/>
  <c r="G131"/>
  <c r="U130"/>
  <c r="T130"/>
  <c r="S130"/>
  <c r="R130"/>
  <c r="Q130"/>
  <c r="P130"/>
  <c r="N130"/>
  <c r="L130"/>
  <c r="K130"/>
  <c r="J130"/>
  <c r="I130"/>
  <c r="H130"/>
  <c r="G130"/>
  <c r="U125"/>
  <c r="T125"/>
  <c r="S125"/>
  <c r="R125"/>
  <c r="Q125"/>
  <c r="P125"/>
  <c r="N125"/>
  <c r="L125"/>
  <c r="K125"/>
  <c r="J125"/>
  <c r="I125"/>
  <c r="H125"/>
  <c r="G125"/>
  <c r="U124"/>
  <c r="S124"/>
  <c r="R124"/>
  <c r="Q124"/>
  <c r="P124"/>
  <c r="N124"/>
  <c r="L124"/>
  <c r="K124"/>
  <c r="J124"/>
  <c r="I124"/>
  <c r="H124"/>
  <c r="G124"/>
  <c r="U123"/>
  <c r="T123"/>
  <c r="S123"/>
  <c r="R123"/>
  <c r="Q123"/>
  <c r="P123"/>
  <c r="N123"/>
  <c r="L123"/>
  <c r="K123"/>
  <c r="J123"/>
  <c r="I123"/>
  <c r="H123"/>
  <c r="G123"/>
  <c r="U122"/>
  <c r="T122"/>
  <c r="S122"/>
  <c r="R122"/>
  <c r="Q122"/>
  <c r="P122"/>
  <c r="N122"/>
  <c r="L122"/>
  <c r="K122"/>
  <c r="J122"/>
  <c r="I122"/>
  <c r="H122"/>
  <c r="G122"/>
  <c r="U118"/>
  <c r="T118"/>
  <c r="S118"/>
  <c r="R118"/>
  <c r="Q118"/>
  <c r="P118"/>
  <c r="N118"/>
  <c r="L118"/>
  <c r="K118"/>
  <c r="J118"/>
  <c r="I118"/>
  <c r="H118"/>
  <c r="G118"/>
  <c r="U115"/>
  <c r="T115"/>
  <c r="S115"/>
  <c r="R115"/>
  <c r="Q115"/>
  <c r="P115"/>
  <c r="N115"/>
  <c r="L115"/>
  <c r="K115"/>
  <c r="J115"/>
  <c r="I115"/>
  <c r="H115"/>
  <c r="G115"/>
  <c r="U114"/>
  <c r="T114"/>
  <c r="S114"/>
  <c r="R114"/>
  <c r="Q114"/>
  <c r="P114"/>
  <c r="N114"/>
  <c r="L114"/>
  <c r="K114"/>
  <c r="J114"/>
  <c r="I114"/>
  <c r="H114"/>
  <c r="G114"/>
  <c r="U113"/>
  <c r="S113"/>
  <c r="R113"/>
  <c r="Q113"/>
  <c r="P113"/>
  <c r="N113"/>
  <c r="L113"/>
  <c r="K113"/>
  <c r="J113"/>
  <c r="I113"/>
  <c r="H113"/>
  <c r="G113"/>
  <c r="U112"/>
  <c r="S112"/>
  <c r="R112"/>
  <c r="Q112"/>
  <c r="P112"/>
  <c r="N112"/>
  <c r="L112"/>
  <c r="K112"/>
  <c r="J112"/>
  <c r="I112"/>
  <c r="H112"/>
  <c r="G112"/>
  <c r="U110"/>
  <c r="T110"/>
  <c r="S110"/>
  <c r="R110"/>
  <c r="Q110"/>
  <c r="P110"/>
  <c r="N110"/>
  <c r="L110"/>
  <c r="K110"/>
  <c r="J110"/>
  <c r="I110"/>
  <c r="H110"/>
  <c r="G110"/>
  <c r="U109"/>
  <c r="S109"/>
  <c r="R109"/>
  <c r="Q109"/>
  <c r="P109"/>
  <c r="N109"/>
  <c r="L109"/>
  <c r="K109"/>
  <c r="J109"/>
  <c r="I109"/>
  <c r="H109"/>
  <c r="G109"/>
  <c r="U108"/>
  <c r="S108"/>
  <c r="R108"/>
  <c r="Q108"/>
  <c r="P108"/>
  <c r="N108"/>
  <c r="L108"/>
  <c r="K108"/>
  <c r="J108"/>
  <c r="I108"/>
  <c r="H108"/>
  <c r="G108"/>
  <c r="U107"/>
  <c r="T107"/>
  <c r="S107"/>
  <c r="R107"/>
  <c r="Q107"/>
  <c r="P107"/>
  <c r="N107"/>
  <c r="L107"/>
  <c r="K107"/>
  <c r="J107"/>
  <c r="I107"/>
  <c r="H107"/>
  <c r="G107"/>
  <c r="U106"/>
  <c r="T106"/>
  <c r="S106"/>
  <c r="R106"/>
  <c r="Q106"/>
  <c r="P106"/>
  <c r="N106"/>
  <c r="L106"/>
  <c r="K106"/>
  <c r="J106"/>
  <c r="I106"/>
  <c r="H106"/>
  <c r="G106"/>
  <c r="G103"/>
  <c r="H103"/>
  <c r="I103"/>
  <c r="J103"/>
  <c r="K103"/>
  <c r="L103"/>
  <c r="N103"/>
  <c r="P103"/>
  <c r="Q103"/>
  <c r="R103"/>
  <c r="S103"/>
  <c r="U103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1"/>
  <c r="C80"/>
  <c r="C79"/>
  <c r="C78"/>
  <c r="U102"/>
  <c r="T102"/>
  <c r="S102"/>
  <c r="R102"/>
  <c r="Q102"/>
  <c r="P102"/>
  <c r="N102"/>
  <c r="L102"/>
  <c r="K102"/>
  <c r="J102"/>
  <c r="I102"/>
  <c r="H102"/>
  <c r="G102"/>
  <c r="U101"/>
  <c r="S101"/>
  <c r="R101"/>
  <c r="Q101"/>
  <c r="P101"/>
  <c r="N101"/>
  <c r="L101"/>
  <c r="K101"/>
  <c r="J101"/>
  <c r="I101"/>
  <c r="H101"/>
  <c r="G101"/>
  <c r="U100"/>
  <c r="T100"/>
  <c r="S100"/>
  <c r="R100"/>
  <c r="Q100"/>
  <c r="P100"/>
  <c r="N100"/>
  <c r="L100"/>
  <c r="K100"/>
  <c r="J100"/>
  <c r="I100"/>
  <c r="H100"/>
  <c r="G100"/>
  <c r="U99"/>
  <c r="T99"/>
  <c r="S99"/>
  <c r="R99"/>
  <c r="Q99"/>
  <c r="P99"/>
  <c r="N99"/>
  <c r="L99"/>
  <c r="K99"/>
  <c r="J99"/>
  <c r="I99"/>
  <c r="H99"/>
  <c r="G99"/>
  <c r="U98"/>
  <c r="T98"/>
  <c r="S98"/>
  <c r="R98"/>
  <c r="Q98"/>
  <c r="P98"/>
  <c r="N98"/>
  <c r="L98"/>
  <c r="K98"/>
  <c r="J98"/>
  <c r="I98"/>
  <c r="H98"/>
  <c r="G98"/>
  <c r="U97"/>
  <c r="T97"/>
  <c r="S97"/>
  <c r="R97"/>
  <c r="Q97"/>
  <c r="P97"/>
  <c r="N97"/>
  <c r="L97"/>
  <c r="K97"/>
  <c r="J97"/>
  <c r="I97"/>
  <c r="H97"/>
  <c r="G97"/>
  <c r="U96"/>
  <c r="S96"/>
  <c r="R96"/>
  <c r="Q96"/>
  <c r="P96"/>
  <c r="N96"/>
  <c r="L96"/>
  <c r="K96"/>
  <c r="J96"/>
  <c r="I96"/>
  <c r="H96"/>
  <c r="G96"/>
  <c r="U95"/>
  <c r="S95"/>
  <c r="R95"/>
  <c r="Q95"/>
  <c r="P95"/>
  <c r="N95"/>
  <c r="L95"/>
  <c r="K95"/>
  <c r="J95"/>
  <c r="I95"/>
  <c r="H95"/>
  <c r="G95"/>
  <c r="U94"/>
  <c r="S94"/>
  <c r="R94"/>
  <c r="Q94"/>
  <c r="P94"/>
  <c r="N94"/>
  <c r="L94"/>
  <c r="K94"/>
  <c r="J94"/>
  <c r="I94"/>
  <c r="H94"/>
  <c r="G94"/>
  <c r="U93"/>
  <c r="S93"/>
  <c r="R93"/>
  <c r="Q93"/>
  <c r="P93"/>
  <c r="N93"/>
  <c r="L93"/>
  <c r="K93"/>
  <c r="J93"/>
  <c r="I93"/>
  <c r="H93"/>
  <c r="G93"/>
  <c r="U92"/>
  <c r="T92"/>
  <c r="S92"/>
  <c r="R92"/>
  <c r="Q92"/>
  <c r="P92"/>
  <c r="N92"/>
  <c r="L92"/>
  <c r="K92"/>
  <c r="J92"/>
  <c r="I92"/>
  <c r="H92"/>
  <c r="G92"/>
  <c r="U91"/>
  <c r="T91"/>
  <c r="S91"/>
  <c r="R91"/>
  <c r="Q91"/>
  <c r="P91"/>
  <c r="N91"/>
  <c r="L91"/>
  <c r="K91"/>
  <c r="J91"/>
  <c r="I91"/>
  <c r="H91"/>
  <c r="G91"/>
  <c r="U90"/>
  <c r="T90"/>
  <c r="S90"/>
  <c r="R90"/>
  <c r="Q90"/>
  <c r="P90"/>
  <c r="N90"/>
  <c r="L90"/>
  <c r="K90"/>
  <c r="J90"/>
  <c r="I90"/>
  <c r="H90"/>
  <c r="G90"/>
  <c r="U89"/>
  <c r="S89"/>
  <c r="R89"/>
  <c r="Q89"/>
  <c r="P89"/>
  <c r="N89"/>
  <c r="L89"/>
  <c r="K89"/>
  <c r="J89"/>
  <c r="I89"/>
  <c r="H89"/>
  <c r="G89"/>
  <c r="U88"/>
  <c r="S88"/>
  <c r="R88"/>
  <c r="Q88"/>
  <c r="P88"/>
  <c r="N88"/>
  <c r="L88"/>
  <c r="K88"/>
  <c r="J88"/>
  <c r="I88"/>
  <c r="H88"/>
  <c r="G88"/>
  <c r="U87"/>
  <c r="T87"/>
  <c r="S87"/>
  <c r="R87"/>
  <c r="Q87"/>
  <c r="P87"/>
  <c r="N87"/>
  <c r="L87"/>
  <c r="K87"/>
  <c r="J87"/>
  <c r="I87"/>
  <c r="H87"/>
  <c r="G87"/>
  <c r="U86"/>
  <c r="T86"/>
  <c r="S86"/>
  <c r="R86"/>
  <c r="Q86"/>
  <c r="P86"/>
  <c r="N86"/>
  <c r="L86"/>
  <c r="K86"/>
  <c r="J86"/>
  <c r="I86"/>
  <c r="H86"/>
  <c r="G86"/>
  <c r="U85"/>
  <c r="S85"/>
  <c r="R85"/>
  <c r="Q85"/>
  <c r="P85"/>
  <c r="N85"/>
  <c r="L85"/>
  <c r="K85"/>
  <c r="J85"/>
  <c r="I85"/>
  <c r="H85"/>
  <c r="G85"/>
  <c r="U84"/>
  <c r="S84"/>
  <c r="R84"/>
  <c r="Q84"/>
  <c r="P84"/>
  <c r="N84"/>
  <c r="L84"/>
  <c r="K84"/>
  <c r="J84"/>
  <c r="I84"/>
  <c r="H84"/>
  <c r="G84"/>
  <c r="U83"/>
  <c r="S83"/>
  <c r="R83"/>
  <c r="Q83"/>
  <c r="P83"/>
  <c r="N83"/>
  <c r="L83"/>
  <c r="K83"/>
  <c r="J83"/>
  <c r="I83"/>
  <c r="H83"/>
  <c r="G83"/>
  <c r="U81"/>
  <c r="S81"/>
  <c r="R81"/>
  <c r="Q81"/>
  <c r="P81"/>
  <c r="N81"/>
  <c r="L81"/>
  <c r="K81"/>
  <c r="J81"/>
  <c r="I81"/>
  <c r="H81"/>
  <c r="G81"/>
  <c r="U80"/>
  <c r="T80"/>
  <c r="S80"/>
  <c r="R80"/>
  <c r="Q80"/>
  <c r="P80"/>
  <c r="N80"/>
  <c r="L80"/>
  <c r="K80"/>
  <c r="J80"/>
  <c r="I80"/>
  <c r="H80"/>
  <c r="G80"/>
  <c r="U79"/>
  <c r="T79"/>
  <c r="S79"/>
  <c r="R79"/>
  <c r="Q79"/>
  <c r="P79"/>
  <c r="N79"/>
  <c r="L79"/>
  <c r="K79"/>
  <c r="J79"/>
  <c r="I79"/>
  <c r="H79"/>
  <c r="G79"/>
  <c r="U78"/>
  <c r="S78"/>
  <c r="R78"/>
  <c r="Q78"/>
  <c r="P78"/>
  <c r="N78"/>
  <c r="L78"/>
  <c r="K78"/>
  <c r="J78"/>
  <c r="I78"/>
  <c r="H78"/>
  <c r="G78"/>
  <c r="P66"/>
  <c r="N66"/>
  <c r="Y66" s="1"/>
  <c r="L66"/>
  <c r="X66" s="1"/>
  <c r="K66"/>
  <c r="J66"/>
  <c r="I66"/>
  <c r="H66"/>
  <c r="G66"/>
  <c r="P65"/>
  <c r="N65"/>
  <c r="Y65" s="1"/>
  <c r="L65"/>
  <c r="X65" s="1"/>
  <c r="K65"/>
  <c r="J65"/>
  <c r="I65"/>
  <c r="H65"/>
  <c r="G65"/>
  <c r="P64"/>
  <c r="N64"/>
  <c r="Y64" s="1"/>
  <c r="L64"/>
  <c r="X64" s="1"/>
  <c r="K64"/>
  <c r="J64"/>
  <c r="I64"/>
  <c r="H64"/>
  <c r="G64"/>
  <c r="Q63"/>
  <c r="P63"/>
  <c r="N63"/>
  <c r="Y63" s="1"/>
  <c r="L63"/>
  <c r="X63" s="1"/>
  <c r="K63"/>
  <c r="J63"/>
  <c r="I63"/>
  <c r="H63"/>
  <c r="G63"/>
  <c r="U57"/>
  <c r="T57"/>
  <c r="S57"/>
  <c r="R57"/>
  <c r="Q57"/>
  <c r="P57"/>
  <c r="N57"/>
  <c r="L57"/>
  <c r="C66"/>
  <c r="C65"/>
  <c r="C64"/>
  <c r="C54"/>
  <c r="C53"/>
  <c r="C52"/>
  <c r="C51"/>
  <c r="G52"/>
  <c r="H52"/>
  <c r="I52"/>
  <c r="J52"/>
  <c r="K52"/>
  <c r="L52"/>
  <c r="N52"/>
  <c r="P52"/>
  <c r="Q52"/>
  <c r="R52"/>
  <c r="S52"/>
  <c r="T52"/>
  <c r="U52"/>
  <c r="G53"/>
  <c r="H53"/>
  <c r="I53"/>
  <c r="J53"/>
  <c r="K53"/>
  <c r="L53"/>
  <c r="N53"/>
  <c r="P53"/>
  <c r="Q53"/>
  <c r="R53"/>
  <c r="S53"/>
  <c r="U53"/>
  <c r="G54"/>
  <c r="H54"/>
  <c r="I54"/>
  <c r="J54"/>
  <c r="K54"/>
  <c r="L54"/>
  <c r="N54"/>
  <c r="P54"/>
  <c r="Q54"/>
  <c r="R54"/>
  <c r="S54"/>
  <c r="T54"/>
  <c r="U54"/>
  <c r="U51"/>
  <c r="T51"/>
  <c r="S51"/>
  <c r="R51"/>
  <c r="Q51"/>
  <c r="P51"/>
  <c r="N51"/>
  <c r="L51"/>
  <c r="K51"/>
  <c r="J51"/>
  <c r="I51"/>
  <c r="H51"/>
  <c r="G51"/>
  <c r="J48"/>
  <c r="J47"/>
  <c r="J46"/>
  <c r="J45"/>
  <c r="J44"/>
  <c r="J43"/>
  <c r="T48"/>
  <c r="S48"/>
  <c r="R48"/>
  <c r="Q48"/>
  <c r="P48"/>
  <c r="T47"/>
  <c r="S47"/>
  <c r="R47"/>
  <c r="Q47"/>
  <c r="P47"/>
  <c r="S46"/>
  <c r="R46"/>
  <c r="Q46"/>
  <c r="P46"/>
  <c r="T45"/>
  <c r="S45"/>
  <c r="R45"/>
  <c r="Q45"/>
  <c r="P45"/>
  <c r="T44"/>
  <c r="S44"/>
  <c r="R44"/>
  <c r="Q44"/>
  <c r="P44"/>
  <c r="T43"/>
  <c r="S43"/>
  <c r="R43"/>
  <c r="Q43"/>
  <c r="P43"/>
  <c r="U40"/>
  <c r="U39"/>
  <c r="U38"/>
  <c r="U37"/>
  <c r="U36"/>
  <c r="U35"/>
  <c r="U34"/>
  <c r="T40"/>
  <c r="T39"/>
  <c r="T38"/>
  <c r="S40"/>
  <c r="S39"/>
  <c r="S38"/>
  <c r="S37"/>
  <c r="S36"/>
  <c r="S35"/>
  <c r="S34"/>
  <c r="R40"/>
  <c r="R39"/>
  <c r="R38"/>
  <c r="R37"/>
  <c r="R36"/>
  <c r="R35"/>
  <c r="R34"/>
  <c r="Q40"/>
  <c r="Q39"/>
  <c r="Q38"/>
  <c r="Q37"/>
  <c r="Q36"/>
  <c r="Q35"/>
  <c r="Q34"/>
  <c r="P40"/>
  <c r="P39"/>
  <c r="P38"/>
  <c r="P37"/>
  <c r="P36"/>
  <c r="P35"/>
  <c r="P34"/>
  <c r="C48"/>
  <c r="C47"/>
  <c r="C46"/>
  <c r="C45"/>
  <c r="C44"/>
  <c r="C43"/>
  <c r="N48"/>
  <c r="Y48" s="1"/>
  <c r="N47"/>
  <c r="Y47" s="1"/>
  <c r="N46"/>
  <c r="Y46" s="1"/>
  <c r="N45"/>
  <c r="Y45" s="1"/>
  <c r="N44"/>
  <c r="Y44" s="1"/>
  <c r="N43"/>
  <c r="Y43" s="1"/>
  <c r="N40"/>
  <c r="N39"/>
  <c r="N38"/>
  <c r="N37"/>
  <c r="Y37" s="1"/>
  <c r="N36"/>
  <c r="Y36" s="1"/>
  <c r="N35"/>
  <c r="Y35" s="1"/>
  <c r="N34"/>
  <c r="Y34" s="1"/>
  <c r="L48"/>
  <c r="X48" s="1"/>
  <c r="L47"/>
  <c r="X47" s="1"/>
  <c r="L46"/>
  <c r="X46" s="1"/>
  <c r="L45"/>
  <c r="X45" s="1"/>
  <c r="L44"/>
  <c r="X44" s="1"/>
  <c r="L43"/>
  <c r="X43" s="1"/>
  <c r="L40"/>
  <c r="L39"/>
  <c r="L38"/>
  <c r="L37"/>
  <c r="X37" s="1"/>
  <c r="L36"/>
  <c r="X36" s="1"/>
  <c r="L35"/>
  <c r="X35" s="1"/>
  <c r="L34"/>
  <c r="X34" s="1"/>
  <c r="K48"/>
  <c r="K47"/>
  <c r="K46"/>
  <c r="K45"/>
  <c r="K44"/>
  <c r="K43"/>
  <c r="T31"/>
  <c r="T30"/>
  <c r="T29"/>
  <c r="T25"/>
  <c r="T24"/>
  <c r="S31"/>
  <c r="S30"/>
  <c r="S29"/>
  <c r="S27"/>
  <c r="S26"/>
  <c r="S25"/>
  <c r="S24"/>
  <c r="R31"/>
  <c r="R30"/>
  <c r="R29"/>
  <c r="R27"/>
  <c r="R26"/>
  <c r="R25"/>
  <c r="R24"/>
  <c r="Q31"/>
  <c r="Q30"/>
  <c r="Q29"/>
  <c r="Q27"/>
  <c r="Q26"/>
  <c r="Q25"/>
  <c r="Q24"/>
  <c r="P31"/>
  <c r="P30"/>
  <c r="P29"/>
  <c r="P27"/>
  <c r="P26"/>
  <c r="P25"/>
  <c r="P24"/>
  <c r="N25"/>
  <c r="Y25" s="1"/>
  <c r="N26"/>
  <c r="Y26" s="1"/>
  <c r="N27"/>
  <c r="Y27" s="1"/>
  <c r="N29"/>
  <c r="Y29" s="1"/>
  <c r="N30"/>
  <c r="Y30" s="1"/>
  <c r="N31"/>
  <c r="N24"/>
  <c r="Y24" s="1"/>
  <c r="L25"/>
  <c r="X25" s="1"/>
  <c r="L26"/>
  <c r="X26" s="1"/>
  <c r="L27"/>
  <c r="X27" s="1"/>
  <c r="L29"/>
  <c r="X29" s="1"/>
  <c r="L30"/>
  <c r="X30" s="1"/>
  <c r="L31"/>
  <c r="L24"/>
  <c r="X24" s="1"/>
  <c r="G39"/>
  <c r="H39"/>
  <c r="I39"/>
  <c r="J39"/>
  <c r="K39"/>
  <c r="G40"/>
  <c r="H40"/>
  <c r="I40"/>
  <c r="J40"/>
  <c r="K40"/>
  <c r="G38"/>
  <c r="H38"/>
  <c r="I38"/>
  <c r="J38"/>
  <c r="K38"/>
  <c r="C40"/>
  <c r="C39"/>
  <c r="C38"/>
  <c r="C37"/>
  <c r="C36"/>
  <c r="C35"/>
  <c r="C34"/>
  <c r="K41"/>
  <c r="K37"/>
  <c r="K36"/>
  <c r="K35"/>
  <c r="K34"/>
  <c r="K31"/>
  <c r="K30"/>
  <c r="K29"/>
  <c r="K27"/>
  <c r="K26"/>
  <c r="K25"/>
  <c r="K24"/>
  <c r="G31"/>
  <c r="H31"/>
  <c r="I31"/>
  <c r="J31"/>
  <c r="U31"/>
  <c r="A41"/>
  <c r="J37"/>
  <c r="J36"/>
  <c r="J35"/>
  <c r="J34"/>
  <c r="J30"/>
  <c r="J29"/>
  <c r="J27"/>
  <c r="J26"/>
  <c r="J25"/>
  <c r="J24"/>
  <c r="J21"/>
  <c r="J19"/>
  <c r="J17"/>
  <c r="J16"/>
  <c r="J15"/>
  <c r="J14"/>
  <c r="J13"/>
  <c r="J12"/>
  <c r="J11"/>
  <c r="I48"/>
  <c r="I47"/>
  <c r="I46"/>
  <c r="I45"/>
  <c r="I44"/>
  <c r="I43"/>
  <c r="I37"/>
  <c r="I36"/>
  <c r="I35"/>
  <c r="I34"/>
  <c r="I30"/>
  <c r="I29"/>
  <c r="I27"/>
  <c r="I26"/>
  <c r="I25"/>
  <c r="I24"/>
  <c r="H48"/>
  <c r="H47"/>
  <c r="H46"/>
  <c r="H45"/>
  <c r="H44"/>
  <c r="H43"/>
  <c r="H37"/>
  <c r="H36"/>
  <c r="H35"/>
  <c r="H34"/>
  <c r="H30"/>
  <c r="H29"/>
  <c r="H27"/>
  <c r="H26"/>
  <c r="H25"/>
  <c r="H24"/>
  <c r="G48"/>
  <c r="G47"/>
  <c r="G46"/>
  <c r="G45"/>
  <c r="G44"/>
  <c r="G43"/>
  <c r="G37"/>
  <c r="G36"/>
  <c r="G35"/>
  <c r="G34"/>
  <c r="G30"/>
  <c r="G29"/>
  <c r="G27"/>
  <c r="G26"/>
  <c r="G25"/>
  <c r="G24"/>
  <c r="G21"/>
  <c r="G19"/>
  <c r="G17"/>
  <c r="G16"/>
  <c r="G15"/>
  <c r="G14"/>
  <c r="G13"/>
  <c r="G12"/>
  <c r="G11"/>
  <c r="A32"/>
  <c r="C31"/>
  <c r="C30"/>
  <c r="C29"/>
  <c r="C27"/>
  <c r="C26"/>
  <c r="C25"/>
  <c r="C24"/>
  <c r="T21"/>
  <c r="T17"/>
  <c r="T16"/>
  <c r="T15"/>
  <c r="T13"/>
  <c r="T12"/>
  <c r="T11"/>
  <c r="S21"/>
  <c r="S19"/>
  <c r="S17"/>
  <c r="S16"/>
  <c r="S15"/>
  <c r="S14"/>
  <c r="S13"/>
  <c r="S12"/>
  <c r="S11"/>
  <c r="R21"/>
  <c r="R19"/>
  <c r="R17"/>
  <c r="R16"/>
  <c r="R15"/>
  <c r="R14"/>
  <c r="R13"/>
  <c r="R12"/>
  <c r="R11"/>
  <c r="Q21"/>
  <c r="Q19"/>
  <c r="Q17"/>
  <c r="Q16"/>
  <c r="Q15"/>
  <c r="Q14"/>
  <c r="Q13"/>
  <c r="Q12"/>
  <c r="Q11"/>
  <c r="P21"/>
  <c r="P19"/>
  <c r="P17"/>
  <c r="P16"/>
  <c r="P15"/>
  <c r="P14"/>
  <c r="P13"/>
  <c r="P12"/>
  <c r="P11"/>
  <c r="N21"/>
  <c r="Y21" s="1"/>
  <c r="Y19"/>
  <c r="N17"/>
  <c r="Y17" s="1"/>
  <c r="N16"/>
  <c r="Y16" s="1"/>
  <c r="N15"/>
  <c r="Y15" s="1"/>
  <c r="N14"/>
  <c r="Y14" s="1"/>
  <c r="N13"/>
  <c r="Y13" s="1"/>
  <c r="N12"/>
  <c r="Y12" s="1"/>
  <c r="N11"/>
  <c r="Y11" s="1"/>
  <c r="L21"/>
  <c r="X21" s="1"/>
  <c r="L19"/>
  <c r="X19" s="1"/>
  <c r="L17"/>
  <c r="X17" s="1"/>
  <c r="L16"/>
  <c r="X16" s="1"/>
  <c r="L15"/>
  <c r="X15" s="1"/>
  <c r="L14"/>
  <c r="X14" s="1"/>
  <c r="L13"/>
  <c r="X13" s="1"/>
  <c r="L12"/>
  <c r="X12" s="1"/>
  <c r="L11"/>
  <c r="X11" s="1"/>
  <c r="K21"/>
  <c r="K19"/>
  <c r="K17"/>
  <c r="K16"/>
  <c r="K15"/>
  <c r="K14"/>
  <c r="K13"/>
  <c r="K12"/>
  <c r="K11"/>
  <c r="I21"/>
  <c r="I19"/>
  <c r="I17"/>
  <c r="I16"/>
  <c r="I15"/>
  <c r="I14"/>
  <c r="I13"/>
  <c r="I12"/>
  <c r="I11"/>
  <c r="H21"/>
  <c r="H19"/>
  <c r="H17"/>
  <c r="H16"/>
  <c r="H15"/>
  <c r="H14"/>
  <c r="H13"/>
  <c r="H12"/>
  <c r="H11"/>
  <c r="N42" i="26" l="1"/>
  <c r="N38"/>
  <c r="H150" i="1"/>
  <c r="H104"/>
  <c r="I150"/>
  <c r="I104"/>
  <c r="H120"/>
  <c r="I120"/>
  <c r="H68"/>
  <c r="I68"/>
  <c r="I41"/>
  <c r="H41"/>
  <c r="H32"/>
  <c r="I32"/>
  <c r="H49"/>
  <c r="I49"/>
  <c r="H55"/>
  <c r="I55"/>
  <c r="J15" i="26"/>
  <c r="K16"/>
  <c r="R35" i="24"/>
  <c r="E38" i="26"/>
  <c r="N34" i="24"/>
  <c r="J16" i="26"/>
  <c r="N36" i="24"/>
  <c r="O78" i="1"/>
  <c r="Y78"/>
  <c r="O79"/>
  <c r="Y79"/>
  <c r="M90"/>
  <c r="X90"/>
  <c r="O136"/>
  <c r="Y136"/>
  <c r="M145"/>
  <c r="X145"/>
  <c r="O40"/>
  <c r="Y40"/>
  <c r="O63"/>
  <c r="M84"/>
  <c r="X84"/>
  <c r="O90"/>
  <c r="Y90"/>
  <c r="M98"/>
  <c r="X98"/>
  <c r="M102"/>
  <c r="X102"/>
  <c r="M108"/>
  <c r="X108"/>
  <c r="O115"/>
  <c r="Y115"/>
  <c r="M125"/>
  <c r="X125"/>
  <c r="O133"/>
  <c r="Y133"/>
  <c r="M137"/>
  <c r="X137"/>
  <c r="O145"/>
  <c r="Y145"/>
  <c r="H23" i="26"/>
  <c r="O54" i="1"/>
  <c r="Y54"/>
  <c r="P29" i="26"/>
  <c r="P28"/>
  <c r="P27"/>
  <c r="O84" i="1"/>
  <c r="Y84"/>
  <c r="M92"/>
  <c r="X92"/>
  <c r="O98"/>
  <c r="Y98"/>
  <c r="O102"/>
  <c r="Y102"/>
  <c r="Q29" i="26"/>
  <c r="Q27"/>
  <c r="Q28"/>
  <c r="O110" i="1"/>
  <c r="Y110"/>
  <c r="M122"/>
  <c r="X122"/>
  <c r="O137"/>
  <c r="Y137"/>
  <c r="O148"/>
  <c r="Y148"/>
  <c r="M39"/>
  <c r="X39"/>
  <c r="J42" i="26"/>
  <c r="J48"/>
  <c r="J47" s="1"/>
  <c r="J46" s="1"/>
  <c r="J45" s="1"/>
  <c r="J44" s="1"/>
  <c r="J43" s="1"/>
  <c r="O52" i="1"/>
  <c r="Y52"/>
  <c r="O65"/>
  <c r="M66"/>
  <c r="M94"/>
  <c r="X94"/>
  <c r="M96"/>
  <c r="X96"/>
  <c r="M114"/>
  <c r="X114"/>
  <c r="O122"/>
  <c r="Y122"/>
  <c r="M132"/>
  <c r="X132"/>
  <c r="M144"/>
  <c r="X144"/>
  <c r="G23" i="26"/>
  <c r="G21"/>
  <c r="H36" i="24"/>
  <c r="H34"/>
  <c r="M40" i="1"/>
  <c r="X40"/>
  <c r="M51"/>
  <c r="X51"/>
  <c r="M52"/>
  <c r="X52"/>
  <c r="O57"/>
  <c r="Y57"/>
  <c r="O66"/>
  <c r="M80"/>
  <c r="X80"/>
  <c r="O88"/>
  <c r="Y88"/>
  <c r="O94"/>
  <c r="Y94"/>
  <c r="O96"/>
  <c r="Y96"/>
  <c r="M97"/>
  <c r="X97"/>
  <c r="M103"/>
  <c r="X103"/>
  <c r="M107"/>
  <c r="X107"/>
  <c r="O112"/>
  <c r="Y112"/>
  <c r="O114"/>
  <c r="Y114"/>
  <c r="M124"/>
  <c r="X124"/>
  <c r="O132"/>
  <c r="Y132"/>
  <c r="O139"/>
  <c r="Y139"/>
  <c r="M142"/>
  <c r="X142"/>
  <c r="O144"/>
  <c r="Y144"/>
  <c r="M63"/>
  <c r="P34" i="24"/>
  <c r="P36"/>
  <c r="O93" i="1"/>
  <c r="Y93"/>
  <c r="O95"/>
  <c r="Y95"/>
  <c r="M100"/>
  <c r="X100"/>
  <c r="O113"/>
  <c r="Y113"/>
  <c r="M115"/>
  <c r="X115"/>
  <c r="O123"/>
  <c r="Y123"/>
  <c r="O141"/>
  <c r="Y141"/>
  <c r="O147"/>
  <c r="Y147"/>
  <c r="O31"/>
  <c r="Y31"/>
  <c r="G42" i="26" s="1"/>
  <c r="M81" i="1"/>
  <c r="X81"/>
  <c r="M86"/>
  <c r="X86"/>
  <c r="O100"/>
  <c r="Y100"/>
  <c r="M110"/>
  <c r="X110"/>
  <c r="M130"/>
  <c r="X130"/>
  <c r="M143"/>
  <c r="X143"/>
  <c r="M148"/>
  <c r="X148"/>
  <c r="M31"/>
  <c r="X31"/>
  <c r="G38" i="26" s="1"/>
  <c r="G37" s="1"/>
  <c r="G36" s="1"/>
  <c r="G35" s="1"/>
  <c r="O86" i="1"/>
  <c r="Y86"/>
  <c r="Q23" i="26"/>
  <c r="Q21"/>
  <c r="O108" i="1"/>
  <c r="Y108"/>
  <c r="O125"/>
  <c r="Y125"/>
  <c r="O130"/>
  <c r="Y130"/>
  <c r="M135"/>
  <c r="X135"/>
  <c r="O143"/>
  <c r="Y143"/>
  <c r="M146"/>
  <c r="X146"/>
  <c r="I34" i="24"/>
  <c r="I36"/>
  <c r="M54" i="1"/>
  <c r="X54"/>
  <c r="M57"/>
  <c r="X57"/>
  <c r="N28" i="26"/>
  <c r="M88" i="1"/>
  <c r="X88"/>
  <c r="O92"/>
  <c r="Y92"/>
  <c r="O103"/>
  <c r="Y103"/>
  <c r="M112"/>
  <c r="X112"/>
  <c r="O135"/>
  <c r="Y135"/>
  <c r="M139"/>
  <c r="X139"/>
  <c r="O146"/>
  <c r="Y146"/>
  <c r="E42" i="26"/>
  <c r="E48"/>
  <c r="E47" s="1"/>
  <c r="E46" s="1"/>
  <c r="E45" s="1"/>
  <c r="H15"/>
  <c r="H16"/>
  <c r="I38"/>
  <c r="I37" s="1"/>
  <c r="I36" s="1"/>
  <c r="I35" s="1"/>
  <c r="H27"/>
  <c r="O51" i="1"/>
  <c r="Y51"/>
  <c r="M64"/>
  <c r="O80"/>
  <c r="Y80"/>
  <c r="M83"/>
  <c r="X83"/>
  <c r="M85"/>
  <c r="X85"/>
  <c r="M91"/>
  <c r="X91"/>
  <c r="O97"/>
  <c r="Y97"/>
  <c r="M101"/>
  <c r="X101"/>
  <c r="Q15" i="26"/>
  <c r="Q16"/>
  <c r="O107" i="1"/>
  <c r="Y107"/>
  <c r="M109"/>
  <c r="X109"/>
  <c r="M118"/>
  <c r="X118"/>
  <c r="R23" i="26"/>
  <c r="R29"/>
  <c r="R28"/>
  <c r="R27"/>
  <c r="O124" i="1"/>
  <c r="Y124"/>
  <c r="M134"/>
  <c r="X134"/>
  <c r="M140"/>
  <c r="X140"/>
  <c r="O142"/>
  <c r="Y142"/>
  <c r="O39"/>
  <c r="Y39"/>
  <c r="O89"/>
  <c r="Y89"/>
  <c r="O106"/>
  <c r="Y106"/>
  <c r="R16" i="26"/>
  <c r="R15"/>
  <c r="M133" i="1"/>
  <c r="X133"/>
  <c r="M38"/>
  <c r="X38"/>
  <c r="I42" i="26"/>
  <c r="I48"/>
  <c r="I47" s="1"/>
  <c r="I46" s="1"/>
  <c r="I45" s="1"/>
  <c r="I44" s="1"/>
  <c r="I43" s="1"/>
  <c r="M65" i="1"/>
  <c r="P23" i="26"/>
  <c r="O81" i="1"/>
  <c r="Y81"/>
  <c r="G27" i="26"/>
  <c r="J38"/>
  <c r="J37" s="1"/>
  <c r="J36" s="1"/>
  <c r="J35" s="1"/>
  <c r="O53" i="1"/>
  <c r="Y53"/>
  <c r="M27" i="26"/>
  <c r="M30"/>
  <c r="O64" i="1"/>
  <c r="O29" i="26"/>
  <c r="O27"/>
  <c r="O83" i="1"/>
  <c r="Y83"/>
  <c r="O85"/>
  <c r="Y85"/>
  <c r="M87"/>
  <c r="X87"/>
  <c r="O91"/>
  <c r="Y91"/>
  <c r="M99"/>
  <c r="X99"/>
  <c r="O101"/>
  <c r="Y101"/>
  <c r="O109"/>
  <c r="Y109"/>
  <c r="O118"/>
  <c r="Y118"/>
  <c r="M131"/>
  <c r="X131"/>
  <c r="O134"/>
  <c r="Y134"/>
  <c r="M138"/>
  <c r="X138"/>
  <c r="O140"/>
  <c r="Y140"/>
  <c r="M149"/>
  <c r="X149"/>
  <c r="J21" i="26"/>
  <c r="J20"/>
  <c r="G16"/>
  <c r="G15"/>
  <c r="O38" i="1"/>
  <c r="Y38"/>
  <c r="M53"/>
  <c r="X53"/>
  <c r="M78"/>
  <c r="X78"/>
  <c r="M79"/>
  <c r="X79"/>
  <c r="O87"/>
  <c r="Y87"/>
  <c r="M89"/>
  <c r="X89"/>
  <c r="M93"/>
  <c r="X93"/>
  <c r="M95"/>
  <c r="X95"/>
  <c r="O99"/>
  <c r="Y99"/>
  <c r="M106"/>
  <c r="X106"/>
  <c r="M113"/>
  <c r="X113"/>
  <c r="S35" i="24"/>
  <c r="M123" i="1"/>
  <c r="X123"/>
  <c r="O131"/>
  <c r="Y131"/>
  <c r="M136"/>
  <c r="X136"/>
  <c r="O138"/>
  <c r="Y138"/>
  <c r="M141"/>
  <c r="X141"/>
  <c r="M147"/>
  <c r="X147"/>
  <c r="O149"/>
  <c r="Y149"/>
  <c r="S34" i="24"/>
  <c r="S33"/>
  <c r="S36"/>
  <c r="Q37"/>
  <c r="D37" s="1"/>
  <c r="Q35"/>
  <c r="D35" s="1"/>
  <c r="Q36"/>
  <c r="Q34"/>
  <c r="R33"/>
  <c r="R34"/>
  <c r="R36"/>
  <c r="O15" i="1"/>
  <c r="M15"/>
  <c r="U27"/>
  <c r="O27"/>
  <c r="M27"/>
  <c r="H38" i="24" l="1"/>
  <c r="Q17" i="26"/>
  <c r="H17"/>
  <c r="S38" i="24"/>
  <c r="N38"/>
  <c r="R38"/>
  <c r="I38"/>
  <c r="Q38"/>
  <c r="P38"/>
  <c r="Q38" i="26"/>
  <c r="Q37" s="1"/>
  <c r="Q36" s="1"/>
  <c r="Q35" s="1"/>
  <c r="Q39" s="1"/>
  <c r="Q48"/>
  <c r="Q47" s="1"/>
  <c r="Q46" s="1"/>
  <c r="Q45" s="1"/>
  <c r="Q44" s="1"/>
  <c r="Q43" s="1"/>
  <c r="E37"/>
  <c r="G48"/>
  <c r="G47" s="1"/>
  <c r="G46" s="1"/>
  <c r="G45" s="1"/>
  <c r="G44" s="1"/>
  <c r="G43" s="1"/>
  <c r="H42"/>
  <c r="H38"/>
  <c r="H37" s="1"/>
  <c r="H36" s="1"/>
  <c r="H35" s="1"/>
  <c r="O38"/>
  <c r="O37" s="1"/>
  <c r="O36" s="1"/>
  <c r="O35" s="1"/>
  <c r="K38"/>
  <c r="K37" s="1"/>
  <c r="K36" s="1"/>
  <c r="K35" s="1"/>
  <c r="R48"/>
  <c r="R47" s="1"/>
  <c r="R46" s="1"/>
  <c r="R45" s="1"/>
  <c r="R44" s="1"/>
  <c r="R43" s="1"/>
  <c r="R42"/>
  <c r="N48"/>
  <c r="N47" s="1"/>
  <c r="N46" s="1"/>
  <c r="N49" s="1"/>
  <c r="R38"/>
  <c r="R37" s="1"/>
  <c r="R36" s="1"/>
  <c r="R35" s="1"/>
  <c r="N37"/>
  <c r="O48"/>
  <c r="O47" s="1"/>
  <c r="O46" s="1"/>
  <c r="O45" s="1"/>
  <c r="O44" s="1"/>
  <c r="O43" s="1"/>
  <c r="O42"/>
  <c r="L38"/>
  <c r="L37" s="1"/>
  <c r="L36" s="1"/>
  <c r="L35" s="1"/>
  <c r="Q42"/>
  <c r="M42"/>
  <c r="M48"/>
  <c r="M47" s="1"/>
  <c r="M46" s="1"/>
  <c r="M45" s="1"/>
  <c r="M44" s="1"/>
  <c r="M43" s="1"/>
  <c r="P38"/>
  <c r="P37" s="1"/>
  <c r="P36" s="1"/>
  <c r="P35" s="1"/>
  <c r="M38"/>
  <c r="M37" s="1"/>
  <c r="H48"/>
  <c r="H47" s="1"/>
  <c r="H46" s="1"/>
  <c r="H45" s="1"/>
  <c r="H44" s="1"/>
  <c r="H43" s="1"/>
  <c r="L42"/>
  <c r="L48"/>
  <c r="L47" s="1"/>
  <c r="L46" s="1"/>
  <c r="L45" s="1"/>
  <c r="L44" s="1"/>
  <c r="L43" s="1"/>
  <c r="P42"/>
  <c r="P48"/>
  <c r="P47" s="1"/>
  <c r="P46" s="1"/>
  <c r="P45" s="1"/>
  <c r="P44" s="1"/>
  <c r="P43" s="1"/>
  <c r="K48"/>
  <c r="K47" s="1"/>
  <c r="K46" s="1"/>
  <c r="K45" s="1"/>
  <c r="K44" s="1"/>
  <c r="K43" s="1"/>
  <c r="K42"/>
  <c r="L23" i="21"/>
  <c r="O49" i="26" l="1"/>
  <c r="N36"/>
  <c r="N35" s="1"/>
  <c r="N39" s="1"/>
  <c r="Q49"/>
  <c r="P49"/>
  <c r="E36"/>
  <c r="E35" s="1"/>
  <c r="M36"/>
  <c r="M35" s="1"/>
  <c r="Y8" i="98"/>
  <c r="Y9"/>
  <c r="Y10"/>
  <c r="Y11"/>
  <c r="Y12"/>
  <c r="Y13"/>
  <c r="Y14"/>
  <c r="Y15"/>
  <c r="Y16"/>
  <c r="Y17"/>
  <c r="Y18"/>
  <c r="Y19"/>
  <c r="Y7"/>
  <c r="X20"/>
  <c r="D20" l="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A138" i="103" l="1"/>
  <c r="V135"/>
  <c r="P135"/>
  <c r="M135"/>
  <c r="V134"/>
  <c r="P134"/>
  <c r="M134"/>
  <c r="V133"/>
  <c r="P133"/>
  <c r="M133"/>
  <c r="V132"/>
  <c r="P132"/>
  <c r="M132"/>
  <c r="V131"/>
  <c r="P131"/>
  <c r="M131"/>
  <c r="V130"/>
  <c r="P130"/>
  <c r="M130"/>
  <c r="V129"/>
  <c r="P129"/>
  <c r="M129"/>
  <c r="V128"/>
  <c r="P128"/>
  <c r="M128"/>
  <c r="V127"/>
  <c r="P127"/>
  <c r="M127"/>
  <c r="V32"/>
  <c r="P32"/>
  <c r="M32"/>
  <c r="V126"/>
  <c r="P126"/>
  <c r="M126"/>
  <c r="V47"/>
  <c r="P47"/>
  <c r="M47"/>
  <c r="V125"/>
  <c r="P125"/>
  <c r="M125"/>
  <c r="V124"/>
  <c r="P124"/>
  <c r="M124"/>
  <c r="V123"/>
  <c r="P123"/>
  <c r="M123"/>
  <c r="V122"/>
  <c r="P122"/>
  <c r="M122"/>
  <c r="V121"/>
  <c r="P121"/>
  <c r="M121"/>
  <c r="V120"/>
  <c r="P120"/>
  <c r="M120"/>
  <c r="V33"/>
  <c r="P33"/>
  <c r="M33"/>
  <c r="V58"/>
  <c r="P58"/>
  <c r="M58"/>
  <c r="V119"/>
  <c r="P119"/>
  <c r="M119"/>
  <c r="V118"/>
  <c r="P118"/>
  <c r="M118"/>
  <c r="V117"/>
  <c r="P117"/>
  <c r="M117"/>
  <c r="V74"/>
  <c r="P74"/>
  <c r="M74"/>
  <c r="V116"/>
  <c r="P116"/>
  <c r="M116"/>
  <c r="V115"/>
  <c r="P115"/>
  <c r="M115"/>
  <c r="V114"/>
  <c r="P114"/>
  <c r="M114"/>
  <c r="V113"/>
  <c r="P113"/>
  <c r="M113"/>
  <c r="V112"/>
  <c r="P112"/>
  <c r="M112"/>
  <c r="V111"/>
  <c r="P111"/>
  <c r="M111"/>
  <c r="V110"/>
  <c r="P110"/>
  <c r="M110"/>
  <c r="V109"/>
  <c r="P109"/>
  <c r="M109"/>
  <c r="V108"/>
  <c r="P108"/>
  <c r="M108"/>
  <c r="V107"/>
  <c r="P107"/>
  <c r="M107"/>
  <c r="V73"/>
  <c r="P73"/>
  <c r="M73"/>
  <c r="V106"/>
  <c r="P106"/>
  <c r="M106"/>
  <c r="V105"/>
  <c r="P105"/>
  <c r="M105"/>
  <c r="V104"/>
  <c r="P104"/>
  <c r="M104"/>
  <c r="V103"/>
  <c r="P103"/>
  <c r="M103"/>
  <c r="V102"/>
  <c r="P102"/>
  <c r="M102"/>
  <c r="V101"/>
  <c r="P101"/>
  <c r="M101"/>
  <c r="V100"/>
  <c r="P100"/>
  <c r="M100"/>
  <c r="V99"/>
  <c r="P99"/>
  <c r="M99"/>
  <c r="V98"/>
  <c r="P98"/>
  <c r="M98"/>
  <c r="V97"/>
  <c r="P97"/>
  <c r="M97"/>
  <c r="V96"/>
  <c r="P96"/>
  <c r="M96"/>
  <c r="V95"/>
  <c r="P95"/>
  <c r="M95"/>
  <c r="V94"/>
  <c r="T112" i="1"/>
  <c r="P94" i="103"/>
  <c r="M94"/>
  <c r="V93"/>
  <c r="P93"/>
  <c r="M93"/>
  <c r="V92"/>
  <c r="P92"/>
  <c r="M92"/>
  <c r="V91"/>
  <c r="T109" i="1"/>
  <c r="P91" i="103"/>
  <c r="M91"/>
  <c r="V90"/>
  <c r="T108" i="1"/>
  <c r="P90" i="103"/>
  <c r="M90"/>
  <c r="V89"/>
  <c r="P89"/>
  <c r="M89"/>
  <c r="V88"/>
  <c r="P88"/>
  <c r="M88"/>
  <c r="V87"/>
  <c r="P87"/>
  <c r="M87"/>
  <c r="V86"/>
  <c r="T101" i="1"/>
  <c r="P86" i="103"/>
  <c r="M86"/>
  <c r="V85"/>
  <c r="P85"/>
  <c r="M85"/>
  <c r="V31"/>
  <c r="P31"/>
  <c r="M31"/>
  <c r="V84"/>
  <c r="P84"/>
  <c r="M84"/>
  <c r="V83"/>
  <c r="P83"/>
  <c r="M83"/>
  <c r="V26"/>
  <c r="P26"/>
  <c r="M26"/>
  <c r="V82"/>
  <c r="P82"/>
  <c r="M82"/>
  <c r="V81"/>
  <c r="P81"/>
  <c r="M81"/>
  <c r="V49"/>
  <c r="P49"/>
  <c r="M49"/>
  <c r="V80"/>
  <c r="P80"/>
  <c r="M80"/>
  <c r="V79"/>
  <c r="T96" i="1"/>
  <c r="P79" i="103"/>
  <c r="M79"/>
  <c r="V78"/>
  <c r="T95" i="1"/>
  <c r="P78" i="103"/>
  <c r="M78"/>
  <c r="V77"/>
  <c r="T94" i="1"/>
  <c r="P77" i="103"/>
  <c r="M77"/>
  <c r="V76"/>
  <c r="T93" i="1"/>
  <c r="P76" i="103"/>
  <c r="M76"/>
  <c r="V75"/>
  <c r="T103" i="1"/>
  <c r="P75" i="103"/>
  <c r="M75"/>
  <c r="V68"/>
  <c r="P68"/>
  <c r="M68"/>
  <c r="V72"/>
  <c r="P72"/>
  <c r="M72"/>
  <c r="V71"/>
  <c r="T89" i="1"/>
  <c r="P71" i="103"/>
  <c r="M71"/>
  <c r="V70"/>
  <c r="T88" i="1"/>
  <c r="P70" i="103"/>
  <c r="M70"/>
  <c r="V69"/>
  <c r="P69"/>
  <c r="M69"/>
  <c r="V67"/>
  <c r="P67"/>
  <c r="M67"/>
  <c r="V66"/>
  <c r="T85" i="1"/>
  <c r="P66" i="103"/>
  <c r="M66"/>
  <c r="V65"/>
  <c r="T84" i="1"/>
  <c r="P65" i="103"/>
  <c r="M65"/>
  <c r="V64"/>
  <c r="T83" i="1"/>
  <c r="P64" i="103"/>
  <c r="M64"/>
  <c r="V63"/>
  <c r="T81" i="1"/>
  <c r="P63" i="103"/>
  <c r="M63"/>
  <c r="V62"/>
  <c r="P62"/>
  <c r="M62"/>
  <c r="V61"/>
  <c r="P61"/>
  <c r="M61"/>
  <c r="V60"/>
  <c r="P60"/>
  <c r="M60"/>
  <c r="V59"/>
  <c r="T78" i="1"/>
  <c r="P59" i="103"/>
  <c r="M59"/>
  <c r="V57"/>
  <c r="P57"/>
  <c r="M57"/>
  <c r="P55"/>
  <c r="M55"/>
  <c r="T71" i="1"/>
  <c r="P54" i="103"/>
  <c r="M54"/>
  <c r="P53"/>
  <c r="M53"/>
  <c r="P52"/>
  <c r="M52"/>
  <c r="V51"/>
  <c r="P51"/>
  <c r="M51"/>
  <c r="V50"/>
  <c r="P50"/>
  <c r="M50"/>
  <c r="V13"/>
  <c r="P13"/>
  <c r="M13"/>
  <c r="V48"/>
  <c r="P48"/>
  <c r="M48"/>
  <c r="V46"/>
  <c r="P46"/>
  <c r="M46"/>
  <c r="V45"/>
  <c r="P45"/>
  <c r="M45"/>
  <c r="V44"/>
  <c r="P44"/>
  <c r="M44"/>
  <c r="V43"/>
  <c r="P43"/>
  <c r="M43"/>
  <c r="V42"/>
  <c r="T53" i="1"/>
  <c r="P42" i="103"/>
  <c r="M42"/>
  <c r="V41"/>
  <c r="P41"/>
  <c r="M41"/>
  <c r="V40"/>
  <c r="P40"/>
  <c r="M40"/>
  <c r="V39"/>
  <c r="P39"/>
  <c r="M39"/>
  <c r="V38"/>
  <c r="P38"/>
  <c r="M38"/>
  <c r="V37"/>
  <c r="T46" i="1"/>
  <c r="P37" i="103"/>
  <c r="M37"/>
  <c r="V36"/>
  <c r="P36"/>
  <c r="M36"/>
  <c r="V35"/>
  <c r="P35"/>
  <c r="M35"/>
  <c r="V34"/>
  <c r="P34"/>
  <c r="M34"/>
  <c r="V30"/>
  <c r="T37" i="1"/>
  <c r="P30" i="103"/>
  <c r="M30"/>
  <c r="V29"/>
  <c r="T36" i="1"/>
  <c r="P29" i="103"/>
  <c r="M29"/>
  <c r="V28"/>
  <c r="T35" i="1"/>
  <c r="P28" i="103"/>
  <c r="M28"/>
  <c r="V27"/>
  <c r="T34" i="1"/>
  <c r="P27" i="103"/>
  <c r="M27"/>
  <c r="V25"/>
  <c r="P25"/>
  <c r="M25"/>
  <c r="V24"/>
  <c r="P24"/>
  <c r="M24"/>
  <c r="T26" i="1"/>
  <c r="P22" i="103"/>
  <c r="M22"/>
  <c r="V21"/>
  <c r="P21"/>
  <c r="M21"/>
  <c r="V20"/>
  <c r="P20"/>
  <c r="M20"/>
  <c r="V19"/>
  <c r="P19"/>
  <c r="M19"/>
  <c r="V18"/>
  <c r="T19" i="1"/>
  <c r="P18" i="103"/>
  <c r="M18"/>
  <c r="V15"/>
  <c r="P15"/>
  <c r="M15"/>
  <c r="V14"/>
  <c r="P14"/>
  <c r="M14"/>
  <c r="V23"/>
  <c r="T27" i="1"/>
  <c r="P23" i="103"/>
  <c r="M23"/>
  <c r="V12"/>
  <c r="T14" i="1"/>
  <c r="P12" i="103"/>
  <c r="M12"/>
  <c r="V11"/>
  <c r="P11"/>
  <c r="M11"/>
  <c r="V10"/>
  <c r="P10"/>
  <c r="M10"/>
  <c r="V9"/>
  <c r="P9"/>
  <c r="M9"/>
  <c r="T113" i="1" l="1"/>
  <c r="T124"/>
  <c r="O26" i="24"/>
  <c r="D26" s="1"/>
  <c r="F19" i="74" l="1"/>
  <c r="J19" s="1"/>
  <c r="C20" i="98" l="1"/>
  <c r="Y20" s="1"/>
  <c r="M39" i="26" l="1"/>
  <c r="K27" l="1"/>
  <c r="J27"/>
  <c r="K23"/>
  <c r="J23"/>
  <c r="K15"/>
  <c r="L34" i="24"/>
  <c r="K34"/>
  <c r="L36"/>
  <c r="K36"/>
  <c r="K27"/>
  <c r="L27"/>
  <c r="K38" l="1"/>
  <c r="L38"/>
  <c r="A55" i="1"/>
  <c r="A49"/>
  <c r="U48" l="1"/>
  <c r="O48"/>
  <c r="M48"/>
  <c r="F14" i="74" l="1"/>
  <c r="J14" s="1"/>
  <c r="R19" i="24" l="1"/>
  <c r="C39" i="31" s="1"/>
  <c r="X18" i="26" l="1"/>
  <c r="K14" i="24" l="1"/>
  <c r="G14"/>
  <c r="F70" i="74" l="1"/>
  <c r="J70" s="1"/>
  <c r="F71"/>
  <c r="J71" s="1"/>
  <c r="F72"/>
  <c r="J72" s="1"/>
  <c r="F73"/>
  <c r="J73" s="1"/>
  <c r="F74"/>
  <c r="J74" s="1"/>
  <c r="J28" i="26" l="1"/>
  <c r="Q14" i="24"/>
  <c r="P14"/>
  <c r="N14"/>
  <c r="O17" i="1"/>
  <c r="M17"/>
  <c r="J23" i="21" l="1"/>
  <c r="R47" i="50" l="1"/>
  <c r="S47" s="1"/>
  <c r="L47" s="1"/>
  <c r="H76" i="74"/>
  <c r="G76"/>
  <c r="E76"/>
  <c r="U47" i="1" l="1"/>
  <c r="I82" i="74" l="1"/>
  <c r="H82"/>
  <c r="G82"/>
  <c r="E82"/>
  <c r="D82"/>
  <c r="F81"/>
  <c r="J81" s="1"/>
  <c r="F80"/>
  <c r="J80" s="1"/>
  <c r="F79"/>
  <c r="J79" s="1"/>
  <c r="F78"/>
  <c r="J78" s="1"/>
  <c r="D76"/>
  <c r="F75"/>
  <c r="J75" s="1"/>
  <c r="F69"/>
  <c r="J69" s="1"/>
  <c r="F68"/>
  <c r="J68" s="1"/>
  <c r="F67"/>
  <c r="J67" s="1"/>
  <c r="F66"/>
  <c r="J66" s="1"/>
  <c r="F65"/>
  <c r="J65" s="1"/>
  <c r="F64"/>
  <c r="J64" s="1"/>
  <c r="F63"/>
  <c r="J63" s="1"/>
  <c r="F62"/>
  <c r="J62" s="1"/>
  <c r="F61"/>
  <c r="J61" s="1"/>
  <c r="F60"/>
  <c r="J60" s="1"/>
  <c r="F59"/>
  <c r="J59" s="1"/>
  <c r="F58"/>
  <c r="J58" s="1"/>
  <c r="F57"/>
  <c r="J57" s="1"/>
  <c r="F56"/>
  <c r="J56" s="1"/>
  <c r="F55"/>
  <c r="J55" s="1"/>
  <c r="F54"/>
  <c r="J54" s="1"/>
  <c r="F53"/>
  <c r="J53" s="1"/>
  <c r="F52"/>
  <c r="F51"/>
  <c r="F50"/>
  <c r="J50" s="1"/>
  <c r="F49"/>
  <c r="J49" s="1"/>
  <c r="F48"/>
  <c r="J48" s="1"/>
  <c r="F47"/>
  <c r="J47" s="1"/>
  <c r="F46"/>
  <c r="J46" s="1"/>
  <c r="F45"/>
  <c r="J45" s="1"/>
  <c r="F44"/>
  <c r="F43"/>
  <c r="J43" s="1"/>
  <c r="F42"/>
  <c r="J42" s="1"/>
  <c r="F40"/>
  <c r="J40" s="1"/>
  <c r="F39"/>
  <c r="J39" s="1"/>
  <c r="F38"/>
  <c r="J38" s="1"/>
  <c r="F37"/>
  <c r="J37" s="1"/>
  <c r="F36"/>
  <c r="J36" s="1"/>
  <c r="F35"/>
  <c r="J35" s="1"/>
  <c r="F34"/>
  <c r="J34" s="1"/>
  <c r="J33"/>
  <c r="F32"/>
  <c r="J32" s="1"/>
  <c r="F31"/>
  <c r="J31" s="1"/>
  <c r="F30"/>
  <c r="J30" s="1"/>
  <c r="F29"/>
  <c r="J29" s="1"/>
  <c r="F28"/>
  <c r="J28" s="1"/>
  <c r="F27"/>
  <c r="J27" s="1"/>
  <c r="F26"/>
  <c r="J26" s="1"/>
  <c r="F25"/>
  <c r="J25" s="1"/>
  <c r="F24"/>
  <c r="J24" s="1"/>
  <c r="F23"/>
  <c r="J23" s="1"/>
  <c r="F22"/>
  <c r="J22" s="1"/>
  <c r="F21"/>
  <c r="J21" s="1"/>
  <c r="F20"/>
  <c r="J20" s="1"/>
  <c r="F18"/>
  <c r="J18" s="1"/>
  <c r="B18"/>
  <c r="F17"/>
  <c r="J17" s="1"/>
  <c r="F16"/>
  <c r="J16" s="1"/>
  <c r="F15"/>
  <c r="J15" s="1"/>
  <c r="F13"/>
  <c r="J13" s="1"/>
  <c r="B13"/>
  <c r="F12"/>
  <c r="J12" s="1"/>
  <c r="F11"/>
  <c r="J11" s="1"/>
  <c r="F10"/>
  <c r="J10" s="1"/>
  <c r="F9"/>
  <c r="J9" s="1"/>
  <c r="F76" l="1"/>
  <c r="J52"/>
  <c r="J82"/>
  <c r="F82"/>
  <c r="I44" l="1"/>
  <c r="I76" l="1"/>
  <c r="J44"/>
  <c r="J76" s="1"/>
  <c r="J22" i="21"/>
  <c r="J21"/>
  <c r="J20"/>
  <c r="G25" i="24"/>
  <c r="O43" i="1" l="1"/>
  <c r="M43"/>
  <c r="O47" l="1"/>
  <c r="M47"/>
  <c r="O11"/>
  <c r="O12"/>
  <c r="M12"/>
  <c r="L23" i="26"/>
  <c r="M34" i="24"/>
  <c r="M38" s="1"/>
  <c r="G28"/>
  <c r="L14"/>
  <c r="O38" l="1"/>
  <c r="D36" i="26"/>
  <c r="U43" i="1" l="1"/>
  <c r="A22"/>
  <c r="A152" s="1"/>
  <c r="O21"/>
  <c r="M21"/>
  <c r="M13" l="1"/>
  <c r="O13"/>
  <c r="M11" l="1"/>
  <c r="C20" i="21" l="1"/>
  <c r="C21" s="1"/>
  <c r="D20"/>
  <c r="D21" s="1"/>
  <c r="C22"/>
  <c r="D22"/>
  <c r="C23"/>
  <c r="D23"/>
  <c r="C25"/>
  <c r="D25"/>
  <c r="E25"/>
  <c r="F25"/>
  <c r="G25"/>
  <c r="H25"/>
  <c r="I25"/>
  <c r="L25"/>
  <c r="R46" i="50" l="1"/>
  <c r="S46" s="1"/>
  <c r="L46" s="1"/>
  <c r="R45"/>
  <c r="S45" s="1"/>
  <c r="L45" s="1"/>
  <c r="R44"/>
  <c r="S44" s="1"/>
  <c r="L44" s="1"/>
  <c r="A44"/>
  <c r="A45" s="1"/>
  <c r="A46" s="1"/>
  <c r="A48" s="1"/>
  <c r="R43"/>
  <c r="S43" s="1"/>
  <c r="L43" s="1"/>
  <c r="R42"/>
  <c r="S42" s="1"/>
  <c r="L42" s="1"/>
  <c r="R41"/>
  <c r="S41" s="1"/>
  <c r="L41" s="1"/>
  <c r="R40"/>
  <c r="S40" s="1"/>
  <c r="L40" s="1"/>
  <c r="A40"/>
  <c r="A41" s="1"/>
  <c r="A42" s="1"/>
  <c r="A43" s="1"/>
  <c r="R39"/>
  <c r="S39" s="1"/>
  <c r="L39" s="1"/>
  <c r="A39"/>
  <c r="R38"/>
  <c r="S38" s="1"/>
  <c r="L38" s="1"/>
  <c r="R37"/>
  <c r="S37" s="1"/>
  <c r="L37" s="1"/>
  <c r="R36"/>
  <c r="S36" s="1"/>
  <c r="L36" s="1"/>
  <c r="R35"/>
  <c r="S35" s="1"/>
  <c r="L35" s="1"/>
  <c r="R34"/>
  <c r="S34" s="1"/>
  <c r="L34" s="1"/>
  <c r="R33"/>
  <c r="S33" s="1"/>
  <c r="L33" s="1"/>
  <c r="R32"/>
  <c r="S32" s="1"/>
  <c r="L32" s="1"/>
  <c r="R31"/>
  <c r="S31" s="1"/>
  <c r="L31" s="1"/>
  <c r="R30"/>
  <c r="S30" s="1"/>
  <c r="L30" s="1"/>
  <c r="R29"/>
  <c r="S29" s="1"/>
  <c r="L29" s="1"/>
  <c r="R28"/>
  <c r="S28" s="1"/>
  <c r="L28" s="1"/>
  <c r="R27"/>
  <c r="S27" s="1"/>
  <c r="L27" s="1"/>
  <c r="R26"/>
  <c r="S26" s="1"/>
  <c r="L26" s="1"/>
  <c r="R25"/>
  <c r="S25" s="1"/>
  <c r="L25" s="1"/>
  <c r="A25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R24"/>
  <c r="S24" s="1"/>
  <c r="L24" s="1"/>
  <c r="R23"/>
  <c r="S23" s="1"/>
  <c r="L23" s="1"/>
  <c r="R22"/>
  <c r="S22" s="1"/>
  <c r="L22" s="1"/>
  <c r="R21"/>
  <c r="S21" s="1"/>
  <c r="L21" s="1"/>
  <c r="R20"/>
  <c r="S20" s="1"/>
  <c r="L20" s="1"/>
  <c r="R19"/>
  <c r="S19" s="1"/>
  <c r="L19" s="1"/>
  <c r="R18"/>
  <c r="S18" s="1"/>
  <c r="L18" s="1"/>
  <c r="R17"/>
  <c r="S17" s="1"/>
  <c r="L17" s="1"/>
  <c r="R16"/>
  <c r="S16" s="1"/>
  <c r="L16" s="1"/>
  <c r="R15"/>
  <c r="S15" s="1"/>
  <c r="L15" s="1"/>
  <c r="R14"/>
  <c r="S14" s="1"/>
  <c r="L14" s="1"/>
  <c r="R13"/>
  <c r="S13" s="1"/>
  <c r="L13" s="1"/>
  <c r="R12"/>
  <c r="S12" s="1"/>
  <c r="L12" s="1"/>
  <c r="R11"/>
  <c r="S11" s="1"/>
  <c r="L11" s="1"/>
  <c r="R10"/>
  <c r="S10" s="1"/>
  <c r="L10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R9"/>
  <c r="S9" s="1"/>
  <c r="L9" s="1"/>
  <c r="R8"/>
  <c r="S8" s="1"/>
  <c r="L8" s="1"/>
  <c r="R7"/>
  <c r="S7" s="1"/>
  <c r="L7" s="1"/>
  <c r="R6"/>
  <c r="S6" s="1"/>
  <c r="L6" s="1"/>
  <c r="A6"/>
  <c r="A7" s="1"/>
  <c r="A8" s="1"/>
  <c r="A9" s="1"/>
  <c r="R5"/>
  <c r="S5" s="1"/>
  <c r="L5" s="1"/>
  <c r="U30" i="1" l="1"/>
  <c r="O30"/>
  <c r="M30"/>
  <c r="C52" i="26"/>
  <c r="C54"/>
  <c r="E23" i="21" l="1"/>
  <c r="F23"/>
  <c r="G23"/>
  <c r="H23"/>
  <c r="I23"/>
  <c r="E22"/>
  <c r="F22"/>
  <c r="G22"/>
  <c r="H22"/>
  <c r="I22"/>
  <c r="L22"/>
  <c r="U45" i="1" l="1"/>
  <c r="O45"/>
  <c r="M45"/>
  <c r="U29" l="1"/>
  <c r="O29"/>
  <c r="M29"/>
  <c r="L49" i="26" l="1"/>
  <c r="O39"/>
  <c r="P30" i="24" l="1"/>
  <c r="O10" i="26" s="1"/>
  <c r="O17"/>
  <c r="O32"/>
  <c r="D20" i="24"/>
  <c r="D21"/>
  <c r="D23"/>
  <c r="C23" i="31" l="1"/>
  <c r="O12" i="26"/>
  <c r="W33" i="24"/>
  <c r="U37"/>
  <c r="T40"/>
  <c r="U32"/>
  <c r="L27" i="26" l="1"/>
  <c r="I27"/>
  <c r="E27"/>
  <c r="I23"/>
  <c r="E23"/>
  <c r="P16" l="1"/>
  <c r="P15"/>
  <c r="I15"/>
  <c r="E15"/>
  <c r="J34" i="24"/>
  <c r="J38" s="1"/>
  <c r="F34"/>
  <c r="R17"/>
  <c r="R30" s="1"/>
  <c r="M13"/>
  <c r="J12"/>
  <c r="I14"/>
  <c r="H14"/>
  <c r="F12"/>
  <c r="E11"/>
  <c r="F38" l="1"/>
  <c r="D18"/>
  <c r="D19"/>
  <c r="D12"/>
  <c r="D14"/>
  <c r="D13"/>
  <c r="D16"/>
  <c r="D17"/>
  <c r="D27"/>
  <c r="D29"/>
  <c r="D28"/>
  <c r="D30" l="1"/>
  <c r="U24"/>
  <c r="U44" i="1" l="1"/>
  <c r="O44"/>
  <c r="M44"/>
  <c r="G49" i="26" l="1"/>
  <c r="H49"/>
  <c r="I49"/>
  <c r="J49"/>
  <c r="K49"/>
  <c r="M49"/>
  <c r="R49"/>
  <c r="D39"/>
  <c r="I21" i="21" l="1"/>
  <c r="I20"/>
  <c r="H20"/>
  <c r="H21" s="1"/>
  <c r="G20"/>
  <c r="G21" s="1"/>
  <c r="F20"/>
  <c r="F21" s="1"/>
  <c r="E20"/>
  <c r="E21" s="1"/>
  <c r="O46" i="1" l="1"/>
  <c r="O35"/>
  <c r="O36"/>
  <c r="O37"/>
  <c r="O34"/>
  <c r="O25"/>
  <c r="O26"/>
  <c r="O24"/>
  <c r="O14"/>
  <c r="O16"/>
  <c r="O19"/>
  <c r="M46"/>
  <c r="M35"/>
  <c r="M36"/>
  <c r="M37"/>
  <c r="M34"/>
  <c r="M25"/>
  <c r="M26"/>
  <c r="M24"/>
  <c r="M14"/>
  <c r="M16"/>
  <c r="M19"/>
  <c r="Q27" i="31" l="1"/>
  <c r="F7" i="62" l="1"/>
  <c r="G3" s="1"/>
  <c r="G5" l="1"/>
  <c r="G4"/>
  <c r="G6"/>
  <c r="G7" l="1"/>
  <c r="U24" i="1" l="1"/>
  <c r="U25"/>
  <c r="U26"/>
  <c r="U46"/>
  <c r="I9" i="31" l="1"/>
  <c r="Q28"/>
  <c r="Q29" s="1"/>
  <c r="C43"/>
  <c r="F39"/>
  <c r="F40" s="1"/>
  <c r="F41" s="1"/>
  <c r="F42" s="1"/>
  <c r="A39"/>
  <c r="A40" s="1"/>
  <c r="A41" s="1"/>
  <c r="A42" s="1"/>
  <c r="A33"/>
  <c r="A34" s="1"/>
  <c r="P24"/>
  <c r="D39" l="1"/>
  <c r="O33"/>
  <c r="D38"/>
  <c r="D40"/>
  <c r="D41"/>
  <c r="D42"/>
  <c r="O36"/>
  <c r="O24" i="26"/>
  <c r="R28" i="31"/>
  <c r="R27"/>
  <c r="P32"/>
  <c r="C31" i="26"/>
  <c r="M17"/>
  <c r="I43" i="31" l="1"/>
  <c r="R29"/>
  <c r="I12"/>
  <c r="I19"/>
  <c r="I10"/>
  <c r="P17"/>
  <c r="I28"/>
  <c r="I25"/>
  <c r="I20"/>
  <c r="I14"/>
  <c r="I31"/>
  <c r="I17"/>
  <c r="I21"/>
  <c r="P16"/>
  <c r="I15"/>
  <c r="I29"/>
  <c r="I22"/>
  <c r="I18"/>
  <c r="I16"/>
  <c r="I32"/>
  <c r="I26"/>
  <c r="I11"/>
  <c r="I34" l="1"/>
  <c r="N9" i="57" l="1"/>
  <c r="M10" s="1"/>
  <c r="L10" l="1"/>
  <c r="N10" s="1"/>
  <c r="E56" i="26" l="1"/>
  <c r="O43" i="23" l="1"/>
  <c r="P43" s="1"/>
  <c r="Q43" s="1"/>
  <c r="O44"/>
  <c r="P44" s="1"/>
  <c r="Q44" s="1"/>
  <c r="O45"/>
  <c r="P45" s="1"/>
  <c r="Q45" s="1"/>
  <c r="O46"/>
  <c r="P46" s="1"/>
  <c r="Q46" s="1"/>
  <c r="O42"/>
  <c r="P42" s="1"/>
  <c r="Q42" s="1"/>
  <c r="O10"/>
  <c r="P10" s="1"/>
  <c r="Q10" s="1"/>
  <c r="O11"/>
  <c r="P11" s="1"/>
  <c r="Q11" s="1"/>
  <c r="O12"/>
  <c r="P12" s="1"/>
  <c r="Q12" s="1"/>
  <c r="O13"/>
  <c r="P13" s="1"/>
  <c r="Q13" s="1"/>
  <c r="O14"/>
  <c r="P14" s="1"/>
  <c r="Q14" s="1"/>
  <c r="O15"/>
  <c r="P15" s="1"/>
  <c r="Q15" s="1"/>
  <c r="O16"/>
  <c r="P16" s="1"/>
  <c r="Q16" s="1"/>
  <c r="O17"/>
  <c r="P17" s="1"/>
  <c r="Q17" s="1"/>
  <c r="O18"/>
  <c r="P18" s="1"/>
  <c r="Q18" s="1"/>
  <c r="O19"/>
  <c r="P19" s="1"/>
  <c r="Q19" s="1"/>
  <c r="O20"/>
  <c r="P20" s="1"/>
  <c r="Q20" s="1"/>
  <c r="O21"/>
  <c r="P21" s="1"/>
  <c r="Q21" s="1"/>
  <c r="O22"/>
  <c r="P22" s="1"/>
  <c r="Q22" s="1"/>
  <c r="O23"/>
  <c r="P23" s="1"/>
  <c r="Q23" s="1"/>
  <c r="O24"/>
  <c r="P24" s="1"/>
  <c r="Q24" s="1"/>
  <c r="O25"/>
  <c r="P25" s="1"/>
  <c r="Q25" s="1"/>
  <c r="O26"/>
  <c r="P26" s="1"/>
  <c r="Q26" s="1"/>
  <c r="O27"/>
  <c r="P27" s="1"/>
  <c r="Q27" s="1"/>
  <c r="O28"/>
  <c r="P28" s="1"/>
  <c r="Q28" s="1"/>
  <c r="O29"/>
  <c r="P29" s="1"/>
  <c r="Q29" s="1"/>
  <c r="O8"/>
  <c r="P8" s="1"/>
  <c r="Q8" s="1"/>
  <c r="O36"/>
  <c r="P36" s="1"/>
  <c r="Q36" s="1"/>
  <c r="O9"/>
  <c r="P9" s="1"/>
  <c r="Q9" s="1"/>
  <c r="A278" i="52" l="1"/>
  <c r="A279" s="1"/>
  <c r="A280" s="1"/>
  <c r="A275"/>
  <c r="A246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35"/>
  <c r="A236" s="1"/>
  <c r="A237" s="1"/>
  <c r="A238" s="1"/>
  <c r="A239" s="1"/>
  <c r="A227"/>
  <c r="A228" s="1"/>
  <c r="A229" s="1"/>
  <c r="A230" s="1"/>
  <c r="A231" s="1"/>
  <c r="A232" s="1"/>
  <c r="A212"/>
  <c r="A213" s="1"/>
  <c r="A214" s="1"/>
  <c r="A218" s="1"/>
  <c r="A219" s="1"/>
  <c r="A220" s="1"/>
  <c r="A221" s="1"/>
  <c r="A222" s="1"/>
  <c r="A223" s="1"/>
  <c r="A224" s="1"/>
  <c r="A173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8" s="1"/>
  <c r="A209" s="1"/>
  <c r="A158"/>
  <c r="A159" s="1"/>
  <c r="A160" s="1"/>
  <c r="A161" s="1"/>
  <c r="A165" s="1"/>
  <c r="A166" s="1"/>
  <c r="A167" s="1"/>
  <c r="A168" s="1"/>
  <c r="A148"/>
  <c r="A149" s="1"/>
  <c r="A150" s="1"/>
  <c r="A151" s="1"/>
  <c r="A152" s="1"/>
  <c r="A153" s="1"/>
  <c r="A154" s="1"/>
  <c r="A155" s="1"/>
  <c r="A138"/>
  <c r="A139" s="1"/>
  <c r="A140" s="1"/>
  <c r="A141" s="1"/>
  <c r="A142" s="1"/>
  <c r="A143" s="1"/>
  <c r="A144" s="1"/>
  <c r="A145" s="1"/>
  <c r="A6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9" s="1"/>
  <c r="P17" i="26" l="1"/>
  <c r="D25" i="24" l="1"/>
  <c r="P19" i="21" l="1"/>
  <c r="O19"/>
  <c r="N19"/>
  <c r="R32" i="26" l="1"/>
  <c r="C53" l="1"/>
  <c r="R39"/>
  <c r="P39"/>
  <c r="L39"/>
  <c r="K39"/>
  <c r="J39"/>
  <c r="I39"/>
  <c r="H39"/>
  <c r="G39"/>
  <c r="Q32"/>
  <c r="P32"/>
  <c r="M32"/>
  <c r="L32"/>
  <c r="K32"/>
  <c r="J32"/>
  <c r="I32"/>
  <c r="H32"/>
  <c r="G32"/>
  <c r="E32"/>
  <c r="R24"/>
  <c r="Q24"/>
  <c r="P24"/>
  <c r="L24"/>
  <c r="K24"/>
  <c r="J24"/>
  <c r="I24"/>
  <c r="H24"/>
  <c r="G24"/>
  <c r="E24"/>
  <c r="R17"/>
  <c r="L17"/>
  <c r="K17"/>
  <c r="J17"/>
  <c r="I17"/>
  <c r="G17"/>
  <c r="E17"/>
  <c r="S30" i="24" l="1"/>
  <c r="R10" i="26" s="1"/>
  <c r="Q10"/>
  <c r="Q30" i="24"/>
  <c r="P10" i="26" s="1"/>
  <c r="O30" i="24"/>
  <c r="N10" i="26" s="1"/>
  <c r="N30" i="24"/>
  <c r="M10" i="26" s="1"/>
  <c r="M30" i="24"/>
  <c r="L10" i="26" s="1"/>
  <c r="L30" i="24"/>
  <c r="K10" i="26" s="1"/>
  <c r="K30" i="24"/>
  <c r="J10" i="26" s="1"/>
  <c r="J30" i="24"/>
  <c r="I10" i="26" s="1"/>
  <c r="I12" s="1"/>
  <c r="I30" i="24"/>
  <c r="H10" i="26" s="1"/>
  <c r="H30" i="24"/>
  <c r="G10" i="26" s="1"/>
  <c r="G30" i="24"/>
  <c r="F10" i="26" s="1"/>
  <c r="F30" i="24"/>
  <c r="E10" i="26" s="1"/>
  <c r="E30" i="24"/>
  <c r="D10" i="26" s="1"/>
  <c r="D11" i="24"/>
  <c r="C15" i="31" l="1"/>
  <c r="E12" i="26"/>
  <c r="C21" i="31"/>
  <c r="J12" i="26"/>
  <c r="C20" i="31"/>
  <c r="C34" s="1"/>
  <c r="K12" i="26"/>
  <c r="C22" i="31"/>
  <c r="L12" i="26"/>
  <c r="C16" i="31"/>
  <c r="F12" i="26"/>
  <c r="C17" i="31"/>
  <c r="G12" i="26"/>
  <c r="C18" i="31"/>
  <c r="H12" i="26"/>
  <c r="C14" i="31"/>
  <c r="D12" i="26"/>
  <c r="C24" i="31"/>
  <c r="M12" i="26"/>
  <c r="C25" i="31"/>
  <c r="N12" i="26"/>
  <c r="C26" i="31"/>
  <c r="P12" i="26"/>
  <c r="C28" i="31"/>
  <c r="R12" i="26"/>
  <c r="C27" i="31"/>
  <c r="C10" i="26"/>
  <c r="C12" s="1"/>
  <c r="C33" i="31" l="1"/>
  <c r="C32"/>
  <c r="C35" s="1"/>
  <c r="D34" s="1"/>
  <c r="D14"/>
  <c r="D15" l="1"/>
  <c r="D16"/>
  <c r="D27"/>
  <c r="D20"/>
  <c r="D19"/>
  <c r="D25"/>
  <c r="D22"/>
  <c r="D26"/>
  <c r="D17"/>
  <c r="D28"/>
  <c r="D24"/>
  <c r="D23"/>
  <c r="D18"/>
  <c r="D21"/>
  <c r="D32"/>
  <c r="D33"/>
  <c r="D43"/>
  <c r="A8" i="21"/>
  <c r="A9" s="1"/>
  <c r="A10" s="1"/>
  <c r="A11" s="1"/>
  <c r="A12" s="1"/>
  <c r="A13" s="1"/>
  <c r="A14" s="1"/>
  <c r="A15" s="1"/>
  <c r="A16" s="1"/>
  <c r="A17" s="1"/>
  <c r="A18" s="1"/>
  <c r="D35" i="31" l="1"/>
  <c r="L21" i="21"/>
  <c r="L20"/>
  <c r="E39" i="26"/>
  <c r="P8" i="1"/>
  <c r="T8"/>
  <c r="H8"/>
  <c r="X8"/>
  <c r="K8"/>
  <c r="R8"/>
  <c r="D23" i="26"/>
  <c r="I8" i="1"/>
  <c r="J8"/>
  <c r="D15" i="26" s="1"/>
  <c r="D17" s="1"/>
  <c r="N8" i="1"/>
  <c r="O8" s="1"/>
  <c r="S8"/>
  <c r="E33" i="24" s="1"/>
  <c r="Q8" i="1"/>
  <c r="D28" i="26" s="1"/>
  <c r="E38" i="24" l="1"/>
  <c r="D33"/>
  <c r="Y8" i="1"/>
  <c r="M8"/>
  <c r="D32" i="26"/>
  <c r="D24"/>
  <c r="D48" l="1"/>
  <c r="D42"/>
  <c r="E44"/>
  <c r="E43" s="1"/>
  <c r="E49" s="1"/>
  <c r="D47"/>
  <c r="P18" i="1" l="1"/>
  <c r="N18"/>
  <c r="O18" s="1"/>
  <c r="Y18" l="1"/>
  <c r="M17" i="103" l="1"/>
  <c r="L18" i="1"/>
  <c r="M18" s="1"/>
  <c r="M16" i="103"/>
  <c r="X20" i="1"/>
  <c r="Y20"/>
  <c r="D46" i="26" s="1"/>
  <c r="D45" s="1"/>
  <c r="X18" i="1" l="1"/>
  <c r="F38" i="26" s="1"/>
  <c r="C38" s="1"/>
  <c r="X31" s="1"/>
  <c r="F48"/>
  <c r="C48" s="1"/>
  <c r="D44"/>
  <c r="F42"/>
  <c r="F47" l="1"/>
  <c r="C47" s="1"/>
  <c r="F37"/>
  <c r="C37" s="1"/>
  <c r="X30" s="1"/>
  <c r="D43"/>
  <c r="D49" s="1"/>
  <c r="C42"/>
  <c r="F46" l="1"/>
  <c r="C46" s="1"/>
  <c r="F36"/>
  <c r="C36" s="1"/>
  <c r="X29" s="1"/>
  <c r="F45" l="1"/>
  <c r="F44" s="1"/>
  <c r="F35"/>
  <c r="F39" l="1"/>
  <c r="C35"/>
  <c r="C39" s="1"/>
  <c r="C45"/>
  <c r="F43"/>
  <c r="F49" s="1"/>
  <c r="C49" s="1"/>
  <c r="C44"/>
  <c r="X28" l="1"/>
  <c r="W32"/>
  <c r="Y28" s="1"/>
  <c r="Y30" l="1"/>
  <c r="Y31"/>
  <c r="Y29"/>
  <c r="G20" i="1"/>
  <c r="H20"/>
  <c r="I20"/>
  <c r="J20"/>
  <c r="Y32" i="26" l="1"/>
  <c r="R18" i="1"/>
  <c r="S18"/>
  <c r="G36" i="24" s="1"/>
  <c r="D36" s="1"/>
  <c r="G34"/>
  <c r="D34" s="1"/>
  <c r="D38" l="1"/>
  <c r="G38"/>
  <c r="T38" s="1"/>
  <c r="T18" i="1"/>
  <c r="Q18"/>
  <c r="F27" i="26" s="1"/>
  <c r="F32" s="1"/>
  <c r="I139" i="103"/>
  <c r="I14" i="107"/>
  <c r="C14"/>
  <c r="C18" i="1"/>
  <c r="C17" i="103"/>
  <c r="K18" i="1"/>
  <c r="K17" i="103"/>
  <c r="F24" i="26"/>
  <c r="C21"/>
  <c r="C24"/>
  <c r="H14" i="107"/>
  <c r="H139" i="103"/>
  <c r="F21" i="26"/>
  <c r="H152" i="1"/>
  <c r="D10" i="31"/>
  <c r="G14" i="107"/>
  <c r="G17" i="103"/>
  <c r="G18" i="1"/>
  <c r="F23" i="26"/>
  <c r="C23"/>
  <c r="J14" i="107"/>
  <c r="H17" i="103"/>
  <c r="H18" i="1"/>
  <c r="H22"/>
  <c r="C10" i="31"/>
  <c r="D8"/>
  <c r="D9"/>
  <c r="C17" i="26"/>
  <c r="C8" i="31"/>
  <c r="I17" i="103"/>
  <c r="I18" i="1"/>
  <c r="I22"/>
  <c r="I152"/>
  <c r="F17" i="26"/>
  <c r="F16"/>
  <c r="C16"/>
  <c r="J17" i="103"/>
  <c r="J18" i="1"/>
  <c r="F15" i="26"/>
  <c r="C15"/>
  <c r="C9" i="31"/>
</calcChain>
</file>

<file path=xl/sharedStrings.xml><?xml version="1.0" encoding="utf-8"?>
<sst xmlns="http://schemas.openxmlformats.org/spreadsheetml/2006/main" count="7649" uniqueCount="2827">
  <si>
    <t>DATA  KARYAWAN  CABANG  SEMARANG</t>
  </si>
  <si>
    <t>NO</t>
  </si>
  <si>
    <t>NPP</t>
  </si>
  <si>
    <t>NAMA</t>
  </si>
  <si>
    <t>GOL</t>
  </si>
  <si>
    <t>JABATAN</t>
  </si>
  <si>
    <t>STATUS KARY.</t>
  </si>
  <si>
    <t>L/P</t>
  </si>
  <si>
    <t>TEMPAT &amp; TGL LAHIR</t>
  </si>
  <si>
    <t>TGL                  PENSIUN</t>
  </si>
  <si>
    <t>AGM</t>
  </si>
  <si>
    <t>PENDIDIKAN</t>
  </si>
  <si>
    <t>ALAMAT</t>
  </si>
  <si>
    <t>DIAKUI</t>
  </si>
  <si>
    <t>DIMILIKI</t>
  </si>
  <si>
    <t>DRH</t>
  </si>
  <si>
    <t>SARI PURNAWARMAN</t>
  </si>
  <si>
    <t>II</t>
  </si>
  <si>
    <t>T</t>
  </si>
  <si>
    <t>K</t>
  </si>
  <si>
    <t>L</t>
  </si>
  <si>
    <t>SEMARANG</t>
  </si>
  <si>
    <t>I</t>
  </si>
  <si>
    <t>S1</t>
  </si>
  <si>
    <t>DJUTISWANTO</t>
  </si>
  <si>
    <t>III</t>
  </si>
  <si>
    <t>JAKARTA</t>
  </si>
  <si>
    <t>IV</t>
  </si>
  <si>
    <t>02210</t>
  </si>
  <si>
    <t>WURYANINGSIH</t>
  </si>
  <si>
    <t>VI</t>
  </si>
  <si>
    <t>P</t>
  </si>
  <si>
    <t>SMEA</t>
  </si>
  <si>
    <t>04647</t>
  </si>
  <si>
    <t>HENDRAWATI</t>
  </si>
  <si>
    <t>SMA</t>
  </si>
  <si>
    <t>04656</t>
  </si>
  <si>
    <t>BUDI GESTIYONO</t>
  </si>
  <si>
    <t>STM</t>
  </si>
  <si>
    <t>06812</t>
  </si>
  <si>
    <t>AGUNG PURWANTO</t>
  </si>
  <si>
    <t>BANDUNG</t>
  </si>
  <si>
    <t>04572</t>
  </si>
  <si>
    <t>MARGONO</t>
  </si>
  <si>
    <t>KULON PROGO</t>
  </si>
  <si>
    <t>04998</t>
  </si>
  <si>
    <t>AGNES YUDHI ASTUTI</t>
  </si>
  <si>
    <t>J</t>
  </si>
  <si>
    <t>03380</t>
  </si>
  <si>
    <t>ISNADIYAH HANDANANI</t>
  </si>
  <si>
    <t>03870</t>
  </si>
  <si>
    <t>SUSILO ANGGRAINI</t>
  </si>
  <si>
    <t>07063</t>
  </si>
  <si>
    <t>MUJI SETIYANTO</t>
  </si>
  <si>
    <t>BANJARNEGARA</t>
  </si>
  <si>
    <t>O</t>
  </si>
  <si>
    <t>08260</t>
  </si>
  <si>
    <t>JUMADI</t>
  </si>
  <si>
    <t>BOYOLALI</t>
  </si>
  <si>
    <t>09532</t>
  </si>
  <si>
    <t>ANDY SUSILO</t>
  </si>
  <si>
    <t xml:space="preserve">Teknisi Madya Listrik Dan Mekanikal </t>
  </si>
  <si>
    <t>02417</t>
  </si>
  <si>
    <t>SUKARDI</t>
  </si>
  <si>
    <t>06894</t>
  </si>
  <si>
    <t>SUGIYANTO</t>
  </si>
  <si>
    <t>SLEMAN</t>
  </si>
  <si>
    <t>SMP</t>
  </si>
  <si>
    <t>02217</t>
  </si>
  <si>
    <t>SUNARSO</t>
  </si>
  <si>
    <t>V</t>
  </si>
  <si>
    <t>KLATEN</t>
  </si>
  <si>
    <t>02184</t>
  </si>
  <si>
    <t>SOEGIYANTO</t>
  </si>
  <si>
    <t>02227</t>
  </si>
  <si>
    <t>DARYANTO</t>
  </si>
  <si>
    <t>02215</t>
  </si>
  <si>
    <t>BUDI WARDHANA</t>
  </si>
  <si>
    <t>02218</t>
  </si>
  <si>
    <t>TUTI IRIANI</t>
  </si>
  <si>
    <t>SOLO</t>
  </si>
  <si>
    <t>04679</t>
  </si>
  <si>
    <t>TRI KUSUMAWATI</t>
  </si>
  <si>
    <t>04666</t>
  </si>
  <si>
    <t>AJI SUPRIOHADI</t>
  </si>
  <si>
    <t>KEBUMEN</t>
  </si>
  <si>
    <t>04623</t>
  </si>
  <si>
    <t>SYAFRIL WIDODO</t>
  </si>
  <si>
    <t>01338</t>
  </si>
  <si>
    <t>RUSTANDI</t>
  </si>
  <si>
    <t>04627</t>
  </si>
  <si>
    <t>SLAMET SANTOSO</t>
  </si>
  <si>
    <t>04641</t>
  </si>
  <si>
    <t>RINI MARDIANI</t>
  </si>
  <si>
    <t>02186</t>
  </si>
  <si>
    <t>KRISNO SETIADI</t>
  </si>
  <si>
    <t>SURABAYA</t>
  </si>
  <si>
    <t>02208</t>
  </si>
  <si>
    <t>SRI RAHAYU</t>
  </si>
  <si>
    <t>02225</t>
  </si>
  <si>
    <t>HARI WISDIAHATI</t>
  </si>
  <si>
    <t>03388</t>
  </si>
  <si>
    <t>AMINAH</t>
  </si>
  <si>
    <t>07447</t>
  </si>
  <si>
    <t>SLAMET RIADI</t>
  </si>
  <si>
    <t>SRAGEN</t>
  </si>
  <si>
    <t>02231</t>
  </si>
  <si>
    <t>CECILIA KUSMIYATI</t>
  </si>
  <si>
    <t>05039</t>
  </si>
  <si>
    <t>HADI MAKMURARTO</t>
  </si>
  <si>
    <t>09242</t>
  </si>
  <si>
    <t>CHARLES LENDRA</t>
  </si>
  <si>
    <t>MOJOKERTO</t>
  </si>
  <si>
    <t>ST</t>
  </si>
  <si>
    <t>02204</t>
  </si>
  <si>
    <t>HERI ARSO</t>
  </si>
  <si>
    <t>-</t>
  </si>
  <si>
    <t>04622</t>
  </si>
  <si>
    <t>SATRIYO WIDIANTO</t>
  </si>
  <si>
    <t>16</t>
  </si>
  <si>
    <t>B</t>
  </si>
  <si>
    <t>06813</t>
  </si>
  <si>
    <t>SRI MULYONO</t>
  </si>
  <si>
    <t>08143</t>
  </si>
  <si>
    <t>EKO PRASETYONO</t>
  </si>
  <si>
    <t>02207</t>
  </si>
  <si>
    <t>SIH WIYONO</t>
  </si>
  <si>
    <t>03382</t>
  </si>
  <si>
    <t>04653</t>
  </si>
  <si>
    <t>13</t>
  </si>
  <si>
    <t>21</t>
  </si>
  <si>
    <t>A</t>
  </si>
  <si>
    <t>04684</t>
  </si>
  <si>
    <t>AL.CATUR MARTIN P</t>
  </si>
  <si>
    <t>TELUK BETUNG</t>
  </si>
  <si>
    <t>04658</t>
  </si>
  <si>
    <t>BAMBANG SUTIYONO</t>
  </si>
  <si>
    <t>07618</t>
  </si>
  <si>
    <t>ENDRO HARTONO</t>
  </si>
  <si>
    <t>GROBOGAN</t>
  </si>
  <si>
    <t>BANTUL</t>
  </si>
  <si>
    <t>01608</t>
  </si>
  <si>
    <t>IRIANTO AGUS SETIABUDI</t>
  </si>
  <si>
    <t>02205</t>
  </si>
  <si>
    <t>SUKO WIDODO</t>
  </si>
  <si>
    <t>04413</t>
  </si>
  <si>
    <t>ERMAWATI</t>
  </si>
  <si>
    <t>MAGELANG</t>
  </si>
  <si>
    <t>04678</t>
  </si>
  <si>
    <t>MARTINI</t>
  </si>
  <si>
    <t>07578</t>
  </si>
  <si>
    <t>JUWADI</t>
  </si>
  <si>
    <t>07649</t>
  </si>
  <si>
    <t>SISWANTO</t>
  </si>
  <si>
    <t>TK</t>
  </si>
  <si>
    <t>02181</t>
  </si>
  <si>
    <t>EKO SUDARYANTO</t>
  </si>
  <si>
    <t>02211</t>
  </si>
  <si>
    <t>LUKMAN HAKIM</t>
  </si>
  <si>
    <t>Kepala Shift Layanan Jalan Tol</t>
  </si>
  <si>
    <t>04624</t>
  </si>
  <si>
    <t>TRISNO PURWANTO</t>
  </si>
  <si>
    <t>NGAWI</t>
  </si>
  <si>
    <t>04625</t>
  </si>
  <si>
    <t>SUPRIYO</t>
  </si>
  <si>
    <t>04673</t>
  </si>
  <si>
    <t>MURTIONO</t>
  </si>
  <si>
    <t>08261</t>
  </si>
  <si>
    <t>DIDIK WAHYUDI</t>
  </si>
  <si>
    <t>JOMBANG</t>
  </si>
  <si>
    <t>07622</t>
  </si>
  <si>
    <t>R.HUSNI AGUS DRAJAT R</t>
  </si>
  <si>
    <t>02195</t>
  </si>
  <si>
    <t>ANASTASIA ROCHANA</t>
  </si>
  <si>
    <t>PATI</t>
  </si>
  <si>
    <t>D3</t>
  </si>
  <si>
    <t>04657</t>
  </si>
  <si>
    <t>HARNO</t>
  </si>
  <si>
    <t>PEKALONGAN</t>
  </si>
  <si>
    <t>07688</t>
  </si>
  <si>
    <t>YOSEP RUSWITO</t>
  </si>
  <si>
    <t>04652</t>
  </si>
  <si>
    <t>EKO JUNAEDI MARYANTO</t>
  </si>
  <si>
    <t xml:space="preserve">Petugas Informasi dan Komunikasi </t>
  </si>
  <si>
    <t>04661</t>
  </si>
  <si>
    <t>PUTUT WAHYUDI</t>
  </si>
  <si>
    <t>04632</t>
  </si>
  <si>
    <t>NUR DIMYATI</t>
  </si>
  <si>
    <t>SPK</t>
  </si>
  <si>
    <t>04776</t>
  </si>
  <si>
    <t>EDI HASTAYOGA</t>
  </si>
  <si>
    <t>KENDAL</t>
  </si>
  <si>
    <t>08256</t>
  </si>
  <si>
    <t>YOSEPH TUAHNA RASKITA</t>
  </si>
  <si>
    <t>MEDAN</t>
  </si>
  <si>
    <t>04848</t>
  </si>
  <si>
    <t>RASTIYO</t>
  </si>
  <si>
    <t>04688</t>
  </si>
  <si>
    <t>BAMBANG SUSATYO</t>
  </si>
  <si>
    <t>04690</t>
  </si>
  <si>
    <t>SUWARDI</t>
  </si>
  <si>
    <t>04883</t>
  </si>
  <si>
    <t>SUMENENG</t>
  </si>
  <si>
    <t>GEBUGAN</t>
  </si>
  <si>
    <t>02610</t>
  </si>
  <si>
    <t>SUNOTO</t>
  </si>
  <si>
    <t xml:space="preserve">Petugas Utama Layanan Jalan Tol </t>
  </si>
  <si>
    <t>04630</t>
  </si>
  <si>
    <t>SUHARTONO</t>
  </si>
  <si>
    <t>04668</t>
  </si>
  <si>
    <t>BUDI PURWANTO</t>
  </si>
  <si>
    <t>04667</t>
  </si>
  <si>
    <t>JACKY RINO YACOBSON</t>
  </si>
  <si>
    <t>04671</t>
  </si>
  <si>
    <t>HERI PURNOMO</t>
  </si>
  <si>
    <t>UNGARAN</t>
  </si>
  <si>
    <t>04676</t>
  </si>
  <si>
    <t>SUDIRO</t>
  </si>
  <si>
    <t>04884</t>
  </si>
  <si>
    <t>BUDIYONO</t>
  </si>
  <si>
    <t>05372</t>
  </si>
  <si>
    <t>PARIJAN</t>
  </si>
  <si>
    <t>06791</t>
  </si>
  <si>
    <t>NURCHOLID</t>
  </si>
  <si>
    <t xml:space="preserve">Petugas Madya Layanan Jalan Tol </t>
  </si>
  <si>
    <t>07404</t>
  </si>
  <si>
    <t>DJOKO</t>
  </si>
  <si>
    <t>07575</t>
  </si>
  <si>
    <t>GATOT WELLY RUSBIANTORO</t>
  </si>
  <si>
    <t>07606</t>
  </si>
  <si>
    <t>TITO CHRISDIAN ANDRIANTO</t>
  </si>
  <si>
    <t>MADIUN</t>
  </si>
  <si>
    <t>07614</t>
  </si>
  <si>
    <t>MOCH.LUTFI</t>
  </si>
  <si>
    <t>SIDOARJO</t>
  </si>
  <si>
    <t>07616</t>
  </si>
  <si>
    <t>GUNADI</t>
  </si>
  <si>
    <t>08259</t>
  </si>
  <si>
    <t>SUHARTO</t>
  </si>
  <si>
    <t>BATANG</t>
  </si>
  <si>
    <t>08346</t>
  </si>
  <si>
    <t>RONNI ERMAWAN</t>
  </si>
  <si>
    <t>KUDUS</t>
  </si>
  <si>
    <t>09539</t>
  </si>
  <si>
    <t>HADI PRASTOWO</t>
  </si>
  <si>
    <t>09969</t>
  </si>
  <si>
    <t>ERVAT ERIVIANTO</t>
  </si>
  <si>
    <t>JL. JATI RAYA BARAT 281 BANYUMANIK SEMARANG</t>
  </si>
  <si>
    <t>MARYADI</t>
  </si>
  <si>
    <t>04664</t>
  </si>
  <si>
    <t>KUSDIYONO</t>
  </si>
  <si>
    <t>Kepala Gerbang Tol  Manyaran</t>
  </si>
  <si>
    <t>01618</t>
  </si>
  <si>
    <t>BAMBANG EDY SISWANTO</t>
  </si>
  <si>
    <t>Kepala Shift Pul. Tol GT. Manyaran</t>
  </si>
  <si>
    <t>NGANJUK</t>
  </si>
  <si>
    <t>02878</t>
  </si>
  <si>
    <t>GIYARNO</t>
  </si>
  <si>
    <t>03766</t>
  </si>
  <si>
    <t>ARI PRIBADI</t>
  </si>
  <si>
    <t>05883</t>
  </si>
  <si>
    <t>ENI KUSRINI</t>
  </si>
  <si>
    <t>06005</t>
  </si>
  <si>
    <t>SUHARYONO</t>
  </si>
  <si>
    <t>JL.PUCANG PENI I/09 MRANGGEN DEMAK</t>
  </si>
  <si>
    <t>06480</t>
  </si>
  <si>
    <t>YUNI BUDI KUSWORO</t>
  </si>
  <si>
    <t>MALANG</t>
  </si>
  <si>
    <t>07646</t>
  </si>
  <si>
    <t>SUGENG WARDOYO</t>
  </si>
  <si>
    <t>07672</t>
  </si>
  <si>
    <t>BUDI HARYAWAN</t>
  </si>
  <si>
    <t>07685</t>
  </si>
  <si>
    <t>07843</t>
  </si>
  <si>
    <t>RIYONO</t>
  </si>
  <si>
    <t>04640</t>
  </si>
  <si>
    <t>CHRISTINA RETNO YULIATI</t>
  </si>
  <si>
    <t>04638</t>
  </si>
  <si>
    <t>SRI WINARTI</t>
  </si>
  <si>
    <t>02416</t>
  </si>
  <si>
    <t>SURYAT</t>
  </si>
  <si>
    <t>04675</t>
  </si>
  <si>
    <t>SUMEDI</t>
  </si>
  <si>
    <t>04635</t>
  </si>
  <si>
    <t>CICIK ISTIYANTI</t>
  </si>
  <si>
    <t>04670</t>
  </si>
  <si>
    <t>SUHENDRO</t>
  </si>
  <si>
    <t>04672</t>
  </si>
  <si>
    <t>KUSMIN</t>
  </si>
  <si>
    <t>04674</t>
  </si>
  <si>
    <t>WAHYUDI</t>
  </si>
  <si>
    <t>AB</t>
  </si>
  <si>
    <t>04685</t>
  </si>
  <si>
    <t>JAWAHIR</t>
  </si>
  <si>
    <t>04691</t>
  </si>
  <si>
    <t>SUHARDI</t>
  </si>
  <si>
    <t>SUKOHARJO</t>
  </si>
  <si>
    <t>04997</t>
  </si>
  <si>
    <t>JIWATI</t>
  </si>
  <si>
    <t>05373</t>
  </si>
  <si>
    <t>WAHYUNI</t>
  </si>
  <si>
    <t>05838</t>
  </si>
  <si>
    <t>ERNA LISTIYAWATI</t>
  </si>
  <si>
    <t>05839</t>
  </si>
  <si>
    <t>EDI PURNOMO</t>
  </si>
  <si>
    <t>06031</t>
  </si>
  <si>
    <t>SRI ARIYANI</t>
  </si>
  <si>
    <t>TEMANGGUNG</t>
  </si>
  <si>
    <t>06114</t>
  </si>
  <si>
    <t>SUPARNO</t>
  </si>
  <si>
    <t>06208</t>
  </si>
  <si>
    <t>DIDIK ARISTO</t>
  </si>
  <si>
    <t>06454</t>
  </si>
  <si>
    <t>JON EFENDI</t>
  </si>
  <si>
    <t>PEMALANG</t>
  </si>
  <si>
    <t>06539</t>
  </si>
  <si>
    <t>AGUS ROMADHON</t>
  </si>
  <si>
    <t>06642</t>
  </si>
  <si>
    <t>NUR EDI APRIYANTO</t>
  </si>
  <si>
    <t>06778</t>
  </si>
  <si>
    <t>EKO HERY KARTONO</t>
  </si>
  <si>
    <t>07179</t>
  </si>
  <si>
    <t>SUKIRMAN</t>
  </si>
  <si>
    <t>07483</t>
  </si>
  <si>
    <t>SUTARTO</t>
  </si>
  <si>
    <t>KARANGANYAR</t>
  </si>
  <si>
    <t>07489</t>
  </si>
  <si>
    <t>ABDOEL MOEIS BOEDIJONO</t>
  </si>
  <si>
    <t>TUBAN</t>
  </si>
  <si>
    <t>07502</t>
  </si>
  <si>
    <t>MARYONO</t>
  </si>
  <si>
    <t>07611</t>
  </si>
  <si>
    <t>YANES MEVINA</t>
  </si>
  <si>
    <t>07641</t>
  </si>
  <si>
    <t>JANSEN JAYA ROLAS H</t>
  </si>
  <si>
    <t>MARIHAT ULU</t>
  </si>
  <si>
    <t>07692</t>
  </si>
  <si>
    <t>MOHAMAD HADI SUPENO</t>
  </si>
  <si>
    <t>MAGETAN</t>
  </si>
  <si>
    <t>07693</t>
  </si>
  <si>
    <t>AGOES SUMARSONO</t>
  </si>
  <si>
    <t>07673</t>
  </si>
  <si>
    <t>EDI GUNAWAN</t>
  </si>
  <si>
    <t>07682</t>
  </si>
  <si>
    <t>PENDI SETYO NUGROHO</t>
  </si>
  <si>
    <t>07935</t>
  </si>
  <si>
    <t>SOLIHIN</t>
  </si>
  <si>
    <t>08109</t>
  </si>
  <si>
    <t>TRI WAHYUDI</t>
  </si>
  <si>
    <t>D1</t>
  </si>
  <si>
    <t>08115</t>
  </si>
  <si>
    <t>ANDREAS PRAMONO</t>
  </si>
  <si>
    <t>PURWOREJO</t>
  </si>
  <si>
    <t>08205</t>
  </si>
  <si>
    <t>SURYO SUBONO</t>
  </si>
  <si>
    <t>08265</t>
  </si>
  <si>
    <t>YULI DWI ADIHARSONO</t>
  </si>
  <si>
    <t>08358</t>
  </si>
  <si>
    <t>ENDRAWAN UTOMO</t>
  </si>
  <si>
    <t>08359</t>
  </si>
  <si>
    <t>EDY SUPRIONO</t>
  </si>
  <si>
    <t>08369</t>
  </si>
  <si>
    <t>EKO BUDIONO</t>
  </si>
  <si>
    <t>08415</t>
  </si>
  <si>
    <t>AGUS BUDI SETIYO PRIYONO</t>
  </si>
  <si>
    <t>PONOROGO</t>
  </si>
  <si>
    <t>08617</t>
  </si>
  <si>
    <t>HARIYANTO</t>
  </si>
  <si>
    <t>YOGYAKARTA</t>
  </si>
  <si>
    <t>08659</t>
  </si>
  <si>
    <t>DEDY HENDRAWAN</t>
  </si>
  <si>
    <t>08741</t>
  </si>
  <si>
    <t>RENO LILIK SUNARNO</t>
  </si>
  <si>
    <t>08745</t>
  </si>
  <si>
    <t>SUDARMONO</t>
  </si>
  <si>
    <t>08973</t>
  </si>
  <si>
    <t>HERI KARTONO</t>
  </si>
  <si>
    <t>REMBANG</t>
  </si>
  <si>
    <t>09069</t>
  </si>
  <si>
    <t>AGUS SENOPRATOMO</t>
  </si>
  <si>
    <t>09287</t>
  </si>
  <si>
    <t>HIDAYAT</t>
  </si>
  <si>
    <t>WONOGIRI</t>
  </si>
  <si>
    <t>MAN</t>
  </si>
  <si>
    <t>09514</t>
  </si>
  <si>
    <t>TITIK AMBARWATI</t>
  </si>
  <si>
    <t>09517</t>
  </si>
  <si>
    <t>HERA SUSANTI</t>
  </si>
  <si>
    <t>09520</t>
  </si>
  <si>
    <t>INDRIYANI HARTANTI</t>
  </si>
  <si>
    <t>09521</t>
  </si>
  <si>
    <t>DUGI LESTARI</t>
  </si>
  <si>
    <t>09522</t>
  </si>
  <si>
    <t>MARDIANI SUSILOWATI R</t>
  </si>
  <si>
    <t>09523</t>
  </si>
  <si>
    <t>PUJI WINARSIH</t>
  </si>
  <si>
    <t>09524</t>
  </si>
  <si>
    <t>SRI HARTATI</t>
  </si>
  <si>
    <t>09526</t>
  </si>
  <si>
    <t>AHMAD GUFRON</t>
  </si>
  <si>
    <t>09527</t>
  </si>
  <si>
    <t>CORNELIUS SETYO PAMBUDI</t>
  </si>
  <si>
    <t>09530</t>
  </si>
  <si>
    <t>BUDI HERMAWAN</t>
  </si>
  <si>
    <t>TEGAL</t>
  </si>
  <si>
    <t>09531</t>
  </si>
  <si>
    <t>SOLEMAN LASNO</t>
  </si>
  <si>
    <t>09534</t>
  </si>
  <si>
    <t>BUDI PRABOWO</t>
  </si>
  <si>
    <t>09538</t>
  </si>
  <si>
    <t>NYOMAN WINAYA</t>
  </si>
  <si>
    <t>H</t>
  </si>
  <si>
    <t>09540</t>
  </si>
  <si>
    <t>WAHYU EKO PURNOMO</t>
  </si>
  <si>
    <t>09542</t>
  </si>
  <si>
    <t>09543</t>
  </si>
  <si>
    <t>DANANG NOVIANTO</t>
  </si>
  <si>
    <t>09995</t>
  </si>
  <si>
    <t>DONDI DWI SUSANTO</t>
  </si>
  <si>
    <t>09902</t>
  </si>
  <si>
    <t>SAAT DUDIN TAFTAYANI</t>
  </si>
  <si>
    <t>09997</t>
  </si>
  <si>
    <t>SUGENG ARIYANTO</t>
  </si>
  <si>
    <t>SALATIGA</t>
  </si>
  <si>
    <t>10153</t>
  </si>
  <si>
    <t>ARIEF BASUKI</t>
  </si>
  <si>
    <t>10154</t>
  </si>
  <si>
    <t>INDAH PUDJI LESTARI</t>
  </si>
  <si>
    <t>MUHIDIN</t>
  </si>
  <si>
    <t>Kepala Shift Pul. Tol GT. Muktiharjo</t>
  </si>
  <si>
    <t>02201</t>
  </si>
  <si>
    <t>PAIDI</t>
  </si>
  <si>
    <t>02230</t>
  </si>
  <si>
    <t>BAMBANG IRAWAN</t>
  </si>
  <si>
    <t>04024</t>
  </si>
  <si>
    <t>04626</t>
  </si>
  <si>
    <t>ANDIT HARIS CAHYONO</t>
  </si>
  <si>
    <t>04629</t>
  </si>
  <si>
    <t>R.MARDI PRIYANTO</t>
  </si>
  <si>
    <t>TOMA RISANUR</t>
  </si>
  <si>
    <t>05837</t>
  </si>
  <si>
    <t>LISTYO RINI</t>
  </si>
  <si>
    <t>06489</t>
  </si>
  <si>
    <t>RAGIL SUPARMADI</t>
  </si>
  <si>
    <t>08014</t>
  </si>
  <si>
    <t>HADI KRISTANTO</t>
  </si>
  <si>
    <t>PERUM. JATEN CLASTER NO. 4 KEL. TLOGOMULYO KEC. PEDURUNGAN</t>
  </si>
  <si>
    <t>09667</t>
  </si>
  <si>
    <t>MULATO</t>
  </si>
  <si>
    <t>04645</t>
  </si>
  <si>
    <t>NIKEN WIDIYATI</t>
  </si>
  <si>
    <t>05159</t>
  </si>
  <si>
    <t>NINIK SURYAWATI</t>
  </si>
  <si>
    <t>02971</t>
  </si>
  <si>
    <t>SUKAMTA</t>
  </si>
  <si>
    <t>04743</t>
  </si>
  <si>
    <t>EDI SANTOSO</t>
  </si>
  <si>
    <t>04777</t>
  </si>
  <si>
    <t>SULISTYO</t>
  </si>
  <si>
    <t>05447</t>
  </si>
  <si>
    <t>WINARDI</t>
  </si>
  <si>
    <t>06123</t>
  </si>
  <si>
    <t>JUWANTO</t>
  </si>
  <si>
    <t>06586</t>
  </si>
  <si>
    <t>07161</t>
  </si>
  <si>
    <t>SUTOMO</t>
  </si>
  <si>
    <t>07195</t>
  </si>
  <si>
    <t>SIGIT WAHYU ICHTIJAR</t>
  </si>
  <si>
    <t>BLORA</t>
  </si>
  <si>
    <t>07225</t>
  </si>
  <si>
    <t>HERRY SUGIANTO</t>
  </si>
  <si>
    <t>07438</t>
  </si>
  <si>
    <t>SLAMET WIBOWO</t>
  </si>
  <si>
    <t>07196</t>
  </si>
  <si>
    <t>ANNAS HIDAYAH ROFII</t>
  </si>
  <si>
    <t>07237</t>
  </si>
  <si>
    <t>ANJAR BUDIANTO</t>
  </si>
  <si>
    <t>07500</t>
  </si>
  <si>
    <t>MUSTAFID</t>
  </si>
  <si>
    <t>DEMAK</t>
  </si>
  <si>
    <t>07651</t>
  </si>
  <si>
    <t>RICKY NELSON SIBARANI</t>
  </si>
  <si>
    <t>07870</t>
  </si>
  <si>
    <t>HERY MURYANTO</t>
  </si>
  <si>
    <t>07824</t>
  </si>
  <si>
    <t>PRIYANTO</t>
  </si>
  <si>
    <t>08016</t>
  </si>
  <si>
    <t>R. GAGAT PANCASIWI</t>
  </si>
  <si>
    <t>08190</t>
  </si>
  <si>
    <t>HERU NUGROHO</t>
  </si>
  <si>
    <t>08195</t>
  </si>
  <si>
    <t>SURIP KUNTADI</t>
  </si>
  <si>
    <t>BANYUMAS</t>
  </si>
  <si>
    <t>08328</t>
  </si>
  <si>
    <t>SUKAMTO</t>
  </si>
  <si>
    <t>08674</t>
  </si>
  <si>
    <t>BUDI SANTOSO</t>
  </si>
  <si>
    <t>09315</t>
  </si>
  <si>
    <t>SLAMET TRIO DARSITO</t>
  </si>
  <si>
    <t>GERBANG TOL MUKTIHARJO</t>
  </si>
  <si>
    <t>09535</t>
  </si>
  <si>
    <t>AGUNG SULISTIYO</t>
  </si>
  <si>
    <t>09536</t>
  </si>
  <si>
    <t>RAHARJO</t>
  </si>
  <si>
    <t>09541</t>
  </si>
  <si>
    <t>HENDRO WIBOWO</t>
  </si>
  <si>
    <t>09701</t>
  </si>
  <si>
    <t>SARNOTO</t>
  </si>
  <si>
    <t>10041</t>
  </si>
  <si>
    <t>YUNIANTO</t>
  </si>
  <si>
    <t>10308</t>
  </si>
  <si>
    <t>AGUS PRIYADI</t>
  </si>
  <si>
    <t>Mengetahui,</t>
  </si>
  <si>
    <t>MASA BHAKTI 0 - 5 TH</t>
  </si>
  <si>
    <t>MASA BHAKTI 6 - 10 TH</t>
  </si>
  <si>
    <t>NO.</t>
  </si>
  <si>
    <t>URAIAN</t>
  </si>
  <si>
    <t>JUMLAH</t>
  </si>
  <si>
    <t>MASA BHAKTI 11 - 15 TH</t>
  </si>
  <si>
    <t>MASA BHAKTI 16 - 20 TH</t>
  </si>
  <si>
    <t>MASA BHAKTI 21 - 25 TH</t>
  </si>
  <si>
    <t>JML</t>
  </si>
  <si>
    <t>KAWIN</t>
  </si>
  <si>
    <t>DUDA</t>
  </si>
  <si>
    <t>ISLAM</t>
  </si>
  <si>
    <t>KATHOLIK</t>
  </si>
  <si>
    <t>HINDU</t>
  </si>
  <si>
    <t>BUDHA</t>
  </si>
  <si>
    <t>CABANG SEMARANG</t>
  </si>
  <si>
    <t>SLTA</t>
  </si>
  <si>
    <t>SLTP</t>
  </si>
  <si>
    <t>%</t>
  </si>
  <si>
    <t>Petugas Ambulans</t>
  </si>
  <si>
    <t>Pengumpul Tol</t>
  </si>
  <si>
    <t>S2</t>
  </si>
  <si>
    <t>JENIS KELAMIN</t>
  </si>
  <si>
    <t>PEREMPUAN</t>
  </si>
  <si>
    <t>LAKI - LAKI</t>
  </si>
  <si>
    <t>JUMLAH NON OPERASIONAL</t>
  </si>
  <si>
    <t>KEPALA SHIFT PENGUMPULAN TOL</t>
  </si>
  <si>
    <t>GERBANG TOL MANYARAN</t>
  </si>
  <si>
    <t>JUMLAH OPERASIONAL</t>
  </si>
  <si>
    <t>KEPALA GERBANG TOL MANYARAN</t>
  </si>
  <si>
    <t>KEPALA GERBANG TOL MUKTIHARJO</t>
  </si>
  <si>
    <t>PENGUMPUL TOL PRIA</t>
  </si>
  <si>
    <t>PENGUMPUL TOL WANITA</t>
  </si>
  <si>
    <t>04631</t>
  </si>
  <si>
    <t>NURDIMYATI</t>
  </si>
  <si>
    <t>LAPORAN JUMLAH KARYAWAN PER BULAN</t>
  </si>
  <si>
    <t>BULAN</t>
  </si>
  <si>
    <t>2010</t>
  </si>
  <si>
    <t>02012</t>
  </si>
  <si>
    <t>2013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</si>
  <si>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</si>
  <si>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</si>
  <si>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</si>
  <si>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</si>
  <si>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</si>
  <si>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</si>
  <si>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</si>
  <si>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</si>
  <si>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OKTOBER</t>
  </si>
  <si>
    <t>NOVEMBER</t>
  </si>
  <si>
    <t>DESEMBER</t>
  </si>
  <si>
    <t>RATA - RATA</t>
  </si>
  <si>
    <t>C</t>
  </si>
  <si>
    <t>D</t>
  </si>
  <si>
    <t>3</t>
  </si>
  <si>
    <t>1</t>
  </si>
  <si>
    <t>lll</t>
  </si>
  <si>
    <t>Kepala Gerbang Tol</t>
  </si>
  <si>
    <t>Kepala Shift Pengumpulan Tol</t>
  </si>
  <si>
    <t>2</t>
  </si>
  <si>
    <t>4</t>
  </si>
  <si>
    <t>5</t>
  </si>
  <si>
    <t>Kepala Shift Pelayanan Jalan Tol</t>
  </si>
  <si>
    <t>Petugas Layanan Jalan Tol</t>
  </si>
  <si>
    <t>Petugas Pelayanan Informasi dan Komunikasi</t>
  </si>
  <si>
    <t>Pengemudi Ambulans</t>
  </si>
  <si>
    <t>Petugas Satpam</t>
  </si>
  <si>
    <t>Teknisi Bangunan Srn. Pelengkap Jalan</t>
  </si>
  <si>
    <t>6</t>
  </si>
  <si>
    <t>Operator Mesin dan Peralatan Berat</t>
  </si>
  <si>
    <t>TOTAL</t>
  </si>
  <si>
    <t>DAFTAR TENAGA OUTSOURCING PT JASA MARGA (PERSERO) Tbk.</t>
  </si>
  <si>
    <t>NO. SPK</t>
  </si>
  <si>
    <t>TGL. SPK</t>
  </si>
  <si>
    <t>PEND.</t>
  </si>
  <si>
    <t>PENYEDIA JASA</t>
  </si>
  <si>
    <t>SLTA/TNI</t>
  </si>
  <si>
    <t>PT Sakti Purwamukti</t>
  </si>
  <si>
    <t>Satpam</t>
  </si>
  <si>
    <t>NUR ALIM</t>
  </si>
  <si>
    <t>LILIK SETIAWAN</t>
  </si>
  <si>
    <t>SMK</t>
  </si>
  <si>
    <t>SISWOYO</t>
  </si>
  <si>
    <t>IRFAN TRI WAHYUDI</t>
  </si>
  <si>
    <t>HERMAWANTO</t>
  </si>
  <si>
    <t>YULIANTO AP</t>
  </si>
  <si>
    <t>RUJITO</t>
  </si>
  <si>
    <t>SUSANTO</t>
  </si>
  <si>
    <t>ARIFANTO</t>
  </si>
  <si>
    <t>SUGENG WIDODO</t>
  </si>
  <si>
    <t>ALI MUSTOFA</t>
  </si>
  <si>
    <t>168</t>
  </si>
  <si>
    <t>YULI SUHARYANTO</t>
  </si>
  <si>
    <t>171</t>
  </si>
  <si>
    <t>DWI UTOMO</t>
  </si>
  <si>
    <t>Pengemudi Pool</t>
  </si>
  <si>
    <t>1 Juli 2012</t>
  </si>
  <si>
    <t>172</t>
  </si>
  <si>
    <t>WAWAN SUSANTO</t>
  </si>
  <si>
    <t>SHOLEKAN</t>
  </si>
  <si>
    <t>HADI SISWANTO</t>
  </si>
  <si>
    <t>SEPTRIANA BELA DINA</t>
  </si>
  <si>
    <t>MARGA ADHI KURNIAWAN</t>
  </si>
  <si>
    <t>WISANG PRADITAMA</t>
  </si>
  <si>
    <t>DWI ARUM BAHAGIA</t>
  </si>
  <si>
    <t>AGUNG KURNIAWAN</t>
  </si>
  <si>
    <t>GUNAWAN SETYAWAN</t>
  </si>
  <si>
    <t>DONNY PRASETYAWAN</t>
  </si>
  <si>
    <t>YOSANDA ARIF MURDOKO</t>
  </si>
  <si>
    <t>ALIF SEPRIAKA</t>
  </si>
  <si>
    <t>TRY RANDY HERDIAWAN</t>
  </si>
  <si>
    <t>BANGUN PERMANA</t>
  </si>
  <si>
    <t>M. SURUR IBNU TSANI</t>
  </si>
  <si>
    <t>MUHAMMAD SIGIT</t>
  </si>
  <si>
    <t>DIMAS PRAMANA MUSTIARTO</t>
  </si>
  <si>
    <t>ADITYA MARHAENDRA SAPUTRA</t>
  </si>
  <si>
    <t>ANDREAS NUR AGUSTI</t>
  </si>
  <si>
    <t>JOJO KINANTO</t>
  </si>
  <si>
    <t>KUKUH NUSWANTORO</t>
  </si>
  <si>
    <t>ARDIAN TRI WAHYUDI</t>
  </si>
  <si>
    <t>Mengetahui</t>
  </si>
  <si>
    <t>SUGIMAN</t>
  </si>
  <si>
    <t>General Manager</t>
  </si>
  <si>
    <t>General Manager Secretary</t>
  </si>
  <si>
    <t>Administration Officer</t>
  </si>
  <si>
    <t>Data Processing Officer</t>
  </si>
  <si>
    <t>General Manager Driver</t>
  </si>
  <si>
    <t>Logistic Manager</t>
  </si>
  <si>
    <t>Senior Officer Goods Procurement</t>
  </si>
  <si>
    <t>Senior Officer Business Development</t>
  </si>
  <si>
    <t>Budgeting Manager</t>
  </si>
  <si>
    <t>Senior Officer Debts &amp; Taxation</t>
  </si>
  <si>
    <t>Senior Officer Goods Utilization &amp; Inventory</t>
  </si>
  <si>
    <t>Senior Officer  Human Resources Utilization</t>
  </si>
  <si>
    <t>Deputy General Manager Finance</t>
  </si>
  <si>
    <t>Senior Officer Administration &amp; Financial Report</t>
  </si>
  <si>
    <t>Assistant Treasurer</t>
  </si>
  <si>
    <t>Deputy General Manager Operation</t>
  </si>
  <si>
    <t>Maintenance Execution Manager</t>
  </si>
  <si>
    <t>Senior Officer Road Complementary Fac Build Eng</t>
  </si>
  <si>
    <t>Senior Officer Building Engineering</t>
  </si>
  <si>
    <t>BRANCH SEMARANG</t>
  </si>
  <si>
    <t>DEPARTEMEN HR &amp; GA (SEKSI LOGISTIC)</t>
  </si>
  <si>
    <t>DEPARTEMEN HR &amp; GA (SEKSI COMMUNITY DEVELOPMENT PROGRAM)</t>
  </si>
  <si>
    <t>DEPARTEMEN FINANCE (SEKSI BUDGETING)</t>
  </si>
  <si>
    <t>DEPARTEMEN FINANCE (SEKSI TAX ACCOUNTING)</t>
  </si>
  <si>
    <t>DEPARTEMEN OPERATION (SEKSI MAINTENANCE ADMINISTRATION)</t>
  </si>
  <si>
    <t>DEPARTEMEN OPERATION (SEKSI MAINTENANCE EXECUTION)</t>
  </si>
  <si>
    <t>Maintenance Administration Manager</t>
  </si>
  <si>
    <t>Senior Officer Road, Bridge, Environment Eng</t>
  </si>
  <si>
    <t>DEPARTEMEN OPERATION (SEKSI TOLL COLLECTION MANAGEMENT)</t>
  </si>
  <si>
    <t>Toll Collection Management Manager</t>
  </si>
  <si>
    <t>Assistant Manager Toll Collection</t>
  </si>
  <si>
    <t>Senior Officer Prog, Evaluation &amp; Data Reporting</t>
  </si>
  <si>
    <t>DEPARTEMEN OPERATION (SEKSI TRAFFIC MANAGEMENT)</t>
  </si>
  <si>
    <t>Senior Officer Traffic Reporting &amp; Controlling</t>
  </si>
  <si>
    <t>Senior Officer Traffic Service</t>
  </si>
  <si>
    <t>GEMPOL RT. 03 / IV LEYANGAN UNGARAN TIMUR</t>
  </si>
  <si>
    <t>PERUM JAPAN RAYA JL. SRIKANDI NO.04 MOJOKERTO</t>
  </si>
  <si>
    <t>DEPARTEMEN OPERATION  ( GERBANG TOL TEMBALANG - MANYARAN )</t>
  </si>
  <si>
    <t>DEPARTEMEN OPERASI( GERBANG TOL GAYAMSARI - MUKTIHARJO )</t>
  </si>
  <si>
    <t>BOGOR</t>
  </si>
  <si>
    <t>Senior Officer Securing Asset</t>
  </si>
  <si>
    <t>Deputy GM Human Resources &amp; General Affair</t>
  </si>
  <si>
    <t>PT JASA MARGA (PERSERO) Tbk.</t>
  </si>
  <si>
    <t>REKAPITULASI DATA KARYAWAN</t>
  </si>
  <si>
    <t>JML YANG ADA</t>
  </si>
  <si>
    <t>LOG</t>
  </si>
  <si>
    <t>GERBANG TOL</t>
  </si>
  <si>
    <t>GT. MANYAR</t>
  </si>
  <si>
    <t>GT. MUKTI</t>
  </si>
  <si>
    <t>STRUKTURAL</t>
  </si>
  <si>
    <t>GM</t>
  </si>
  <si>
    <t>GENERAL MANAGER</t>
  </si>
  <si>
    <t>PETUGAS LAYANAN JALAN TOL</t>
  </si>
  <si>
    <t>MANAGER</t>
  </si>
  <si>
    <t>SENIOR OFFICER</t>
  </si>
  <si>
    <t>GENERAL MANAGER SECRETARY</t>
  </si>
  <si>
    <t>ASSISTANT TREASURER</t>
  </si>
  <si>
    <t>STAF GERBANG TOL</t>
  </si>
  <si>
    <t>7</t>
  </si>
  <si>
    <t>8</t>
  </si>
  <si>
    <t>9</t>
  </si>
  <si>
    <t>10</t>
  </si>
  <si>
    <t>11</t>
  </si>
  <si>
    <t>12</t>
  </si>
  <si>
    <t>14</t>
  </si>
  <si>
    <t>15</t>
  </si>
  <si>
    <t>17</t>
  </si>
  <si>
    <t>18</t>
  </si>
  <si>
    <t>19</t>
  </si>
  <si>
    <t>Senior Officer Toll Collection Facility</t>
  </si>
  <si>
    <t>DRIVER</t>
  </si>
  <si>
    <t>GENERAL MANAGER DRIVER</t>
  </si>
  <si>
    <t>Senior Officer Maintenance Data Management</t>
  </si>
  <si>
    <t>STATUS KARYAWAN</t>
  </si>
  <si>
    <t>TETAP</t>
  </si>
  <si>
    <t>TDK TETAP</t>
  </si>
  <si>
    <t>PRIA</t>
  </si>
  <si>
    <t>WANITA</t>
  </si>
  <si>
    <t>BELUM KAWIN</t>
  </si>
  <si>
    <t xml:space="preserve">JANDA </t>
  </si>
  <si>
    <t>AGAMA</t>
  </si>
  <si>
    <t>KRISTEN</t>
  </si>
  <si>
    <t>18 S/D 30</t>
  </si>
  <si>
    <t>31 S/D 45</t>
  </si>
  <si>
    <t>46 S/D 55</t>
  </si>
  <si>
    <t>&gt; 55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</si>
  <si>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</si>
  <si>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</si>
  <si>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</si>
  <si>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</si>
  <si>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</si>
  <si>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</si>
  <si>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</si>
  <si>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</si>
  <si>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</si>
  <si>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</si>
  <si>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</si>
  <si>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</si>
  <si>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</si>
  <si>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</si>
  <si>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</si>
  <si>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</si>
  <si>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</si>
  <si>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</si>
  <si>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</si>
  <si>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</si>
  <si>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</si>
  <si>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</si>
  <si>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</si>
  <si>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</si>
  <si>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</si>
  <si>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</si>
  <si>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</si>
  <si>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</si>
  <si>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</si>
  <si>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</si>
  <si>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</si>
  <si>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</si>
  <si>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</si>
  <si>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</si>
  <si>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</si>
  <si>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</si>
  <si>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DEPUTY GM HR &amp; GA</t>
  </si>
  <si>
    <t>SEKSI LOGISTIC</t>
  </si>
  <si>
    <t>DEPUTY GM FINANCE</t>
  </si>
  <si>
    <t>SEKSI TAX ACCOUNTING</t>
  </si>
  <si>
    <t>SEKSI BUDGETING</t>
  </si>
  <si>
    <t>DEPUTY GM OPERATION</t>
  </si>
  <si>
    <t>SEKSI MAINTENACE EXECUTION</t>
  </si>
  <si>
    <t>SEKSI TRAFFIC MANAGEMENT</t>
  </si>
  <si>
    <t>DEPARTEMEN HR &amp; GA</t>
  </si>
  <si>
    <t>DEPARTEMEN OPERATION</t>
  </si>
  <si>
    <t>DEPARTEMEN FINANCE</t>
  </si>
  <si>
    <t>STAF USAHA GERBANG TOL</t>
  </si>
  <si>
    <t xml:space="preserve"> </t>
  </si>
  <si>
    <t>Deputy General Manager Human Resources &amp; General Affair</t>
  </si>
  <si>
    <t>Senior Officer Compensation and Welfare</t>
  </si>
  <si>
    <t>Senior Officer Human Resources Utilization</t>
  </si>
  <si>
    <t>Senior Officer Goods Utilization and Inventory</t>
  </si>
  <si>
    <t>KEPALA GERBANG TOL</t>
  </si>
  <si>
    <t>Senior Officer General Ledger and Reporting</t>
  </si>
  <si>
    <t>Senior Officer Preparation and Budgetary Control</t>
  </si>
  <si>
    <t>Tax &amp; Accounting Manager</t>
  </si>
  <si>
    <t xml:space="preserve">DATA KARYAWAN </t>
  </si>
  <si>
    <t>DEPUTY GENERAL  MANAGER</t>
  </si>
  <si>
    <t>SEKSI HR &amp; ADM</t>
  </si>
  <si>
    <t>OFFICER</t>
  </si>
  <si>
    <t>SEKSI COM. DEV PROGRAM</t>
  </si>
  <si>
    <t>TEKNISI</t>
  </si>
  <si>
    <t>SEKSI TOLL COLLECTION MAN</t>
  </si>
  <si>
    <t>SEKSI MAINTENANCE ADM</t>
  </si>
  <si>
    <t>PENGUMPUL TOL</t>
  </si>
  <si>
    <t>PETUGAS RUMAH TANGGA</t>
  </si>
  <si>
    <t>KEPALA SHIFT LAYANAN JALAN TOL</t>
  </si>
  <si>
    <t>PETUGAS AMBULANS</t>
  </si>
  <si>
    <t>PENGEMUDI KEND. AMBULANS</t>
  </si>
  <si>
    <t>PETUGAS INFORMASI DAN KOMUNIKASI</t>
  </si>
  <si>
    <t>Senior Officer Debts and Taxation</t>
  </si>
  <si>
    <t>Human Resources and Administration Manager</t>
  </si>
  <si>
    <t>Senior Officer Health and Safety</t>
  </si>
  <si>
    <t>Senior Office Public Relations</t>
  </si>
  <si>
    <t>Community Development Program Manager</t>
  </si>
  <si>
    <t>Senior Officer Program, Evaluation and data reporting</t>
  </si>
  <si>
    <t>Senior Officer Electric Facility and facility mechanical</t>
  </si>
  <si>
    <t>Teknisi Sarana Elektronik dan Mekanikal Elektrikal</t>
  </si>
  <si>
    <t>Staf  Gerbang Tol</t>
  </si>
  <si>
    <t>Senior Officer Traffic Reporting and Controlling</t>
  </si>
  <si>
    <t>Senior Officer traffic Services</t>
  </si>
  <si>
    <t>Senior Officer Forming and Program Controlling</t>
  </si>
  <si>
    <t>Senior Officer Road, Bridge, and Environment Engineering</t>
  </si>
  <si>
    <t>Senior Officer Road Complementary Facility Building Engineering</t>
  </si>
  <si>
    <t>TRI MULYANI</t>
  </si>
  <si>
    <t>04190</t>
  </si>
  <si>
    <t>TANGGAL
MULAI
BEKERJA</t>
  </si>
  <si>
    <t>USIA</t>
  </si>
  <si>
    <t>MASA BHAKTI 31 - 35 TH</t>
  </si>
  <si>
    <t>0</t>
  </si>
  <si>
    <t>FERDY KARISMA YOWANDA</t>
  </si>
  <si>
    <t>Islam</t>
  </si>
  <si>
    <t>EDOARDUS PRADANA METANTIANTO</t>
  </si>
  <si>
    <t>Katolik</t>
  </si>
  <si>
    <t>BINTANG SATRIA YUDHA</t>
  </si>
  <si>
    <t>Kristen</t>
  </si>
  <si>
    <t>TB
(Cm)</t>
  </si>
  <si>
    <t>BB
(Kg)</t>
  </si>
  <si>
    <t>FANNY ADHI S</t>
  </si>
  <si>
    <t>JL. Perum Villa Krista E2 Banyumanik-Semarang</t>
  </si>
  <si>
    <t>JL. Blanten RT 04/VIII Nyatnyono Ungaran-Semarang</t>
  </si>
  <si>
    <t>JL. Sudagaran RT 01/01 Kr. Melati Demak</t>
  </si>
  <si>
    <t>JL. Perum Pondok Raden Patah Blok O/22 Sayung Demak</t>
  </si>
  <si>
    <t>TGL. 
MASUK</t>
  </si>
  <si>
    <t>M. NUR CHOLIS</t>
  </si>
  <si>
    <t>JL. Ds. Meteseh RT 08/02 Boja-Kendal</t>
  </si>
  <si>
    <t>JL. Plumbon II RT 10/03 Wonosari Ngaliyan Semarang</t>
  </si>
  <si>
    <t>SUTRISNO P</t>
  </si>
  <si>
    <t>ACHMAD KHAERUDIN</t>
  </si>
  <si>
    <t>JL. Stasiun RT 02/03 Jrakah Kec. Tugu Semarang</t>
  </si>
  <si>
    <t>JL. Mangkang Kulon RT 02/06 Tugu Semarang</t>
  </si>
  <si>
    <t>JL. Kepodang Barat II RT 03/10 No. 05 Perum Pudak Payung Semarang</t>
  </si>
  <si>
    <t>JL. Gedawang Raya RT 05/ 01 Banyumanik Semarang</t>
  </si>
  <si>
    <t>REJAN SAMADI</t>
  </si>
  <si>
    <t>JL. Ds. Ketapang RT 04/01 Susukan Salatiga</t>
  </si>
  <si>
    <t>JL.Tinjomoyo RT 01/01 Banyumanik Semarang</t>
  </si>
  <si>
    <t>JL. Medoho Cempaka No. 10 RT 03/04 Sambirejo Gayamsari Semarang</t>
  </si>
  <si>
    <t>JL. Siliwangi 158 Jekulo Kudus</t>
  </si>
  <si>
    <t>JL. Seruni VII/09 RT 03/10 Tlogosari Pedurungan Semarang</t>
  </si>
  <si>
    <t>JL. Gayamsari V RT 01/11 No. 1 Semarang</t>
  </si>
  <si>
    <t>ANTON FEBRIANTO</t>
  </si>
  <si>
    <t>JL. Tambak Aji No. 15 RT 01/01 Ngaliyan Semarang</t>
  </si>
  <si>
    <t>Pet Ambulans</t>
  </si>
  <si>
    <t>PEND</t>
  </si>
  <si>
    <t>TGL
MASUK</t>
  </si>
  <si>
    <t>DATA ALAMAT DAN GOL DARAH KARYAWAN</t>
  </si>
  <si>
    <t>G.DARAH</t>
  </si>
  <si>
    <t>LOK_ALAMAT</t>
  </si>
  <si>
    <t>KEL_ALAMAT</t>
  </si>
  <si>
    <t>KEC_ALAMAT</t>
  </si>
  <si>
    <t>KOT_ALAMAT</t>
  </si>
  <si>
    <t>PRO_ALAMAT</t>
  </si>
  <si>
    <t>KD_POS</t>
  </si>
  <si>
    <t>TELP</t>
  </si>
  <si>
    <t>01233</t>
  </si>
  <si>
    <t>IDN. SIDAN OKA. SH</t>
  </si>
  <si>
    <t>RUMDIN GERBANG TOL TEMBALANG</t>
  </si>
  <si>
    <t>SRONDOL WETAN</t>
  </si>
  <si>
    <t>BANYUMANIK</t>
  </si>
  <si>
    <t>JAWA TENGAH</t>
  </si>
  <si>
    <t/>
  </si>
  <si>
    <t>08121719063</t>
  </si>
  <si>
    <t>JL. KARONSIH TIMUR IX /314 RT. 11 RW 05 NGALIYAN</t>
  </si>
  <si>
    <t>NGALIYAN</t>
  </si>
  <si>
    <t>50181</t>
  </si>
  <si>
    <t>024.7609054</t>
  </si>
  <si>
    <t>01340</t>
  </si>
  <si>
    <t>NAKULA</t>
  </si>
  <si>
    <t>JL. KARONSIH TIMUR IX / 312 NGALIYAN</t>
  </si>
  <si>
    <t>(024) 608317</t>
  </si>
  <si>
    <t>01594</t>
  </si>
  <si>
    <t>SABILILLAH, SE</t>
  </si>
  <si>
    <t xml:space="preserve"> JL.SENDANG GEDE GANG KRESNO NO. 6</t>
  </si>
  <si>
    <t>50264</t>
  </si>
  <si>
    <t>(024) 7461386</t>
  </si>
  <si>
    <t>PERUM. DINAS MAANYARAN</t>
  </si>
  <si>
    <t>KALIPANCUR</t>
  </si>
  <si>
    <t>01662</t>
  </si>
  <si>
    <t>LILIK IRIANTO</t>
  </si>
  <si>
    <t>JL. KEBON NANAS RT 02/02 NO. 118 PANUNGGANGAN UTARA PINANG TANGGERANG</t>
  </si>
  <si>
    <t>TANGGERANG</t>
  </si>
  <si>
    <t>0811876255</t>
  </si>
  <si>
    <t xml:space="preserve">BAMBANG EDY SISWANTO               </t>
  </si>
  <si>
    <t>JL. CANDI MUTIARA SLT. I/355A</t>
  </si>
  <si>
    <t>50183</t>
  </si>
  <si>
    <t>024- 7620881</t>
  </si>
  <si>
    <t>01873</t>
  </si>
  <si>
    <t>BAMBANG RIYONO</t>
  </si>
  <si>
    <t>JL. CANDI MAS I NO. 447 RT.05 / RW.06</t>
  </si>
  <si>
    <t>(024) 7625046</t>
  </si>
  <si>
    <t>EKO SUDARYANTO, S.SOS</t>
  </si>
  <si>
    <t>JL. TAMAN SATRIYO MANAH III/28 TLOGOSARI</t>
  </si>
  <si>
    <t>TLOGOSARI KULON</t>
  </si>
  <si>
    <t>PEDURUNGAN</t>
  </si>
  <si>
    <t>50196</t>
  </si>
  <si>
    <t>024.6717663</t>
  </si>
  <si>
    <t>02182</t>
  </si>
  <si>
    <t>H.TRISNAJI</t>
  </si>
  <si>
    <t>MULAWARMAN II / 35 D PEDALALANGAN</t>
  </si>
  <si>
    <t>PEDALANGAN</t>
  </si>
  <si>
    <t>50268</t>
  </si>
  <si>
    <t>(024) 7479071</t>
  </si>
  <si>
    <t>02183</t>
  </si>
  <si>
    <t>WIJI SUROSO</t>
  </si>
  <si>
    <t>JANGLI PERBALAN RT.02 RW.VI</t>
  </si>
  <si>
    <t>NGESREP</t>
  </si>
  <si>
    <t>50261</t>
  </si>
  <si>
    <t>024-7474159</t>
  </si>
  <si>
    <t>JL.KARANG REJO NO. 78 RT 07 RW 02 KEC. GAJAHMUNGKUR</t>
  </si>
  <si>
    <t>KARANG REJO</t>
  </si>
  <si>
    <t>GAJAH MUNGKUR</t>
  </si>
  <si>
    <t>50239</t>
  </si>
  <si>
    <t>HP.081325374005</t>
  </si>
  <si>
    <t>KRISNO SETIADI, SE</t>
  </si>
  <si>
    <t>CLUSTER PARIS B 5 GRAHA WAHID</t>
  </si>
  <si>
    <t>SAMBIROTO</t>
  </si>
  <si>
    <t>TEMBALANG</t>
  </si>
  <si>
    <t>50276</t>
  </si>
  <si>
    <t>(024) 70792800</t>
  </si>
  <si>
    <t>02188</t>
  </si>
  <si>
    <t>PM.AGUS SUSYANTO ,SH</t>
  </si>
  <si>
    <t>PERUM KORPRI BLOK QI  / 3 KLIPANG SENDANG MULYO</t>
  </si>
  <si>
    <t>SENDANG MULYO</t>
  </si>
  <si>
    <t>50272</t>
  </si>
  <si>
    <t>08122936867</t>
  </si>
  <si>
    <t xml:space="preserve">ANASTASIA ROCHANA                  </t>
  </si>
  <si>
    <t>PERUM. JANGLI UTAMA NO. 26 JANGLI PERBALAN</t>
  </si>
  <si>
    <t xml:space="preserve">SEMARANG            </t>
  </si>
  <si>
    <t xml:space="preserve">JAWA TENGAH         </t>
  </si>
  <si>
    <t>(024).7471302</t>
  </si>
  <si>
    <t>JL. KARONSIH TIMUR VI / 139</t>
  </si>
  <si>
    <t>08157708736</t>
  </si>
  <si>
    <t>KARONSIH UTARA III / 62</t>
  </si>
  <si>
    <t>(024) 7600827</t>
  </si>
  <si>
    <t>JL. KARONSIH TIMUR V / 121 RT.03 RW.V KEC. NGALIAN</t>
  </si>
  <si>
    <t>(024)70908829/08112714625</t>
  </si>
  <si>
    <t>02206</t>
  </si>
  <si>
    <t>KARANGANYAR GUNUNG NO. 436 KEC. CANDI SARI SMG</t>
  </si>
  <si>
    <t>KARANGANYAR GUNUNG</t>
  </si>
  <si>
    <t>CANDISARI</t>
  </si>
  <si>
    <t>50255</t>
  </si>
  <si>
    <t>(024)70261292</t>
  </si>
  <si>
    <t xml:space="preserve">JATINGALEH TRANGKIL NO. 902 RT.09/RW. II </t>
  </si>
  <si>
    <t>(024) 7478990 / 081575696927</t>
  </si>
  <si>
    <t>JL. KANFER UTARA II / 46</t>
  </si>
  <si>
    <t xml:space="preserve"> RANDUGUNTING RT 08 / RW 01 - BERGAS UNGARAN</t>
  </si>
  <si>
    <t>RANDUGUNTING</t>
  </si>
  <si>
    <t>BERGAS</t>
  </si>
  <si>
    <t>50661</t>
  </si>
  <si>
    <t>0298.523529</t>
  </si>
  <si>
    <t xml:space="preserve">LUKMAN HAKIM                       </t>
  </si>
  <si>
    <t>PONDOK RADEN PATAH  C 27 DEMAK</t>
  </si>
  <si>
    <t>SRI WULAN</t>
  </si>
  <si>
    <t>SAYUNG</t>
  </si>
  <si>
    <t>(024) 6590175</t>
  </si>
  <si>
    <t>KARONSIH  TIMUR IX/344 NGALIYAN</t>
  </si>
  <si>
    <t>(024) 7621040</t>
  </si>
  <si>
    <t>PERUM. GRIYA PULISEN NO.A.05 BOYOLALI</t>
  </si>
  <si>
    <t>PULISEN</t>
  </si>
  <si>
    <t>57316</t>
  </si>
  <si>
    <t>(0276) 322664</t>
  </si>
  <si>
    <t xml:space="preserve">TUTI IRIANI                        </t>
  </si>
  <si>
    <t>JL..PURI I D3/13-14 BANYUMANIK SMG</t>
  </si>
  <si>
    <t>PADANG SARI</t>
  </si>
  <si>
    <t>50267</t>
  </si>
  <si>
    <t>(024) 7476905</t>
  </si>
  <si>
    <t>JL. PERDANA IV/1 BANYUMANIK</t>
  </si>
  <si>
    <t>PADANGSARI</t>
  </si>
  <si>
    <t>50263</t>
  </si>
  <si>
    <t>(024) 7479742</t>
  </si>
  <si>
    <t>JL. JOMBLANG BARAT I /520 SEMARANG</t>
  </si>
  <si>
    <t>CANDI</t>
  </si>
  <si>
    <t>50247</t>
  </si>
  <si>
    <t>08122931841</t>
  </si>
  <si>
    <t xml:space="preserve">BAMBANG IRAWAN                     </t>
  </si>
  <si>
    <t>NGESREP TIMUR V / 47 C SEMARANG</t>
  </si>
  <si>
    <t>SUMUR BOTO</t>
  </si>
  <si>
    <t>50269</t>
  </si>
  <si>
    <t>HP.08156653765</t>
  </si>
  <si>
    <t>KAWUNG VII / 28 TLOGOSARI</t>
  </si>
  <si>
    <t>(024) 6716137</t>
  </si>
  <si>
    <t>02361</t>
  </si>
  <si>
    <t>BAMBANG PRIYONO</t>
  </si>
  <si>
    <t>NGESREP BARAT IV NO. 15 SRONDOL KULON</t>
  </si>
  <si>
    <t>SRONDOL KULON</t>
  </si>
  <si>
    <t xml:space="preserve">SURYAT                             </t>
  </si>
  <si>
    <t>JL.KARONSIH TIMUR RAYA IV / 252 NGALIYAN</t>
  </si>
  <si>
    <t>(024)7622231</t>
  </si>
  <si>
    <t xml:space="preserve">SUKARDI                            </t>
  </si>
  <si>
    <t>NGESREP BARAT IV / 26</t>
  </si>
  <si>
    <t>085866631999</t>
  </si>
  <si>
    <t>JL. YOS SUDARSO NO.5 RT.06/06 SALATIGA</t>
  </si>
  <si>
    <t>SIDOREJO</t>
  </si>
  <si>
    <t>50711</t>
  </si>
  <si>
    <t>0298.312645</t>
  </si>
  <si>
    <t>JL. MERDEKA III NO, A.20 RT.04 / RW.04</t>
  </si>
  <si>
    <t>BEJI</t>
  </si>
  <si>
    <t>UNGARAN TIMUR</t>
  </si>
  <si>
    <t>50551</t>
  </si>
  <si>
    <t>081326039496</t>
  </si>
  <si>
    <t>02954</t>
  </si>
  <si>
    <t>MOCH ZAENY</t>
  </si>
  <si>
    <t>JL. CANDI MUTIARA SLT II /333A PERUM PASADENA</t>
  </si>
  <si>
    <t>KALI PANCUR</t>
  </si>
  <si>
    <t>(024) 7620868</t>
  </si>
  <si>
    <t>PUCANG PENI I/03 PERUM PUCANG GADING SEMARANG</t>
  </si>
  <si>
    <t>BATUR SARI</t>
  </si>
  <si>
    <t>MRANGGEN</t>
  </si>
  <si>
    <t>59567</t>
  </si>
  <si>
    <t>(024) 76743793</t>
  </si>
  <si>
    <t>03348</t>
  </si>
  <si>
    <t>FARID AZIZ</t>
  </si>
  <si>
    <t>RUMDIN. DINAS GERBANG TOL GAYAMSARI</t>
  </si>
  <si>
    <t>GAYAMSARI</t>
  </si>
  <si>
    <t>08161368599</t>
  </si>
  <si>
    <t>PONDOK TELAGA MUKTI II/C.6 TINGKIR - SALATIGA 50745</t>
  </si>
  <si>
    <t>TINGKIR TENGAH</t>
  </si>
  <si>
    <t>TINGKIR</t>
  </si>
  <si>
    <t>50745</t>
  </si>
  <si>
    <t>081325686222</t>
  </si>
  <si>
    <t>MURDIYATI</t>
  </si>
  <si>
    <t>JL. TEUKU UMAR NO. 106 B JATINGALEH SEMARANG</t>
  </si>
  <si>
    <t>TINJOMOYO</t>
  </si>
  <si>
    <t>50262</t>
  </si>
  <si>
    <t>(024) 7476087</t>
  </si>
  <si>
    <t xml:space="preserve">AMINAH                             </t>
  </si>
  <si>
    <t>KARANG REJO IV / 03 BANYUMANIK</t>
  </si>
  <si>
    <t>(024)  76480320</t>
  </si>
  <si>
    <t>03468</t>
  </si>
  <si>
    <t>IR. SUPRATOWO</t>
  </si>
  <si>
    <t>JL. MURBEI BARAT / 4 KOMP. BINA MARGA</t>
  </si>
  <si>
    <t>03719</t>
  </si>
  <si>
    <t>ASMUJI, SE</t>
  </si>
  <si>
    <t>JL. VILA NUSA INDAH V 9/3 GUNUNG PUTRI BOGOR</t>
  </si>
  <si>
    <t>JAWA BARAT</t>
  </si>
  <si>
    <t>081586651222</t>
  </si>
  <si>
    <t>TAMAN BOROBUDUR UTARA IV/10</t>
  </si>
  <si>
    <t>KEMBANG ARUM</t>
  </si>
  <si>
    <t>50148</t>
  </si>
  <si>
    <t>(024)7623651</t>
  </si>
  <si>
    <t>03849</t>
  </si>
  <si>
    <t>NGADINO</t>
  </si>
  <si>
    <t>JL.DURIAN UTARA I NO. 10 SRONDOL WETAN</t>
  </si>
  <si>
    <t>(024).7460209</t>
  </si>
  <si>
    <t xml:space="preserve">SUSILO ANGGRAINI                   </t>
  </si>
  <si>
    <t>JL. CEMARA VI 12c BANYUMANIK</t>
  </si>
  <si>
    <t>03882</t>
  </si>
  <si>
    <t>PERIBAHARI</t>
  </si>
  <si>
    <t>JL BOJONG SARI III BLOK E 13  NO 13 RT 004 12 RAWALUMBU BEKASI</t>
  </si>
  <si>
    <t>021 96062164</t>
  </si>
  <si>
    <t xml:space="preserve">MARYADI                            </t>
  </si>
  <si>
    <t>PUDAK PAYUNG</t>
  </si>
  <si>
    <t>JL. ABDUL RACHMAN SALEH NO.268</t>
  </si>
  <si>
    <t>MANYARAN</t>
  </si>
  <si>
    <t>SEMARANG BARAT</t>
  </si>
  <si>
    <t>50147</t>
  </si>
  <si>
    <t>(024)7600655</t>
  </si>
  <si>
    <t>04207</t>
  </si>
  <si>
    <t>SENTOT ARMONO</t>
  </si>
  <si>
    <t>JL. RORO JONGGRANG XVII / 6 MANYARAN SMG</t>
  </si>
  <si>
    <t>081382220827</t>
  </si>
  <si>
    <t>04395</t>
  </si>
  <si>
    <t>SULARDI</t>
  </si>
  <si>
    <t xml:space="preserve">KP.SINDANGKARSA RT.04/RW 06 NO.69 SUKAMAJU </t>
  </si>
  <si>
    <t xml:space="preserve">ERMAWATI                           </t>
  </si>
  <si>
    <t>JL. RASAMALA BARAT I / 168</t>
  </si>
  <si>
    <t>08122884930/085727287287</t>
  </si>
  <si>
    <t xml:space="preserve">MARGONO                            </t>
  </si>
  <si>
    <t xml:space="preserve">RT 32/16 DUSUN 8 GOTAKAN PANJATAN KULON PROGO </t>
  </si>
  <si>
    <t>GOTAKAN</t>
  </si>
  <si>
    <t>PANJATAN</t>
  </si>
  <si>
    <t>081227049430</t>
  </si>
  <si>
    <t xml:space="preserve">SATRIYO WIDIANTO                   </t>
  </si>
  <si>
    <t>JL.PATOMAN 579 AMBARAWA</t>
  </si>
  <si>
    <t>KRANGGAN</t>
  </si>
  <si>
    <t>AMBARAWA</t>
  </si>
  <si>
    <t>(0298) 592219 / '085 726949300</t>
  </si>
  <si>
    <t xml:space="preserve">SYAFRIL WIDODO                     </t>
  </si>
  <si>
    <t>Perum SELA MARTA Jln. Panasan VI / 7 UNGARAN TIMUR</t>
  </si>
  <si>
    <t>(024)6923719</t>
  </si>
  <si>
    <t xml:space="preserve">TRISNO PURWANTO                    </t>
  </si>
  <si>
    <t>PONDOK BABADAN JL. PANASAN V / 14,RT.03/RW 13 BEJI UNG</t>
  </si>
  <si>
    <t>50518</t>
  </si>
  <si>
    <t>081.22559912</t>
  </si>
  <si>
    <t xml:space="preserve">SUPRIYO                            </t>
  </si>
  <si>
    <t>KEL.PAKINTELAN RT.03/RW.02 GUNUNG PATI</t>
  </si>
  <si>
    <t>PAKINTELAN</t>
  </si>
  <si>
    <t>GUNUNG PATI</t>
  </si>
  <si>
    <t>024 - 70799463</t>
  </si>
  <si>
    <t xml:space="preserve">ANDIT HARIS CAHYONO                </t>
  </si>
  <si>
    <t>JL. BUKIT CEMPAKA III/C 203 SENDANGMULYO SEMARANG</t>
  </si>
  <si>
    <t>(024) 76742363</t>
  </si>
  <si>
    <t xml:space="preserve">SLAMET SANTOSO                     </t>
  </si>
  <si>
    <t>JL. KESATRIAN G III COMPLEK AD KEL. JATINGALEH</t>
  </si>
  <si>
    <t>JATINGALEH</t>
  </si>
  <si>
    <t>CANDI SARI</t>
  </si>
  <si>
    <t>(024)8311875</t>
  </si>
  <si>
    <t>R. MARDI PRIYANTO</t>
  </si>
  <si>
    <t>PURI ASRI BABADAN JL. MERDEKA III / B 15 BEJI UNGARAN</t>
  </si>
  <si>
    <t>METESEH</t>
  </si>
  <si>
    <t>BOJA</t>
  </si>
  <si>
    <t>JAWA TENGAN</t>
  </si>
  <si>
    <t>51381</t>
  </si>
  <si>
    <t>0294572616</t>
  </si>
  <si>
    <t>JL. KEDUNGPANE RT I / 5 MIJEN</t>
  </si>
  <si>
    <t>KEDUNGPANE</t>
  </si>
  <si>
    <t>MIJEN</t>
  </si>
  <si>
    <t>(024)76630891</t>
  </si>
  <si>
    <t>R. AGUS HARTOYO</t>
  </si>
  <si>
    <t>JL. CANDI PENATARAN XI/32 RT 4. RW. IV</t>
  </si>
  <si>
    <t>(024) 70771558</t>
  </si>
  <si>
    <t>DS. TLOGOREJO RT 4 / 2 TEGOWANU GROBOGAN</t>
  </si>
  <si>
    <t>TEGOWANU</t>
  </si>
  <si>
    <t>PURWODADI</t>
  </si>
  <si>
    <t>04634</t>
  </si>
  <si>
    <t xml:space="preserve">SITI SOEPRIATUN                    </t>
  </si>
  <si>
    <t>ASRAMA KODAM IV RT 03 RW 05 JATINGALEH JL. KESATRIAN</t>
  </si>
  <si>
    <t>(024) 8501019</t>
  </si>
  <si>
    <t xml:space="preserve">CICIK ISTIYANTI                    </t>
  </si>
  <si>
    <t>CANDI TEMBAGA SELATAN, NO.987 PASADENA SEMARANG</t>
  </si>
  <si>
    <t>(024) 7606009</t>
  </si>
  <si>
    <t xml:space="preserve">SRI WINARTI                        </t>
  </si>
  <si>
    <t>KARANG REJO V KARANG REJO ASRI B3</t>
  </si>
  <si>
    <t>50236</t>
  </si>
  <si>
    <t>08156671763</t>
  </si>
  <si>
    <t xml:space="preserve">CRISTINA RETNO YULIATI             </t>
  </si>
  <si>
    <t>NGESREP BARAT V/31-32, RT 08/VIII SEMARANG</t>
  </si>
  <si>
    <t xml:space="preserve">BANYUMANIK          </t>
  </si>
  <si>
    <t>024-7462386</t>
  </si>
  <si>
    <t xml:space="preserve">RINI MARDIANI                      </t>
  </si>
  <si>
    <t>ALBISIA 43, PLAMONGAN INDAH</t>
  </si>
  <si>
    <t>PLAMONGANSARI</t>
  </si>
  <si>
    <t>04643</t>
  </si>
  <si>
    <t xml:space="preserve">SUHARNI                            </t>
  </si>
  <si>
    <t>JL. POTROSARI BALAI DESA RT.02.RW.II/ 27</t>
  </si>
  <si>
    <t>(024) 7472702</t>
  </si>
  <si>
    <t xml:space="preserve">NIKEN WIDIYATI                     </t>
  </si>
  <si>
    <t>JL.RUMPUN DIPONEGORO V/59 BANYUMANIK</t>
  </si>
  <si>
    <t>(024) 7475271</t>
  </si>
  <si>
    <t xml:space="preserve">HENDRAWATI                         </t>
  </si>
  <si>
    <t>JL. SRIMPI II / B103 PERUM P4 SEMARANG</t>
  </si>
  <si>
    <t xml:space="preserve"> 081390449944</t>
  </si>
  <si>
    <t>JL. CANDI PENATARAN SLT.III RT.08.RW.III</t>
  </si>
  <si>
    <t>CHAERANTO LATIF</t>
  </si>
  <si>
    <t>PUCANG ANOM TIMUR III / 10 PUCANG GADING</t>
  </si>
  <si>
    <t>BATURSARI</t>
  </si>
  <si>
    <t>HP.08156511479</t>
  </si>
  <si>
    <t>04654</t>
  </si>
  <si>
    <t>MULYANTO</t>
  </si>
  <si>
    <t>JL. DOPLANG KRAJAN RT 05 / RW.03</t>
  </si>
  <si>
    <t>DOPLANG</t>
  </si>
  <si>
    <t>BAWEN</t>
  </si>
  <si>
    <t>(0298) 521724</t>
  </si>
  <si>
    <t>04655</t>
  </si>
  <si>
    <t>SARJONO</t>
  </si>
  <si>
    <t>GENUK KARANGLO RT.08 RW. VIII KEL.TEGALSARI</t>
  </si>
  <si>
    <t>TEGALSARI</t>
  </si>
  <si>
    <t>50251</t>
  </si>
  <si>
    <t>(024) 8310908</t>
  </si>
  <si>
    <t>KARANG REJO SLT VI RT.08 RW.III KEL. TINJOMOYO</t>
  </si>
  <si>
    <t>(024)7462157</t>
  </si>
  <si>
    <t>HARNO,SE</t>
  </si>
  <si>
    <t>PURI GEDAWANG INDAH BLOK E 26</t>
  </si>
  <si>
    <t>GEDAWANG</t>
  </si>
  <si>
    <t>50266</t>
  </si>
  <si>
    <t>(024) 7498549</t>
  </si>
  <si>
    <t>JL. PANASAN VI / 15 SELAMARTO BEJI UNGARAN TIMUR</t>
  </si>
  <si>
    <t>5022</t>
  </si>
  <si>
    <t>085225089177 / 085226308870</t>
  </si>
  <si>
    <t>04659</t>
  </si>
  <si>
    <t>AGUS JUNAIDI</t>
  </si>
  <si>
    <t>PLAMONGAN HIJAU NO. 33 Kec. PEDURUNGAN</t>
  </si>
  <si>
    <t>PEDURUNGAN KIDUL</t>
  </si>
  <si>
    <t>50192</t>
  </si>
  <si>
    <t>(024) 6705130</t>
  </si>
  <si>
    <t>PRINGSARI RT 01, RW.02. KECAMATAN PRINGAPUS</t>
  </si>
  <si>
    <t>PRINGSARI</t>
  </si>
  <si>
    <t>PRINGAPUS</t>
  </si>
  <si>
    <t>50552</t>
  </si>
  <si>
    <t>PLAMONGAN INDAH BLOK H4/14</t>
  </si>
  <si>
    <t>081.325677494</t>
  </si>
  <si>
    <t>AJI SUPRIYOHADI</t>
  </si>
  <si>
    <t>JL. ELANG II / B .NO. 37 MANGUNHARJO TEMBALANG</t>
  </si>
  <si>
    <t>MANGUNHARJO</t>
  </si>
  <si>
    <t>(024) 6706912 / 081325099551</t>
  </si>
  <si>
    <t>JACKY RINO JACOBSON</t>
  </si>
  <si>
    <t>JL. JANGLI KRAJAN BLOK D/24</t>
  </si>
  <si>
    <t>50243</t>
  </si>
  <si>
    <t>08282803258</t>
  </si>
  <si>
    <t>PERUM PANORAMA CANDRA ASRI NO. A5 MADYO CONDRO SECANG MAGELANG</t>
  </si>
  <si>
    <t>MADYOCONDRO</t>
  </si>
  <si>
    <t>SECANG</t>
  </si>
  <si>
    <t>56115</t>
  </si>
  <si>
    <t>04669</t>
  </si>
  <si>
    <t xml:space="preserve">MURTIHADI                          </t>
  </si>
  <si>
    <t>JL. CANDI MUTIARA SLT  II / 324 PASADENA</t>
  </si>
  <si>
    <t>024-7613086</t>
  </si>
  <si>
    <t>JL. PANASAN VI / 3 PERUM SELAMARTA</t>
  </si>
  <si>
    <t>50511</t>
  </si>
  <si>
    <t>(024)70773180</t>
  </si>
  <si>
    <t>JL. MAOS PATI RAYA NO. 25 BABADAN UNGARAN</t>
  </si>
  <si>
    <t>HP.08122502354</t>
  </si>
  <si>
    <t xml:space="preserve">KUSMIN                             </t>
  </si>
  <si>
    <t>JL. MAOSPATI RAYA NO. 27 UNGARAN</t>
  </si>
  <si>
    <t>HP.081325649682</t>
  </si>
  <si>
    <t xml:space="preserve">MURTIONO                           </t>
  </si>
  <si>
    <t>GEMAHSARI V / 178 KEDUNGMUNDU SEMARANG</t>
  </si>
  <si>
    <t>KEDUNGMUNDU</t>
  </si>
  <si>
    <t>50273</t>
  </si>
  <si>
    <t>(024) 6721665</t>
  </si>
  <si>
    <t>JL.CANDI MUTIARA TIMUR IV / 1326 SEMARANG</t>
  </si>
  <si>
    <t>NGALIAN</t>
  </si>
  <si>
    <t>(024) 7625229</t>
  </si>
  <si>
    <t xml:space="preserve">SUMEDI                             </t>
  </si>
  <si>
    <t>PERUM GEDANG ASRI JL.SUMBAWA VI / 241 UNGARAN</t>
  </si>
  <si>
    <t>GEDANG ANAK</t>
  </si>
  <si>
    <t>50519</t>
  </si>
  <si>
    <t>081325726950</t>
  </si>
  <si>
    <t xml:space="preserve">SUDIRO                             </t>
  </si>
  <si>
    <t>JL. KENANGA RAYA 28 UNGARAN</t>
  </si>
  <si>
    <t>GENUK</t>
  </si>
  <si>
    <t>UNGARAN BARAT</t>
  </si>
  <si>
    <t>50512</t>
  </si>
  <si>
    <t>024- 70464263</t>
  </si>
  <si>
    <t>BERINGIN KULON RT.03/RW.IX TAMBAKAJI</t>
  </si>
  <si>
    <t>TAMBAK AJI</t>
  </si>
  <si>
    <t>50185</t>
  </si>
  <si>
    <t>(024) 8663474 / 0818249588</t>
  </si>
  <si>
    <t xml:space="preserve">TRI KUSUMAWATI                     </t>
  </si>
  <si>
    <t>SIDO MUKTI I/8 PERUM TLOGOSARI</t>
  </si>
  <si>
    <t>MUKTIHARJO KIDUL</t>
  </si>
  <si>
    <t>50197</t>
  </si>
  <si>
    <t>(024) 76745433</t>
  </si>
  <si>
    <t xml:space="preserve">AL.CATUR MARTIN PUTRANTO           </t>
  </si>
  <si>
    <t>JL.TALUN NO.57, DUSUN PATOSAN Kec. MUNTILAN</t>
  </si>
  <si>
    <t>SEDAYU</t>
  </si>
  <si>
    <t>MUNTILAN</t>
  </si>
  <si>
    <t>082156113070</t>
  </si>
  <si>
    <t xml:space="preserve">JAWAHIR                            </t>
  </si>
  <si>
    <t>PERUM. PANDANA MERDEKA P/47 NGALIYAN SEMARANG</t>
  </si>
  <si>
    <t>BERINGIN</t>
  </si>
  <si>
    <t>08522573552</t>
  </si>
  <si>
    <t>04686</t>
  </si>
  <si>
    <t>PARMAN</t>
  </si>
  <si>
    <t>KP.KALILANGSE 263 RT 03 RW II KEL.GAJAHMUNGKUR</t>
  </si>
  <si>
    <t>50232</t>
  </si>
  <si>
    <t>(024) 8442630</t>
  </si>
  <si>
    <t xml:space="preserve">BAMBANG SUSATYO                    </t>
  </si>
  <si>
    <t>JL. SIDO ASIH IV/ 29 TLOGOSARI SEMARANG</t>
  </si>
  <si>
    <t>PRDURUNGAN</t>
  </si>
  <si>
    <t>(024) 70774496</t>
  </si>
  <si>
    <t>04689</t>
  </si>
  <si>
    <t xml:space="preserve">SOEPARMAN MUKMIN                   </t>
  </si>
  <si>
    <t>SLAMET RIYADI TEGALREJO BAWEN RT 06/III</t>
  </si>
  <si>
    <t>081.575123030</t>
  </si>
  <si>
    <t xml:space="preserve">SUWARDI                            </t>
  </si>
  <si>
    <t>PERUM. KOPKAR PUDAK PAYUNG RT.01 RW X</t>
  </si>
  <si>
    <t>50265</t>
  </si>
  <si>
    <t>085866550397</t>
  </si>
  <si>
    <t>JL. DURIAN UTARA III/16 PEDALANGAN SEMARANG</t>
  </si>
  <si>
    <t>(024)7479007</t>
  </si>
  <si>
    <t xml:space="preserve">EDI SANTOSO                        </t>
  </si>
  <si>
    <t>CANDI MUTIARA SLT II/333 PERUM PASADENA SEMARANG</t>
  </si>
  <si>
    <t>(024)7614246</t>
  </si>
  <si>
    <t>JL. CANDI PAWON VI/25 SEMARANG</t>
  </si>
  <si>
    <t>50417</t>
  </si>
  <si>
    <t>(024) 7602139</t>
  </si>
  <si>
    <t xml:space="preserve">SULISTYO                           </t>
  </si>
  <si>
    <t>PAKISDADU RT 17/08 REJOSARI PRINGSURAT MAGELANG</t>
  </si>
  <si>
    <t>REJOSARI</t>
  </si>
  <si>
    <t>PRINGSURAT</t>
  </si>
  <si>
    <t>081.57945281</t>
  </si>
  <si>
    <t>04840</t>
  </si>
  <si>
    <t>EDWIN CAHYADI, ST</t>
  </si>
  <si>
    <t>JL. MURBEI BARAT I / 4  KOMP. BINA MARGA</t>
  </si>
  <si>
    <t>085217177502</t>
  </si>
  <si>
    <t xml:space="preserve">RASTIYO                            </t>
  </si>
  <si>
    <t>JURANG BLIMBING RT.03/RW.04 TEMBALANG</t>
  </si>
  <si>
    <t>50275</t>
  </si>
  <si>
    <t>081.325498935</t>
  </si>
  <si>
    <t xml:space="preserve">SUMENENG                           </t>
  </si>
  <si>
    <t>DESA TEGAL MELIK RT.02. RW. 03 GEBUGAN KEC. BERGAS</t>
  </si>
  <si>
    <t>024 - 70558085</t>
  </si>
  <si>
    <t xml:space="preserve">BUDIYONO                           </t>
  </si>
  <si>
    <t>JL. WARU TIMUR II / 30 PEDALANGAN</t>
  </si>
  <si>
    <t>GENUK KRAJAN VII, RT.02/04 SEMARANG</t>
  </si>
  <si>
    <t>JL. KEPODANG TIMUR V / B200</t>
  </si>
  <si>
    <t>08882450200</t>
  </si>
  <si>
    <t xml:space="preserve">HADI MAKMURARTO                    </t>
  </si>
  <si>
    <t>PERUM PURI ASRI BABADAN JL. MERDEKA III/ NO. 14 UNGARAN</t>
  </si>
  <si>
    <t>05041</t>
  </si>
  <si>
    <t xml:space="preserve">SUMARNO                            </t>
  </si>
  <si>
    <t>JL. GEMPIL SARI TINJOMOYO RT.01 RW. 05</t>
  </si>
  <si>
    <t>JL. MEGA RAYA I NO. 220 BERINGIN NGALIYAN SEMARANG</t>
  </si>
  <si>
    <t>50189</t>
  </si>
  <si>
    <t>(024) 70425333</t>
  </si>
  <si>
    <t>JL. BRANTAS I / 4 BABATAN UNGARAN</t>
  </si>
  <si>
    <t>081.22552571</t>
  </si>
  <si>
    <t xml:space="preserve">WAHYUNI                            </t>
  </si>
  <si>
    <t>CANDI PRAMBANAN IV NO. 1507, PASADENA SEMARANG</t>
  </si>
  <si>
    <t>(024) 7623261</t>
  </si>
  <si>
    <t>PERUM BPD II/52 KALICARI SEMARANG</t>
  </si>
  <si>
    <t>0816666940</t>
  </si>
  <si>
    <t>05786</t>
  </si>
  <si>
    <t>SUWARSININGSIH, BE</t>
  </si>
  <si>
    <t>SATRIA SELATAN II/ H.275</t>
  </si>
  <si>
    <t>PLOMBOKAN</t>
  </si>
  <si>
    <t>SEMARANG UTARA</t>
  </si>
  <si>
    <t>50171</t>
  </si>
  <si>
    <t>(024) 3519822 / '08122504975</t>
  </si>
  <si>
    <t>LISTYO RINI,SE</t>
  </si>
  <si>
    <t>MARGOYOSO VI/7 RT.08  RW.IV NGALIYAN SEMARANG</t>
  </si>
  <si>
    <t>TAMBAKAJI</t>
  </si>
  <si>
    <t>(024)7608676</t>
  </si>
  <si>
    <t xml:space="preserve">ERNA LISTIYAWATI                   </t>
  </si>
  <si>
    <t>TAMBANGAN  RT. 01 /01 KECAMATAN MIJEN SEMARANG</t>
  </si>
  <si>
    <t>TAMBANGAN</t>
  </si>
  <si>
    <t>08122561755</t>
  </si>
  <si>
    <t xml:space="preserve">EDI PURNOMO                        </t>
  </si>
  <si>
    <t>JL. MENDUT UTARA III NO. 55 RT.03/05 KEL. MANYARAN SMG</t>
  </si>
  <si>
    <t>05858</t>
  </si>
  <si>
    <t xml:space="preserve">DHARMAWAN                          </t>
  </si>
  <si>
    <t>JL. KEPODANG, BLOK C.117</t>
  </si>
  <si>
    <t>SEMARANG SEL</t>
  </si>
  <si>
    <t>024 - 76488460</t>
  </si>
  <si>
    <t xml:space="preserve">ENI KUSRINI                        </t>
  </si>
  <si>
    <t>JL.KARANG REJO RAYA NO.10 BANYUMANIK SEMARANG</t>
  </si>
  <si>
    <t>08122925124</t>
  </si>
  <si>
    <t>05969</t>
  </si>
  <si>
    <t>WENNY ARISTA SUKRAENI</t>
  </si>
  <si>
    <t>SEUDATI II BLOK C/18 PERUM P4</t>
  </si>
  <si>
    <t>081.22555969</t>
  </si>
  <si>
    <t xml:space="preserve">SRI ARIYANI                        </t>
  </si>
  <si>
    <t>JL. YUDISTIRA V/18 PERUM MAPAGAN</t>
  </si>
  <si>
    <t>LEREP</t>
  </si>
  <si>
    <t>6923373</t>
  </si>
  <si>
    <t>06032</t>
  </si>
  <si>
    <t xml:space="preserve">SUSILO                             </t>
  </si>
  <si>
    <t>JL. BUKIT KENANGA III BLOK D/ 377</t>
  </si>
  <si>
    <t>081.6664438</t>
  </si>
  <si>
    <t>06111</t>
  </si>
  <si>
    <t>SALEH RUSYANDI</t>
  </si>
  <si>
    <t>JL. SEUDATI C. 23 P4A</t>
  </si>
  <si>
    <t>081575327090</t>
  </si>
  <si>
    <t>NGAGEL TENGGAK SIDOHARJO SREGEN RT 19/RW 01</t>
  </si>
  <si>
    <t xml:space="preserve">JUWANTO                            </t>
  </si>
  <si>
    <t>JL. RAYA NGEMPLAK RT.08/01 MRANGGEN</t>
  </si>
  <si>
    <t>081.70629641</t>
  </si>
  <si>
    <t>JL. SEUDATI C 9A P4A PUDAK PAYUNG</t>
  </si>
  <si>
    <t>081 56503907</t>
  </si>
  <si>
    <t>JL.PUSPOWARNO SELATAN II / 19. A SEMARANG</t>
  </si>
  <si>
    <t>SALAMAN MLOYO</t>
  </si>
  <si>
    <t>081.56553232</t>
  </si>
  <si>
    <t xml:space="preserve">YUNI BUDI KUSWORO                  </t>
  </si>
  <si>
    <t>PERUM GRIYA PAYUNG ASRI KAV. 105 PUDAK PAYUNG SMG</t>
  </si>
  <si>
    <t>08562674280</t>
  </si>
  <si>
    <t xml:space="preserve">RAGIL SUPARMADI                    </t>
  </si>
  <si>
    <t>085230264989</t>
  </si>
  <si>
    <t>SENDANG UTARA III  RT.02 RW. VII PEDURUNGAN</t>
  </si>
  <si>
    <t>GEMAH</t>
  </si>
  <si>
    <t>081.56544087</t>
  </si>
  <si>
    <t>JOHANNIUS ISKANDAR</t>
  </si>
  <si>
    <t xml:space="preserve">NUR EDI APRIYANTO                  </t>
  </si>
  <si>
    <t>RANDUSARI RT.04/II KEL. NONGKO SAWIT GUNUNG PATI</t>
  </si>
  <si>
    <t>BONGSARI</t>
  </si>
  <si>
    <t>(024)7623452</t>
  </si>
  <si>
    <t>PERUM PAYUNG MAS BLOK D NO. 94 PUDAK PAYUNG</t>
  </si>
  <si>
    <t>081326261237</t>
  </si>
  <si>
    <t xml:space="preserve">NURCHOLID                          </t>
  </si>
  <si>
    <t>JL. ROROJONGRANG XVI RT.10 RW.01 MANYARAN</t>
  </si>
  <si>
    <t>76634405</t>
  </si>
  <si>
    <t xml:space="preserve">AGUNG PURWANTO                     </t>
  </si>
  <si>
    <t>JL. KARANG REJO IV RT.02 RW.02 KEL.KARANGREJO</t>
  </si>
  <si>
    <t>50234</t>
  </si>
  <si>
    <t>081575630088</t>
  </si>
  <si>
    <t>LEYANGAN</t>
  </si>
  <si>
    <t>081931916363</t>
  </si>
  <si>
    <t xml:space="preserve">SUGIYANTO                          </t>
  </si>
  <si>
    <t>KALI BENING RT 003/001 TIRTO MARTANI KALASAN-SLEMAN</t>
  </si>
  <si>
    <t>TIRTOMARTANI</t>
  </si>
  <si>
    <t>KALASAN, SLEMAN</t>
  </si>
  <si>
    <t>085729959464</t>
  </si>
  <si>
    <t>KARANGDOWO RT.01/RW.01 WELERI KENDAL</t>
  </si>
  <si>
    <t>KARANGDOWO</t>
  </si>
  <si>
    <t>WELERI</t>
  </si>
  <si>
    <t>51355</t>
  </si>
  <si>
    <t>081382580727</t>
  </si>
  <si>
    <t>07090</t>
  </si>
  <si>
    <t>AGUS PRAMONO</t>
  </si>
  <si>
    <t>JL. MARS IV  NO. 12A JANGLI PERMAI</t>
  </si>
  <si>
    <t>JANGLI</t>
  </si>
  <si>
    <t>085866353070</t>
  </si>
  <si>
    <t>JL. KAMILOTO IX NO. 7 TLOGOSARI SEMARANG</t>
  </si>
  <si>
    <t>(024) 6718414</t>
  </si>
  <si>
    <t>JL. DURIAN RAYA NO. 7 SRONDOL WETAN SEMARANG</t>
  </si>
  <si>
    <t xml:space="preserve">SIGIT WAHYU ICHTIJAR               </t>
  </si>
  <si>
    <t>PERUM. GEDAWANG PERMAI  I BLOK E4</t>
  </si>
  <si>
    <t>(024) 76484593</t>
  </si>
  <si>
    <t xml:space="preserve">ANNAS HADAYAH ROFII                </t>
  </si>
  <si>
    <t>JL.GERGAJI BALEKAMBANG RT.04/07 NO.29 SEMARANG</t>
  </si>
  <si>
    <t>MUGASRI</t>
  </si>
  <si>
    <t>SEMARANG SELATAN</t>
  </si>
  <si>
    <t>081085865171976</t>
  </si>
  <si>
    <t>KALIPANCUR RT. 3 RW. III SEMARANG</t>
  </si>
  <si>
    <t>BANBAN KEREP</t>
  </si>
  <si>
    <t>50182</t>
  </si>
  <si>
    <t>0818338381</t>
  </si>
  <si>
    <t>JL.MUGAS DALAM VI / 14 SEMARANG</t>
  </si>
  <si>
    <t>PEKUNDEN</t>
  </si>
  <si>
    <t>SEMARANGSELATAN</t>
  </si>
  <si>
    <t>50241</t>
  </si>
  <si>
    <t>085865977726</t>
  </si>
  <si>
    <t>JL.KYAI SONO I/A 27 RT.06 RW 03 GENUK BARAT UNGARAN</t>
  </si>
  <si>
    <t>JL. TORAS III BLOK B1/21 PERUM P 4 A</t>
  </si>
  <si>
    <t>HP.08122505418</t>
  </si>
  <si>
    <t>PERUM PONDOK HIJAU BLOK D.18</t>
  </si>
  <si>
    <t>JL. PARIKESIT RAYA RT.10/RW 02 BANYUMANIK SEMARANG</t>
  </si>
  <si>
    <t>DS.TLOGOREJO RT 01 RW XI</t>
  </si>
  <si>
    <t>TLOGOREJO</t>
  </si>
  <si>
    <t>KARANGAWEN</t>
  </si>
  <si>
    <t>081564674003</t>
  </si>
  <si>
    <t>DS. RANDUSARI KEL. TAMBAK MOJOSONGO BOYOLALI</t>
  </si>
  <si>
    <t>SRI REJEKI TIMUR III RT 05 GISIKDRONO SEMARANG</t>
  </si>
  <si>
    <t>JSEMARANG</t>
  </si>
  <si>
    <t>DS. KECUBUNG RT06/02 SUBAH BATANG</t>
  </si>
  <si>
    <t>GONDANG</t>
  </si>
  <si>
    <t>SUBAH</t>
  </si>
  <si>
    <t>51262</t>
  </si>
  <si>
    <t>081.390294340</t>
  </si>
  <si>
    <t>07605</t>
  </si>
  <si>
    <t xml:space="preserve">BERNARD SIANTURI                   </t>
  </si>
  <si>
    <t>PERUM GEDAWANG PESONA ASRI G. 12</t>
  </si>
  <si>
    <t>(024) 476484924</t>
  </si>
  <si>
    <t xml:space="preserve">TITO CHRISDIAN ANDRIANTO           </t>
  </si>
  <si>
    <t xml:space="preserve">O </t>
  </si>
  <si>
    <t>JL.ARGO MULYO MUKTI 3D 137 GRAHA MUKTI</t>
  </si>
  <si>
    <t>TLOGOMULYO</t>
  </si>
  <si>
    <t>JAWA  TENGAH</t>
  </si>
  <si>
    <t>50195</t>
  </si>
  <si>
    <t>024 - 70225291</t>
  </si>
  <si>
    <t>07608</t>
  </si>
  <si>
    <t>PRAWOTO</t>
  </si>
  <si>
    <t>PERUM KUTILANG SARI III/10 UNGARAN</t>
  </si>
  <si>
    <t>SUSUKAN</t>
  </si>
  <si>
    <t>08155000676</t>
  </si>
  <si>
    <t>07609</t>
  </si>
  <si>
    <t xml:space="preserve">AGUS FAJAR SETIAWAN                </t>
  </si>
  <si>
    <t>WOLOGITO VII SEMARANG</t>
  </si>
  <si>
    <t xml:space="preserve">YANES MEVINA                       </t>
  </si>
  <si>
    <t xml:space="preserve">A </t>
  </si>
  <si>
    <t>MEDOHO INDAH NO. A-5 RT09 RW 08 GAYAMSARI SMG TIMUR</t>
  </si>
  <si>
    <t>MEDOHO</t>
  </si>
  <si>
    <t>(024)6731106</t>
  </si>
  <si>
    <t>07612</t>
  </si>
  <si>
    <t>MAHFUD</t>
  </si>
  <si>
    <t>085230033985</t>
  </si>
  <si>
    <t xml:space="preserve">MOCH.LUTFI                         </t>
  </si>
  <si>
    <t>JL.KALIMANTAN NO.325 GEDANG ASRI UNGARAN TIMUR</t>
  </si>
  <si>
    <t>08122834353</t>
  </si>
  <si>
    <t xml:space="preserve">GUNADI                             </t>
  </si>
  <si>
    <t>PERUM UNGARAN BARU A/133 LEYANGAN UNGARAN</t>
  </si>
  <si>
    <t xml:space="preserve">ENDRO HARTONO                      </t>
  </si>
  <si>
    <t>JL. MULAWARMAN RAYA  NO. 7</t>
  </si>
  <si>
    <t xml:space="preserve">SAWUNGGALING        </t>
  </si>
  <si>
    <t>(024) 7462561 / 085727110880</t>
  </si>
  <si>
    <t>07621</t>
  </si>
  <si>
    <t xml:space="preserve">SUWARNO                            </t>
  </si>
  <si>
    <t>KEBOHAN GUNUNG GEDANGAN,  RT.01/ RW VIII</t>
  </si>
  <si>
    <t>GUNUNG GEDANGAN</t>
  </si>
  <si>
    <t>MAGERSARI</t>
  </si>
  <si>
    <t xml:space="preserve">MOJOKERTO           </t>
  </si>
  <si>
    <t xml:space="preserve">JAWA TIMUR          </t>
  </si>
  <si>
    <t>61315</t>
  </si>
  <si>
    <t>(0321) 395835</t>
  </si>
  <si>
    <t xml:space="preserve">R.HUSNI AGUS DRAJAT. R     </t>
  </si>
  <si>
    <t>PERUM PERMATA PURI JL. BATU VILLA BLOK H V/5 NGALIYAN</t>
  </si>
  <si>
    <t>024- 7629086</t>
  </si>
  <si>
    <t>07626</t>
  </si>
  <si>
    <t>AGUNG WINARYO</t>
  </si>
  <si>
    <t>GRIYA PAYUNG ASRI KAV. 140</t>
  </si>
  <si>
    <t>085865865859</t>
  </si>
  <si>
    <t>07629</t>
  </si>
  <si>
    <t xml:space="preserve">MOCH.MUSLICH                       </t>
  </si>
  <si>
    <t>PERUM DINAR ELOK BLOK D5/8</t>
  </si>
  <si>
    <t>9024) 33114324</t>
  </si>
  <si>
    <t>07632</t>
  </si>
  <si>
    <t xml:space="preserve">ENDY AGUS PRASETYA                 </t>
  </si>
  <si>
    <t>JL. TLOGO MULYO PESONA ASRI B/21</t>
  </si>
  <si>
    <t>TLOGO MULYO</t>
  </si>
  <si>
    <t>081.22840861</t>
  </si>
  <si>
    <t>07640</t>
  </si>
  <si>
    <t xml:space="preserve">ADI SUTJAHJO                       </t>
  </si>
  <si>
    <t xml:space="preserve">JL. TIRTO MUKTI VI/1051 TLOGOSARI KULON KEC. PEDURUNGAN </t>
  </si>
  <si>
    <t>SEMARANG  TIMUR</t>
  </si>
  <si>
    <t>JANSEN JAYA ROLAS .H</t>
  </si>
  <si>
    <t>PERUM P4 BLOK F NO. 123</t>
  </si>
  <si>
    <t>081.325594396</t>
  </si>
  <si>
    <t>07645</t>
  </si>
  <si>
    <t xml:space="preserve">SUGENG WAHYUDI                     </t>
  </si>
  <si>
    <t>JL. MATARAM 34 TANGGULANGIN SIDOARJO</t>
  </si>
  <si>
    <t>KETAPANG</t>
  </si>
  <si>
    <t>TANGGULANGIN</t>
  </si>
  <si>
    <t>JAWA TIMUR</t>
  </si>
  <si>
    <t>61272</t>
  </si>
  <si>
    <t>0318443020</t>
  </si>
  <si>
    <t xml:space="preserve">SUGENG WARDOYO                     </t>
  </si>
  <si>
    <t>PERUM POLRI DURENAN INDAH BLOK L/19</t>
  </si>
  <si>
    <t>07648</t>
  </si>
  <si>
    <t xml:space="preserve">SASONGKO                           </t>
  </si>
  <si>
    <t xml:space="preserve">JL.MRABAHAN NO. 7  PERUM.GERSIK KOTA BARU </t>
  </si>
  <si>
    <t>GERSIK</t>
  </si>
  <si>
    <t>0817301225</t>
  </si>
  <si>
    <t>JL. MERDEKA III / B 13 PERUM ASRI BEJI UNGARAN</t>
  </si>
  <si>
    <t>087851041266</t>
  </si>
  <si>
    <t xml:space="preserve">RICKY NELSON SIBARANI              </t>
  </si>
  <si>
    <t>PERUM TLOGO MULYO PESONA ASRI II BLOK F/11 SEMARANG</t>
  </si>
  <si>
    <t>PEDURUNGAN TENGAH</t>
  </si>
  <si>
    <t>(024)6706471</t>
  </si>
  <si>
    <t>07659</t>
  </si>
  <si>
    <t xml:space="preserve">MOCH.ROFIUDIN                      </t>
  </si>
  <si>
    <t>JL. DINAR MAS XXI/10 METESEH TEMBALANG</t>
  </si>
  <si>
    <t>50271</t>
  </si>
  <si>
    <t>07667</t>
  </si>
  <si>
    <t xml:space="preserve">MANYUK IRWAN DANUS                 </t>
  </si>
  <si>
    <t>JL.KARONSIH TIMUR RAYA IV /264 NGALIYAN</t>
  </si>
  <si>
    <t>081.328237315</t>
  </si>
  <si>
    <t>07668</t>
  </si>
  <si>
    <t xml:space="preserve">AGUNG WAHJUONO                     </t>
  </si>
  <si>
    <t>PERUM PESONA KUTILANGSARI 3/38</t>
  </si>
  <si>
    <t>081575608228</t>
  </si>
  <si>
    <t>07671</t>
  </si>
  <si>
    <t xml:space="preserve">AFRI TRIHARYONO                    </t>
  </si>
  <si>
    <t>JL.MERBAU UTARA DALAM III / 48</t>
  </si>
  <si>
    <t>081.56641744</t>
  </si>
  <si>
    <t>JL. MEDOHO RIA 29 RT.001 / RW.005 SEMARANG</t>
  </si>
  <si>
    <t>SAMBIREJO</t>
  </si>
  <si>
    <t>50166</t>
  </si>
  <si>
    <t xml:space="preserve">EDI GUNAWAN                        </t>
  </si>
  <si>
    <t>JL. GONDANG TIMUR II/12</t>
  </si>
  <si>
    <t>BULUSAN</t>
  </si>
  <si>
    <t>081325775308</t>
  </si>
  <si>
    <t>07681</t>
  </si>
  <si>
    <t>BRAHMO WARDHONO  SUDIBYO</t>
  </si>
  <si>
    <t>PERUM POLRI, DURENAN INDAH J/9</t>
  </si>
  <si>
    <t>08179510030</t>
  </si>
  <si>
    <t>PENDY SETYO NUGROHO</t>
  </si>
  <si>
    <t>JL. SUMBAWA VI/242 UNGARAN</t>
  </si>
  <si>
    <t>024- 70578760</t>
  </si>
  <si>
    <t>07684</t>
  </si>
  <si>
    <t>MOHAMAD AINUR ROFIQ</t>
  </si>
  <si>
    <t>JL. JAMBU II/9 SRONDOL BANYUMANIK</t>
  </si>
  <si>
    <t>08155274900</t>
  </si>
  <si>
    <t>PERUM BANGUN HARJO II / 39 KEDUNGMUNDU SEMARANG</t>
  </si>
  <si>
    <t>081805949096</t>
  </si>
  <si>
    <t>JL.SINAR MAS IV/972 C RT.12 RW.01 KEDUNGMUNDU</t>
  </si>
  <si>
    <t>KEDUNG MUNDU</t>
  </si>
  <si>
    <t>085865718359</t>
  </si>
  <si>
    <t>07690</t>
  </si>
  <si>
    <t>SUDARTO</t>
  </si>
  <si>
    <t>GRIYA PAYUNG ASRI KAV. 147</t>
  </si>
  <si>
    <t>0818247285</t>
  </si>
  <si>
    <t>PANASAN V/03 PERUM SELAMERTA PONDOK BABADAN BARU</t>
  </si>
  <si>
    <t>081.22880225</t>
  </si>
  <si>
    <t>JL. SEUDATI II BLOK C-12 P4 A PUDAK PAYUNG SEMARANG</t>
  </si>
  <si>
    <t>085640737084</t>
  </si>
  <si>
    <t>LISAN PURO 3/NO.6 KROBOKAN SEMARANG</t>
  </si>
  <si>
    <t>KROBOKAN</t>
  </si>
  <si>
    <t xml:space="preserve">RIYONO                             </t>
  </si>
  <si>
    <t>PERUM KORPRI A-28 SRONDOL WETAN SEMARANG</t>
  </si>
  <si>
    <t>SRONDOL</t>
  </si>
  <si>
    <t>(024) 7462609</t>
  </si>
  <si>
    <t>HERI MURYANTO</t>
  </si>
  <si>
    <t>JL.RA. KARTINI NO.51 SLAWI KULON TEGAL</t>
  </si>
  <si>
    <t>SLAWI KULON</t>
  </si>
  <si>
    <t>SLAWI</t>
  </si>
  <si>
    <t>081.79512966</t>
  </si>
  <si>
    <t xml:space="preserve">JL. MENDUT MANYARAN </t>
  </si>
  <si>
    <t>GAGAT PANCASIWI, R</t>
  </si>
  <si>
    <t>KALIALANG LAMA RT.4 RW. I SU</t>
  </si>
  <si>
    <t>SUKOREJO</t>
  </si>
  <si>
    <t>08156568073</t>
  </si>
  <si>
    <t>08017</t>
  </si>
  <si>
    <t>THOMAS DWIATMANTO HARTONO</t>
  </si>
  <si>
    <t>Kp. TANAH 80 RT 005/09 NO. 32 KLENDER DUREN SAWIT 13470</t>
  </si>
  <si>
    <t>JAKARTA TIMUR</t>
  </si>
  <si>
    <t>02191974697 / 082114642667</t>
  </si>
  <si>
    <t>MALANG JIWAN RT.06/II COLO MADU SOLO</t>
  </si>
  <si>
    <t>PERUMAHAN P4A JL. GAMBYONG II BLOK F 16</t>
  </si>
  <si>
    <t>PERUM. SENDANG GEDE INDAH NO. 34 RT.09/02 SEMARANG</t>
  </si>
  <si>
    <t>024 - 76480042</t>
  </si>
  <si>
    <t>08164</t>
  </si>
  <si>
    <t>Ir. ALFIANDRA</t>
  </si>
  <si>
    <t>RUMDIN. PT JASA MARGA GT. TEMBALANG</t>
  </si>
  <si>
    <t>SUMURBOTO</t>
  </si>
  <si>
    <t>PERUM BUKIT ASRI 2 BLOK P NO. 8 RT.08/08 LEREP UNGARAN</t>
  </si>
  <si>
    <t>BANYUMAKNIK</t>
  </si>
  <si>
    <t>024- 7477243</t>
  </si>
  <si>
    <t>PURI DINAR ELOK BLOK C4 NO.5 METESEH TEMBALANG SMG</t>
  </si>
  <si>
    <t>081575458928</t>
  </si>
  <si>
    <t xml:space="preserve">SURYO SUBONO </t>
  </si>
  <si>
    <t>PERUM PURI DINAR MAS UTARA I 68 METESEH TEMBALANG</t>
  </si>
  <si>
    <t xml:space="preserve">YOSEPH TUAHNA RASKITA              </t>
  </si>
  <si>
    <t xml:space="preserve">B </t>
  </si>
  <si>
    <t>JL TIRTO AGUNG TIMUR III/ 49</t>
  </si>
  <si>
    <t>50237</t>
  </si>
  <si>
    <t>085868432320</t>
  </si>
  <si>
    <t>PINANG</t>
  </si>
  <si>
    <t>TANGERANG</t>
  </si>
  <si>
    <t xml:space="preserve">JUMADI                             </t>
  </si>
  <si>
    <t>DK.TARING RT.008/01 CEPOGO BOYOLALI</t>
  </si>
  <si>
    <t xml:space="preserve">WONODOYO            </t>
  </si>
  <si>
    <t xml:space="preserve">CEPOGO              </t>
  </si>
  <si>
    <t xml:space="preserve">BOYOLALI            </t>
  </si>
  <si>
    <t>081393476860</t>
  </si>
  <si>
    <t>Jl. RORO JONGRANG NO. 8 MANYARAN GG. XIX RT.04 RW.10</t>
  </si>
  <si>
    <t>081325055028</t>
  </si>
  <si>
    <t>JL MURIA 12 RT 03 RW 07 BENDAN PEKALONGAN BARAT'</t>
  </si>
  <si>
    <t>KAB.SEMARANG</t>
  </si>
  <si>
    <t>08129793598</t>
  </si>
  <si>
    <t>PERUM PURI DINAR ELOK H5 NO. 06 RT.06 RW.XXI</t>
  </si>
  <si>
    <t>08562666618</t>
  </si>
  <si>
    <t>GALUNGAN  GANG I NO. 99 PERUMNAS KRAPYAK</t>
  </si>
  <si>
    <t>KRAPYAK</t>
  </si>
  <si>
    <t>(024) 7621158</t>
  </si>
  <si>
    <t xml:space="preserve">ENDRAWAN UTOMO                     </t>
  </si>
  <si>
    <t>JL. GAHARU BARAT DALAM IV / 203 PERUMNAS BANYUMANIK</t>
  </si>
  <si>
    <t>BAMNYUMAIK</t>
  </si>
  <si>
    <t>024 - 7461859</t>
  </si>
  <si>
    <t xml:space="preserve">EDY SUPRIONO                       </t>
  </si>
  <si>
    <t>DELIK REJO RT.07 RW XI TANDANG SEMARANG</t>
  </si>
  <si>
    <t>AGUS BUDI SETYO PRIYONO</t>
  </si>
  <si>
    <t>PERUM PURI ASRI JL. MERDEKA III / 16 BEJI UNGARAN TIMUR</t>
  </si>
  <si>
    <t>085866653504</t>
  </si>
  <si>
    <t>PERUM BUKIT EMERAL JAYA RT.03/24 BLOK C 02/8 METESEH</t>
  </si>
  <si>
    <t>JL. KALIMAS 397/80 MENOWO MAGELANG</t>
  </si>
  <si>
    <t>0293360668</t>
  </si>
  <si>
    <t>RASAMALA UTARA VI/103 BANYUMANIK SEMARANG</t>
  </si>
  <si>
    <t>BANYUKMANIK</t>
  </si>
  <si>
    <t>08129461735</t>
  </si>
  <si>
    <t>PERUM ABDI NEGARA PERMAI JL. SADEWO 2 BLOCK C 13 RT.01/04 KEL. BOJANEGARA KEC. PADAMARA PURBALINGGA</t>
  </si>
  <si>
    <t>JEPANG PAKIS</t>
  </si>
  <si>
    <t>JATI</t>
  </si>
  <si>
    <t>081327280541</t>
  </si>
  <si>
    <t>PERUM. P4 BLOK CI / 20 PUDAKPAYUNG</t>
  </si>
  <si>
    <t>081390393534</t>
  </si>
  <si>
    <t>PERUM KUTILANG III/38 UNGARAN</t>
  </si>
  <si>
    <t>KAB. SEMARANG</t>
  </si>
  <si>
    <t>08129606932</t>
  </si>
  <si>
    <t>CHARLES LENDRA, ST</t>
  </si>
  <si>
    <t>DUTA BINTARO BLOK D 16 / 9 KUNCIRAN TANGGERANG</t>
  </si>
  <si>
    <t>JABAR</t>
  </si>
  <si>
    <t>081225114</t>
  </si>
  <si>
    <t>JL. LISAN PURO III/6 KROBOKAN SEMARANG</t>
  </si>
  <si>
    <t xml:space="preserve">TITIK AMBARWATI                    </t>
  </si>
  <si>
    <t>SINGOSARI TIMUR II/18 SEMARANG</t>
  </si>
  <si>
    <t>WONODRI</t>
  </si>
  <si>
    <t>50242</t>
  </si>
  <si>
    <t>09516</t>
  </si>
  <si>
    <t xml:space="preserve">CHATARINA CAHYANING TRIWIDANTI     </t>
  </si>
  <si>
    <t>JL.EROWATI RAYA NO.60 RT 04/03</t>
  </si>
  <si>
    <t xml:space="preserve">BULU LOR            </t>
  </si>
  <si>
    <t xml:space="preserve">SEMARANG UTARA      </t>
  </si>
  <si>
    <t>50179</t>
  </si>
  <si>
    <t>081326033505</t>
  </si>
  <si>
    <t>TEMBALANG REGENCY BA-54 BULUSAN</t>
  </si>
  <si>
    <t>081390288017</t>
  </si>
  <si>
    <t>PONDOK JANGLI INDAH NO.9 SEMARANG</t>
  </si>
  <si>
    <t xml:space="preserve">GAJAH MUNGKUR       </t>
  </si>
  <si>
    <t>024.8501418</t>
  </si>
  <si>
    <t>JL. NGESREP TIMUR III/32</t>
  </si>
  <si>
    <t>(024) 7475130</t>
  </si>
  <si>
    <t>MARDIANI SUSILOWATI RAHAYU</t>
  </si>
  <si>
    <t>SEGARAN IV RT.01 RW IV SEMARANG</t>
  </si>
  <si>
    <t>RANDUSARI</t>
  </si>
  <si>
    <t>50244</t>
  </si>
  <si>
    <t>(024) 8440461</t>
  </si>
  <si>
    <t xml:space="preserve">PUJI WINARSIH                      </t>
  </si>
  <si>
    <t>JL. SUNAN BROMO I RT 02/02 BOJA KENDAL</t>
  </si>
  <si>
    <t>BEBENGAN</t>
  </si>
  <si>
    <t xml:space="preserve">BOJA                </t>
  </si>
  <si>
    <t>(0294) 572778</t>
  </si>
  <si>
    <t xml:space="preserve">SRI HARTATI                        </t>
  </si>
  <si>
    <t>JL.MERBAU  I / 16 BANYUMANIK</t>
  </si>
  <si>
    <t xml:space="preserve">PADANGSARI          </t>
  </si>
  <si>
    <t>(024) 70374241</t>
  </si>
  <si>
    <t>PARAKAN NGARGOGONDO BOROBUDUR MAGELANG</t>
  </si>
  <si>
    <t>08882880682</t>
  </si>
  <si>
    <t xml:space="preserve">CORNELIUS SETYO PAMBUDI            </t>
  </si>
  <si>
    <t>KP.KALILANGSE NO.827 RT 07/III</t>
  </si>
  <si>
    <t>SEMARANG-</t>
  </si>
  <si>
    <t>024 - 70337441</t>
  </si>
  <si>
    <t>09529</t>
  </si>
  <si>
    <t xml:space="preserve">MUJAHIDIN                          </t>
  </si>
  <si>
    <t>JL.PAYUNG ASRI BRT III / 28A</t>
  </si>
  <si>
    <t>024 - 70414109</t>
  </si>
  <si>
    <t xml:space="preserve">BUDI HERMAWAN                      </t>
  </si>
  <si>
    <t>JL. ROROJONGGRANG TIMUR X NO.5 RT. 08. RW.10 MANYARAN</t>
  </si>
  <si>
    <t>08156594430</t>
  </si>
  <si>
    <t xml:space="preserve">SOLEMAN LASNO                      </t>
  </si>
  <si>
    <t>JL.ANJASMORO VI/41 KARANGAYU SEMARANG BARAT</t>
  </si>
  <si>
    <t>KARANGAYU</t>
  </si>
  <si>
    <t>(024) 7623053</t>
  </si>
  <si>
    <t>ANDI SUSILO</t>
  </si>
  <si>
    <t>JL. GENUK KARANGLO  RT 06/08 TEGALSARI SEMARANG</t>
  </si>
  <si>
    <t>JL. KALIWIRU VI NO. 459  RT.06/02 CANDISARI SEMARANG</t>
  </si>
  <si>
    <t>KALIWIRU</t>
  </si>
  <si>
    <t>50253</t>
  </si>
  <si>
    <t>081225000447</t>
  </si>
  <si>
    <t xml:space="preserve">AGUNG SULISTIYO                    </t>
  </si>
  <si>
    <t>SRIYATMO DALAM NO. 20 SEMARANG</t>
  </si>
  <si>
    <t xml:space="preserve">KARANG AYU          </t>
  </si>
  <si>
    <t xml:space="preserve">SEMARANG BARAT      </t>
  </si>
  <si>
    <t xml:space="preserve">SEMARANG-           </t>
  </si>
  <si>
    <t>(024) 7616115</t>
  </si>
  <si>
    <t>JL.PAMULARSIH DALAM I NO.1 RT 01/09 SEMARANG</t>
  </si>
  <si>
    <t xml:space="preserve">BOJONGSALAMAN       </t>
  </si>
  <si>
    <t xml:space="preserve">SEMARANG-50148      </t>
  </si>
  <si>
    <t>(024)7626562</t>
  </si>
  <si>
    <t xml:space="preserve">NYOMAN WINAYA                      </t>
  </si>
  <si>
    <t>PERUM. GRIYA PAYUNG ASRI NO. 37</t>
  </si>
  <si>
    <t>70788719</t>
  </si>
  <si>
    <t xml:space="preserve">HADI PRASTOWO                      </t>
  </si>
  <si>
    <t xml:space="preserve">JL.SATRIA SELATAN V NO.H 362A RT 08/04  </t>
  </si>
  <si>
    <t xml:space="preserve">PLOMBOKAN           </t>
  </si>
  <si>
    <t>(024) 8443436</t>
  </si>
  <si>
    <t xml:space="preserve">WAHYU EKO PURNOMO                  </t>
  </si>
  <si>
    <t>JL.KRUING BARAT DALAM II/59 PERUMNAS</t>
  </si>
  <si>
    <t xml:space="preserve">SRONDOL WETAN       </t>
  </si>
  <si>
    <t>081.64247263</t>
  </si>
  <si>
    <t xml:space="preserve">HENDRO WIBOWO                      </t>
  </si>
  <si>
    <t>JL. WOLOGITO BARAT XIII SEMARANG</t>
  </si>
  <si>
    <t>(024) 6590093</t>
  </si>
  <si>
    <t>MOHAMMAD DEDI MAWARDI. P</t>
  </si>
  <si>
    <t>JL. CANDI TEMBAGA SLT DALAM NO. 804</t>
  </si>
  <si>
    <t xml:space="preserve">KALIPANCUR          </t>
  </si>
  <si>
    <t xml:space="preserve">NGALIYAN            </t>
  </si>
  <si>
    <t>(024) 76634436</t>
  </si>
  <si>
    <t xml:space="preserve">DANANG NOVIANTO                    </t>
  </si>
  <si>
    <t>JL.TUSAM TIMUR NO.14 BANYUMANIK SEMARANG</t>
  </si>
  <si>
    <t xml:space="preserve">PEDALANGAN          </t>
  </si>
  <si>
    <t>(024)7461218</t>
  </si>
  <si>
    <t>PERUM GRIYO PAYUNG ASRI 129 PUDAK PAYUNG</t>
  </si>
  <si>
    <t>0812.8551614</t>
  </si>
  <si>
    <t xml:space="preserve">JL.PERINTIS KEMERDEKAAN NO.36 PUDAK PAYUNG RT.01/03 </t>
  </si>
  <si>
    <t>0817405370</t>
  </si>
  <si>
    <t>JL. PURWA KUSUMA NO. 23 RT. 06/RW 1 KEL. PRINGAPUS</t>
  </si>
  <si>
    <t>JL. DAMAR UTARA III NO. 201</t>
  </si>
  <si>
    <t>024.7472133</t>
  </si>
  <si>
    <t>JL. NYAI SERANG RT 02/03 CANDI REJO TUNTANG UNGARAN</t>
  </si>
  <si>
    <t>SEDADI BLOK C / X PERUMAHAN P4 SEMARANG</t>
  </si>
  <si>
    <t>BOROBUDUR UTARA 18 RT.5 RW.IV SEMARANG</t>
  </si>
  <si>
    <t>(024) 7618902</t>
  </si>
  <si>
    <t>NGESREP TIMUR V DALAM II NO. 17 SEMARANG</t>
  </si>
  <si>
    <t>(024) 91083842</t>
  </si>
  <si>
    <t>10160</t>
  </si>
  <si>
    <t>DS. JAMBU RT.06/RW.01 JAMBU AMBARAWA</t>
  </si>
  <si>
    <t>081391111336</t>
  </si>
  <si>
    <t>241</t>
  </si>
  <si>
    <t>DS MIRENG LOR RT07/RW3 MIRENG TRUCUK KLATEN</t>
  </si>
  <si>
    <t>Semarang</t>
  </si>
  <si>
    <t>Pati</t>
  </si>
  <si>
    <t>ARDIAN KUSUMA AJI</t>
  </si>
  <si>
    <t>PUTRI YOVITA SARI</t>
  </si>
  <si>
    <t>CAHYO GUMILAR</t>
  </si>
  <si>
    <t>MOHAMMAD SADAM PUTRA</t>
  </si>
  <si>
    <t>MUCHAMAD AZIS MANSHUR MAULANA</t>
  </si>
  <si>
    <t>MUHAMMAD KHASAN</t>
  </si>
  <si>
    <t>ROYAN FEBRI PRASETYO</t>
  </si>
  <si>
    <t>YULIANI SAPUTRI</t>
  </si>
  <si>
    <t>TGL SEKARANG</t>
  </si>
  <si>
    <t>Karanganyar Gunung Rt.01/01 Candisari - Semarang</t>
  </si>
  <si>
    <t>Wonoyoso Rt.03/Rw.02 Pringapus -  Semarang</t>
  </si>
  <si>
    <t>Tlogo Mulyo Rt.03/Rw.02 Pedurungan - Semarang</t>
  </si>
  <si>
    <t>Jl. Damar Barat I/24 Rt.01/Rw.10 Pandangsari, Banyumanik - Semarang</t>
  </si>
  <si>
    <t>Asrama Kodam RT.003/RW.005 Kel. Jatingaleh Candisari Semarang</t>
  </si>
  <si>
    <t>Dukuh Karanganyar ds. Leboh RT 01  RW 02 Kec. Gringsing Kab. Batang</t>
  </si>
  <si>
    <t>Jl.Sido Mulyo No. 5 /11  Kel Muktiharjo, Kec. Pedurungan</t>
  </si>
  <si>
    <t>TAUFIK KURNIAWAN</t>
  </si>
  <si>
    <t>DS. Doplang RT II/02 Kec. Jati, Kab. Blora 58384</t>
  </si>
  <si>
    <t>IRWAN KURNIA ALIANTO</t>
  </si>
  <si>
    <t>PONDRA DIKY SUKARNO</t>
  </si>
  <si>
    <t>TEMPAT</t>
  </si>
  <si>
    <t>Kendal</t>
  </si>
  <si>
    <t>Klaten</t>
  </si>
  <si>
    <t>Grobogan</t>
  </si>
  <si>
    <t>Kudus</t>
  </si>
  <si>
    <t>Sragen</t>
  </si>
  <si>
    <t>Batang</t>
  </si>
  <si>
    <t>Blora</t>
  </si>
  <si>
    <t>Jepara</t>
  </si>
  <si>
    <t>TGL.LAHIR</t>
  </si>
  <si>
    <t>RUDY MADELANI</t>
  </si>
  <si>
    <t>JL. Kaliwiru 459 Semarang-Candisari</t>
  </si>
  <si>
    <t>TRIYONO</t>
  </si>
  <si>
    <t>NIK</t>
  </si>
  <si>
    <t>YANG DITEMPATKAN DI CABANG SEMARANG</t>
  </si>
  <si>
    <t>TGL LAHIR</t>
  </si>
  <si>
    <t>Laki - Laki</t>
  </si>
  <si>
    <t>Lajang</t>
  </si>
  <si>
    <t>JL. PANASAN VI/ 3 RT. 03/RW. 13 SELAMARTA, BABADAN SEMARANG</t>
  </si>
  <si>
    <t>JATENG</t>
  </si>
  <si>
    <t>AGSA SAGITA WILIANDI</t>
  </si>
  <si>
    <t>PERUM PANDANA MERDEKA BLOK P/47 NGALIYAN</t>
  </si>
  <si>
    <t xml:space="preserve">JL. KEBONAGUNG NO 198 SINGOSARI MALANG </t>
  </si>
  <si>
    <t>DK. KRAJAN RT. 002/ RW. 002  TAYU WETAN TAYU PATI</t>
  </si>
  <si>
    <t xml:space="preserve">JL. KRUING BARAT DALAM I NO 96 BANYUMANIK SEMARANG </t>
  </si>
  <si>
    <t>ANGGA ARIE SETIYAWAN</t>
  </si>
  <si>
    <t xml:space="preserve">JL. RASAMALA BARAT NO 123 BANYUMANIK SEMARANG </t>
  </si>
  <si>
    <t>JL. SUNAN GUNUNG JATI NO. 102 MAGELANG</t>
  </si>
  <si>
    <t>JL. KAWUNG 7/5 RT.005/RW.014 TLOGOSARI KULON PEDURUNGAN SEMARANG</t>
  </si>
  <si>
    <t>Perempuan</t>
  </si>
  <si>
    <t>JL. WONODRI KOPEN II NO. 1028 SEMARANG</t>
  </si>
  <si>
    <t>JL. GAHARU BARAT DALAM IV NO. 246, BANYUMANIK SEMARANG</t>
  </si>
  <si>
    <t>CILACAP</t>
  </si>
  <si>
    <t>KP. GENUK KARANGLO RT.06/08 TEGALSARI SEMARANG</t>
  </si>
  <si>
    <t>JANGLI TLAWAH IV/ 72 RT. 06/ RW. 02 JATINGALEH CANDISARI</t>
  </si>
  <si>
    <t>JL. CANDI MUTIARA SELATAN II/ 333 A PASADENA</t>
  </si>
  <si>
    <t>PERUM PGRI BLOK J.98 KLIPANG SEMARANG 50272</t>
  </si>
  <si>
    <t>FAUZI GALIH SAPUTRO</t>
  </si>
  <si>
    <t xml:space="preserve">LINGKUNGAN SANGGAR RT.001/RW.002 POJOKSARI AMBARAWA </t>
  </si>
  <si>
    <t>JAMBI</t>
  </si>
  <si>
    <t>SMU</t>
  </si>
  <si>
    <t>JL TAMBANGAN RT 01/01 KEC. MIJEN KOTA SEMARANG</t>
  </si>
  <si>
    <t>Jawa Tengah</t>
  </si>
  <si>
    <t>FRIENDY PRASETYO</t>
  </si>
  <si>
    <t xml:space="preserve">DS. SEDURI, JL. JAMBU RT. 03/ RW. 06 KEC. MOJOSARI MOJOKERTO </t>
  </si>
  <si>
    <t>JL.CEMARA VI RT 001/ RW 008 BANYUMANIK SEMARANG</t>
  </si>
  <si>
    <t>IGNATIUS RIKO KRISNANTA</t>
  </si>
  <si>
    <t xml:space="preserve">JATINGALEH TRANGKIL NO 175 RT. 09/ RW. 02 SEMARANG </t>
  </si>
  <si>
    <t>SAMBENG KULON RT 02/02 KEMBANGAN BANYUMAS</t>
  </si>
  <si>
    <t xml:space="preserve">JL. NGRESEP TIMUR DALAM V RT. 06/RW. 01, SUMURBOTO BANYUMANIK </t>
  </si>
  <si>
    <t>PASURUAN</t>
  </si>
  <si>
    <t xml:space="preserve">TEGAL RT. 03/RW. 06 WONOSARI TRUCUK KLATEN </t>
  </si>
  <si>
    <t>KEDUNG PATANGEWU RT 001/ RW 006  PEKALONGAN</t>
  </si>
  <si>
    <t>JL. CANDI MUTIARA SELATAN II/ 333 PASADENA SEMARANG</t>
  </si>
  <si>
    <t>MOCH FATHUR RISQY</t>
  </si>
  <si>
    <t>JL. KARANG REJO RT. 03/ RW. 02 NO 119 SEMARANG</t>
  </si>
  <si>
    <t xml:space="preserve">JL. LETJEND S. PARMAN NO 6 RT. 26/ RW. 04 NOTOPRAJAN, NGAMPILAN YOGYAKARTA </t>
  </si>
  <si>
    <t>NUR RAHMAN KHASANI</t>
  </si>
  <si>
    <t xml:space="preserve">JL. KARONSIH TIMUR IX NO 317 NGALIAN SEMARANG - 024 </t>
  </si>
  <si>
    <t>PONDOK RADEN PATAH BLOK K NO.13 SAYUNG</t>
  </si>
  <si>
    <t>JL. BOROBUDUR SELATAN 1/4 RT 06/13 KEMBANG ARUM SEMARANG</t>
  </si>
  <si>
    <t>RIANDANA FEBRIAN RAMADHA</t>
  </si>
  <si>
    <t>JL. ULIN RAYA NO. 251 SEMARANG</t>
  </si>
  <si>
    <t>JL. MULAWARMAN II/ 35D RT 03/ RW 04 PEDALANGAN BANYUMANIK SEMARANG</t>
  </si>
  <si>
    <t>DSN. KRANJAN RT. 02/ RW. 01 DESA LEMAHIRENG BAWEN SEMARANG</t>
  </si>
  <si>
    <t xml:space="preserve">JL. JOMBLANG BARAT 520 RT. 04/ RW 03 SEMARANG </t>
  </si>
  <si>
    <t xml:space="preserve">JL. SRIWIJAYA KAMPUNG GENUK KARANGLO RT 08/ RW 08 SEMARANG </t>
  </si>
  <si>
    <t>Laki-laki</t>
  </si>
  <si>
    <t>KRANJAN SURUH RT 05 RW 05 SEMARANG</t>
  </si>
  <si>
    <t>JL TAMAN BOROBUDUR UTARA V RT 01 RW 10 KEMBANGARUM SEMARANG BARAT</t>
  </si>
  <si>
    <t>JL. TAMAN BOROBUDUR UTAMA XI RT 07/RW 3 MANYARAN  SEMARANG</t>
  </si>
  <si>
    <t>DUSUN KRAJAN RT 04/01 MARGOSARI KEC. LIMBANGAN KENDAL</t>
  </si>
  <si>
    <t>JL. TAMAN BOROBUDUR UTAMA RAYA NO. 40 RT 05/RW 10 KEMBANGAN SEMARANG</t>
  </si>
  <si>
    <t>PER KOPRI BLOK R XVI/11 RT 003 RW 06 SENDANGMULYO TEMBALANG</t>
  </si>
  <si>
    <t>WONOSOBO</t>
  </si>
  <si>
    <t>JL.KIJAGAPATI NO 01 RT /RW 01/01 KRADEGAN BANJARNEGARA</t>
  </si>
  <si>
    <t>LAELA NALURI</t>
  </si>
  <si>
    <t>NGABLAK RT 01 / RW 05 CANDIREJO UNGARAN SELATAN</t>
  </si>
  <si>
    <t>MASA BHAKTI 26 - 30 TH</t>
  </si>
  <si>
    <t>FUNGSIONAL</t>
  </si>
  <si>
    <t>46 S/D 54</t>
  </si>
  <si>
    <t>SYAMSUDIN</t>
  </si>
  <si>
    <t>jumlah</t>
  </si>
  <si>
    <t>Karyawan tetap</t>
  </si>
  <si>
    <t>2014</t>
  </si>
  <si>
    <t>TOGU HAMONANGAN SIRINGO RINGO</t>
  </si>
  <si>
    <t>NPWP</t>
  </si>
  <si>
    <t>ALAMAT
SESUAI KTP</t>
  </si>
  <si>
    <t>NO TLPN</t>
  </si>
  <si>
    <t>05.748.795.1-503.000</t>
  </si>
  <si>
    <t>24.540.050.2-602.000</t>
  </si>
  <si>
    <t>24.394.989.8-503.000</t>
  </si>
  <si>
    <t>05.201.422.2.518.000</t>
  </si>
  <si>
    <t>08.863.008.2-517.000</t>
  </si>
  <si>
    <t>05.399.098.2-517.000</t>
  </si>
  <si>
    <t>05.399.081.8-508.000</t>
  </si>
  <si>
    <t>5.399.103.0-69</t>
  </si>
  <si>
    <t>HERI ARSO, ST</t>
  </si>
  <si>
    <t>05.399.094.1</t>
  </si>
  <si>
    <t>05.399.096.6.69</t>
  </si>
  <si>
    <t>SIH WIYONO, ST</t>
  </si>
  <si>
    <t>05.399.106.3-517.000</t>
  </si>
  <si>
    <t>05.399.091.7.508.000</t>
  </si>
  <si>
    <t>5.399.055.8-65</t>
  </si>
  <si>
    <t>49.323.795.2-515.000</t>
  </si>
  <si>
    <t>05.399.099.0.503.000</t>
  </si>
  <si>
    <t>SUNARSO, SE</t>
  </si>
  <si>
    <t>14.219.372.1-527.000</t>
  </si>
  <si>
    <t>05.399.105.5-508.000</t>
  </si>
  <si>
    <t>05.399.086.7-517.000</t>
  </si>
  <si>
    <t>05.346.350.1-517.000</t>
  </si>
  <si>
    <t>24.395.212.4-517.000</t>
  </si>
  <si>
    <t>05.346.354.3-518.000</t>
  </si>
  <si>
    <t>08.796.388.5-503.000</t>
  </si>
  <si>
    <t>08.863.011.6-508.000</t>
  </si>
  <si>
    <t>07.792.197.1-505.000</t>
  </si>
  <si>
    <t>07.792.192.2-505.000</t>
  </si>
  <si>
    <t>47.797.896.9-451.000</t>
  </si>
  <si>
    <t>Bidar 5a/8 RT.005 RW.008 Perum Bumi Kelapa dua, Kelapa Dua Tangerang Banten</t>
  </si>
  <si>
    <t>08.815.643.1-504.000</t>
  </si>
  <si>
    <t>05.399.090.9-505.000</t>
  </si>
  <si>
    <t>Pondok Telaga Mukti II C6 RT.001 RW.009 Tingkir Tengah, Tingkir, Salatiga</t>
  </si>
  <si>
    <t>24.395.597.8-517.999</t>
  </si>
  <si>
    <t>24.399.125.4-517.000</t>
  </si>
  <si>
    <t>68.947.772.7-407.000</t>
  </si>
  <si>
    <t>49.323.801.8.503.000</t>
  </si>
  <si>
    <t>05.874.917.7-505.000</t>
  </si>
  <si>
    <t>TRI MULYANI, SE</t>
  </si>
  <si>
    <t>08.796.341.9-503.001</t>
  </si>
  <si>
    <t>49.323.803.4-517.000</t>
  </si>
  <si>
    <t>14.188.840.4-544.000</t>
  </si>
  <si>
    <t>07.792.191.4.505.000</t>
  </si>
  <si>
    <t>07.792.242.5-505.000</t>
  </si>
  <si>
    <t>07.792.190.6-505.000</t>
  </si>
  <si>
    <t>08.796.337.7.503.000</t>
  </si>
  <si>
    <t>08.863.013.2-508.000</t>
  </si>
  <si>
    <t>08.863.014.0-508-000</t>
  </si>
  <si>
    <t>MARDI PRIYANTO</t>
  </si>
  <si>
    <t>08.794.247.0-508.000</t>
  </si>
  <si>
    <t>08.796.336.9-503.000</t>
  </si>
  <si>
    <t>08.863.107.2-508.000</t>
  </si>
  <si>
    <t>24.401.886.7-503.000</t>
  </si>
  <si>
    <t>24.416.802.5-517.000</t>
  </si>
  <si>
    <t>24.397.689.1-517.000</t>
  </si>
  <si>
    <t>47.812.483.7-518-001</t>
  </si>
  <si>
    <t>24.390.499.2-517.000</t>
  </si>
  <si>
    <t>Rumpun Diponegoro V/59 RT.003 RW.007 Banyumanik Semarang</t>
  </si>
  <si>
    <t>49.323.806.7-517.000</t>
  </si>
  <si>
    <t>49.323.808.3-503.000</t>
  </si>
  <si>
    <t>08.819.644.9-504.000</t>
  </si>
  <si>
    <t>08.863.016.517.000</t>
  </si>
  <si>
    <t>08.863.017.3-517.000</t>
  </si>
  <si>
    <t>07.792.193.0-505.000</t>
  </si>
  <si>
    <t>07.792.196.3-505.000</t>
  </si>
  <si>
    <t>Pringsari RT.001 RW.002 Pringsari Pringapus/Klepu Kab.Semarang</t>
  </si>
  <si>
    <t>24.556.292.1-515.000</t>
  </si>
  <si>
    <t>24.294.183.9-517</t>
  </si>
  <si>
    <t>08.863.018.1.508.000</t>
  </si>
  <si>
    <t>49.323.810.9-524.000</t>
  </si>
  <si>
    <t>07.792.188.0-505.000</t>
  </si>
  <si>
    <t xml:space="preserve">Jl.Panasan VI/3 RT.003 RW.013 Beji Ungaran Timur </t>
  </si>
  <si>
    <t>07.792.189.8-505.000</t>
  </si>
  <si>
    <t>07.792.194.8-505.000</t>
  </si>
  <si>
    <t>08.863.019.9-517.000</t>
  </si>
  <si>
    <t>08.796.333.6-503.000</t>
  </si>
  <si>
    <t>07.792.200.3-505.000</t>
  </si>
  <si>
    <t>07.792.203.7-505.000</t>
  </si>
  <si>
    <t>08.796.511.7-503.001</t>
  </si>
  <si>
    <t>05.201.453.7-504.000</t>
  </si>
  <si>
    <t>AL TJATUR MARTIN PUTRANTO</t>
  </si>
  <si>
    <t>07.792.240.9-505.000</t>
  </si>
  <si>
    <t>08.796.332.8-503.000</t>
  </si>
  <si>
    <t>08.819.648.0-504.000</t>
  </si>
  <si>
    <t>Jl.Sido Asih IV/29 RT.003 RW.004 Muktiharjo Kidul , Pedurungan , Semarang</t>
  </si>
  <si>
    <t>08.863.020.7.508.00</t>
  </si>
  <si>
    <t>05.399.131.1-517.000</t>
  </si>
  <si>
    <t>Jl Durian Utara III No 16 Semarang</t>
  </si>
  <si>
    <t>08.796.345.0-503.000</t>
  </si>
  <si>
    <t>08.796.331.0-503.000</t>
  </si>
  <si>
    <t>49.323.814.1-533.000</t>
  </si>
  <si>
    <t>08.863.021.5-517.000</t>
  </si>
  <si>
    <t>07.792.201.1-505.000</t>
  </si>
  <si>
    <t>08.863.022.3-508.000</t>
  </si>
  <si>
    <t>24.595.321.1-517.000</t>
  </si>
  <si>
    <t>49.323.818.2-517.000</t>
  </si>
  <si>
    <t>07.792.202.9-505.000</t>
  </si>
  <si>
    <t>24.588.769.0-503-000</t>
  </si>
  <si>
    <t>24.422.587.6-451-000</t>
  </si>
  <si>
    <t>07.792.195.5-505.000</t>
  </si>
  <si>
    <t>58.653.926.4.503.999</t>
  </si>
  <si>
    <t>49.323.823.2-518.000</t>
  </si>
  <si>
    <t>09.204.007.0.436.000</t>
  </si>
  <si>
    <t>07.779.617.5-503.999</t>
  </si>
  <si>
    <t>49.323.827.3-503-000</t>
  </si>
  <si>
    <t>08.796.330.2-503.000</t>
  </si>
  <si>
    <t>49.323.829.9-517.000</t>
  </si>
  <si>
    <t>Karangrejo Raya 10 RT.001 RW.005 Banyumanik Semarang</t>
  </si>
  <si>
    <t>38.312.456.7-413.000</t>
  </si>
  <si>
    <t>08.830.463.9-505.000</t>
  </si>
  <si>
    <t>47.069.182.5-426.000</t>
  </si>
  <si>
    <t>08.819.649.8-504.000</t>
  </si>
  <si>
    <t>08.863.024.9-508.000</t>
  </si>
  <si>
    <t>IRWAN SYAFRUDIN, SE</t>
  </si>
  <si>
    <t>09.335.294.6-444.000</t>
  </si>
  <si>
    <t>59.588.258.0.436.000</t>
  </si>
  <si>
    <t>08.796.439.1-503.000</t>
  </si>
  <si>
    <t>24.557.217.7-517.000</t>
  </si>
  <si>
    <t>08.861.200.7-508.000</t>
  </si>
  <si>
    <t>08.819.679.5-518.000</t>
  </si>
  <si>
    <t>JOHANNUS ISKANDAR</t>
  </si>
  <si>
    <t>09.343.920.6-421.000</t>
  </si>
  <si>
    <t>08.796.440.9-503.000</t>
  </si>
  <si>
    <t>08.863.025.6-508.000</t>
  </si>
  <si>
    <t>08.796.328.6-503.000</t>
  </si>
  <si>
    <t>08.863.026.4-517.000</t>
  </si>
  <si>
    <t>07.792.198.9-505.000</t>
  </si>
  <si>
    <t>Gempol RT.003 RW.004 Leyangan Ungaran Kab.Semarang</t>
  </si>
  <si>
    <t>08.863.027.2-542.000</t>
  </si>
  <si>
    <t>24.394.849.4-513.000</t>
  </si>
  <si>
    <t>08.819.647.2-504.000</t>
  </si>
  <si>
    <t>09.187.563.3-402.000</t>
  </si>
  <si>
    <t>08.863.028.0-517</t>
  </si>
  <si>
    <t>ANNAS HADAYAH ROFII</t>
  </si>
  <si>
    <t>08.863.029.8.508.000</t>
  </si>
  <si>
    <t>27.311.414.0-424-000</t>
  </si>
  <si>
    <t>Jl Mataram II No 3 Banyuanyar Solo</t>
  </si>
  <si>
    <t>08.863.030.6-508.000</t>
  </si>
  <si>
    <t>47.203.739.9-407.000</t>
  </si>
  <si>
    <t>24.394.194.5-517.000</t>
  </si>
  <si>
    <t>Jl.Toras III Perum P4A Blok B1/21 RT.006 RW.011 Pudakpayung, Banyumanik</t>
  </si>
  <si>
    <t>24.192.038.8-413.000</t>
  </si>
  <si>
    <t>KejenanRt01 Rw08 Bangsi Karangpandan Smg</t>
  </si>
  <si>
    <t>49.323.837.2-517.000</t>
  </si>
  <si>
    <t>14.207.600.9-407.000</t>
  </si>
  <si>
    <t>Tlogorejo Rt 01 Rw11 Karangawen Semarang</t>
  </si>
  <si>
    <t>17.933.702.7.005</t>
  </si>
  <si>
    <t>47.211.640.9-017.000</t>
  </si>
  <si>
    <t>49.323.838.0-513.000</t>
  </si>
  <si>
    <t xml:space="preserve">DK.Kecubung DS Gondang RT.006 RW.002 Gondang-Subah </t>
  </si>
  <si>
    <t>49.323.842.2-518.000</t>
  </si>
  <si>
    <t>49.323.846.3-518.000</t>
  </si>
  <si>
    <t>MOCH. LUTFI</t>
  </si>
  <si>
    <t>07.792.199.7-505.000</t>
  </si>
  <si>
    <t>Jl.Kalimantan 325 RT.007 Rw.009 Gedang Anak Ungaran</t>
  </si>
  <si>
    <t>49.323.850.5-505.000</t>
  </si>
  <si>
    <t>08.863.031.4-508.000</t>
  </si>
  <si>
    <t>HUSNI AGUS DRAJAT RIAMBODO</t>
  </si>
  <si>
    <t>08.863.032.2.508.000</t>
  </si>
  <si>
    <t>JANSEN JAYA ROLAS HUTAGAOL</t>
  </si>
  <si>
    <t>08.863.033.0.517.000</t>
  </si>
  <si>
    <t>24.391.428.0-517.000</t>
  </si>
  <si>
    <t>49.323.861.2.618.000</t>
  </si>
  <si>
    <t>08.818.056.7-504.000</t>
  </si>
  <si>
    <t>49.323.865.3-517.000</t>
  </si>
  <si>
    <t>Jl.Gondang Timur II No 12 RT.002 RW.002 Bulusan Tembalang Semarang</t>
  </si>
  <si>
    <t>05.948.622.5-508.000</t>
  </si>
  <si>
    <t>24.558.889.2-517.000</t>
  </si>
  <si>
    <t>24.395.526.7-517.000</t>
  </si>
  <si>
    <t>49.323.871.1-505.000</t>
  </si>
  <si>
    <t>08.863.035.5-508.000</t>
  </si>
  <si>
    <t>49.323.872.9-517.000</t>
  </si>
  <si>
    <t>49.323.874.5-501.000</t>
  </si>
  <si>
    <t>Jl. R.A Kartini no.12 RT.001 RW.008 Slawi Kulon, Slawi, Kab.Tegal</t>
  </si>
  <si>
    <t>SOLICHIN</t>
  </si>
  <si>
    <t>24.198.534.0-413</t>
  </si>
  <si>
    <t>59.582.386.5-005.000</t>
  </si>
  <si>
    <t>GAGAT PANCASIWI</t>
  </si>
  <si>
    <t>08.796.329.4-503.000</t>
  </si>
  <si>
    <t>59.588.481.8-436.000</t>
  </si>
  <si>
    <t>EKO PRASETIYONO</t>
  </si>
  <si>
    <t>24.396.134.9-517.000</t>
  </si>
  <si>
    <t>67.684.886.4-411.000</t>
  </si>
  <si>
    <t>49.323.876.0-503.000</t>
  </si>
  <si>
    <t>24.400.032.1-517.000</t>
  </si>
  <si>
    <t>Perum.Dinar Mas Utara I/68 RT.001 RW.019 Meteseh Tembalang Semarang</t>
  </si>
  <si>
    <t>08.863.036.3-517-000</t>
  </si>
  <si>
    <t xml:space="preserve">Jurangombo Utara Magelang </t>
  </si>
  <si>
    <t>47.211.641.7-402.000</t>
  </si>
  <si>
    <t>jl Jatisari Rt04 Rw 01Jatisari Subah Batang</t>
  </si>
  <si>
    <t>14.219.392.9.526.000</t>
  </si>
  <si>
    <t>Taring. RT.008 RW.001 Wonodoyo, Copogo, Boyolali</t>
  </si>
  <si>
    <t>08.863.101.5-508.000</t>
  </si>
  <si>
    <t>47.212.007.0-402.000</t>
  </si>
  <si>
    <t>09.187.552.6-402-000</t>
  </si>
  <si>
    <t>08.796.344.3-503.000</t>
  </si>
  <si>
    <t>49.323.878.6-517.000</t>
  </si>
  <si>
    <t>49.323.880.2-517.000</t>
  </si>
  <si>
    <t>09.474.380.4-009.000</t>
  </si>
  <si>
    <t>DK Karang RT 01 RW 08 Jekulo Kudus</t>
  </si>
  <si>
    <t>58.118.996.6-505.000</t>
  </si>
  <si>
    <t>59.588.751.4-403.000</t>
  </si>
  <si>
    <t>DEDI HENDRAWAN</t>
  </si>
  <si>
    <t>24.305.606.6-009.000</t>
  </si>
  <si>
    <t>24.287.575.5-005.000</t>
  </si>
  <si>
    <t>29.537.619.8-017.000</t>
  </si>
  <si>
    <t>49.323.882.8-517.000</t>
  </si>
  <si>
    <t>24.204.786.8-412.000</t>
  </si>
  <si>
    <t>59.582.288.3-005.000</t>
  </si>
  <si>
    <t>09.191.065.3-402.000</t>
  </si>
  <si>
    <t>14.197.378.4-413.000</t>
  </si>
  <si>
    <t>14.207.433.5-407.000</t>
  </si>
  <si>
    <t>05.948.634.0-508.000</t>
  </si>
  <si>
    <t>67.903.712.7-008.000</t>
  </si>
  <si>
    <t>49.323.884.4-517.000</t>
  </si>
  <si>
    <t>49.323.886.9-517.000</t>
  </si>
  <si>
    <t>24.632.742.3-508.000</t>
  </si>
  <si>
    <t>49.323.889.3-513.000</t>
  </si>
  <si>
    <t>24.348.425.0-517.001</t>
  </si>
  <si>
    <t>49.323.891.9-524.000</t>
  </si>
  <si>
    <t>Parakan Rt 01 Rw 02 Ngargogondo Borobodur Magelang</t>
  </si>
  <si>
    <t>08.860.655.3-508.000</t>
  </si>
  <si>
    <t>08.796.324.5-503.000</t>
  </si>
  <si>
    <t>24.390.234.3-503.000</t>
  </si>
  <si>
    <t>08.863.038.9-508.000</t>
  </si>
  <si>
    <t>49.323.893.5-517.000</t>
  </si>
  <si>
    <t>49.323.895.0-503.00</t>
  </si>
  <si>
    <t>24.537.098.6-503.000</t>
  </si>
  <si>
    <t>24.552.868.2-517.000</t>
  </si>
  <si>
    <t>49.323897.6-504.000</t>
  </si>
  <si>
    <t>24.045.548.5-508.000</t>
  </si>
  <si>
    <t>49.323.899.2-503.000</t>
  </si>
  <si>
    <t>MOHAMMAD DEDI MAWARDI PAHLAWAN</t>
  </si>
  <si>
    <t>08.796.323.7-503.000</t>
  </si>
  <si>
    <t>24.591.052.6-517.000</t>
  </si>
  <si>
    <t>JL.Tusam Timur 14B RT.002 RW.001 pedalangan Banyumanik Semarang</t>
  </si>
  <si>
    <t>14.207.357.6-532.000</t>
  </si>
  <si>
    <t>14.201.687.2-412.000</t>
  </si>
  <si>
    <t>09.539.708.9-017.000</t>
  </si>
  <si>
    <t>09.212.057.5-403.000</t>
  </si>
  <si>
    <t>24.383.213.6-517.000</t>
  </si>
  <si>
    <t>59.588.856.1-005.000</t>
  </si>
  <si>
    <t>24.198.841.9-407.000</t>
  </si>
  <si>
    <t>08.796.322.9-503.000</t>
  </si>
  <si>
    <t>Jl Borobudur Utara 18 Manyaran Smg</t>
  </si>
  <si>
    <t>08.863.039.7-517.000</t>
  </si>
  <si>
    <t>59.588.778.7-403.000</t>
  </si>
  <si>
    <t>35.930.994.5-525.000</t>
  </si>
  <si>
    <t>TRI WAHYU SUBEKTI, ST</t>
  </si>
  <si>
    <t>57.742.975.6-222.000</t>
  </si>
  <si>
    <t>47.722.927.2-113.000</t>
  </si>
  <si>
    <t xml:space="preserve">Jl. Karonsih Timur IX/314  Ngaliyan, Semarang </t>
  </si>
  <si>
    <t>Jl.Karonsih Utara III/62 RT.004 RW.003 Ngaliyan Semarang</t>
  </si>
  <si>
    <t>Randugunting RT 08 Rw01 Randugunting Bergas Semarang</t>
  </si>
  <si>
    <t>Jl.Perintis Kemerdekaan Perum. Griya Pulisen RT.002 RW.012 , Boyolali</t>
  </si>
  <si>
    <t>Jl. Perdana IV No.01, Padangsari, RT.003 RW.004 Banyumanik, Semarang</t>
  </si>
  <si>
    <t>JL. Griya Anggreini Blok F 8/13 RT.007 RW.011 Karang Asem Barat,  Citeureup, Bogor</t>
  </si>
  <si>
    <t>Ngesrep Timur V/47C Sumur Boto Banyumanik Semarang</t>
  </si>
  <si>
    <t>JL. Candi Mutiara SLT I/355A RT.004 RW.006 Kalipancur, Ngaliyan,  Semarang</t>
  </si>
  <si>
    <t>JL. Kranggan III/37A RT.002 RW.002, Kranggan Prajurit Kulon Mojokerto</t>
  </si>
  <si>
    <t>JL. Graha Wahid Cluser Paris B-5 Rt02 Rw 10 Sambiroto TembalangSmg</t>
  </si>
  <si>
    <t>JL.Karonsih Timur V/121 RT.003 RW.005 Ngaliyan</t>
  </si>
  <si>
    <t>JL. Jatingaleh Trangkil No.902 RT.009 RW.002 Ngesrep Banyumanik Semarang</t>
  </si>
  <si>
    <t>JL. Kanfer Utara II/46 RT.004 RW.005, Pedalangan Banyumanik, Semarang</t>
  </si>
  <si>
    <t>JL.Karonsih Timu Raya IV/252 RT.007 RW.005 Ngaliyan Semarang</t>
  </si>
  <si>
    <t xml:space="preserve">Kalibagor RT.005 RW.001 , kalibagor Banyumas </t>
  </si>
  <si>
    <t>Jl. Laks. Yos Sudarso V.a RT.006 RW.006 Sidorejo Salatiga</t>
  </si>
  <si>
    <t>Jl. Seudati II Blok C/23 P4A RT.004 RW 011, Pudakpayung, Banyumanik -Semarang</t>
  </si>
  <si>
    <t>Jl.Pucang Peni I no.3 RT.002 RW.011 Batursari Meranggen Kab.Demak</t>
  </si>
  <si>
    <t>Jl.Teuku Umar 106B RT.001 RW.004 Tinjomulyo Banyumanik Semarang</t>
  </si>
  <si>
    <t>Karangrejo IV/3 RT.005 RW.007  Srondol Wetan Banyumanik, Semarang</t>
  </si>
  <si>
    <t>JL. Jangli Perbalan No.60 RT.009 RW.006 Ngesrep Banyumanik, Semarang</t>
  </si>
  <si>
    <t>Jl. Karonsih Timur VI /139 RT.003 RW.005 Ngaliyan Semarang</t>
  </si>
  <si>
    <t>Wonolopo RT 2 RW 8 wonolopo Mijen, Semarang 50215</t>
  </si>
  <si>
    <t>Jl.Cemara 6/12C RT.001 RW.008 Padangsari , Banyumanik</t>
  </si>
  <si>
    <t>Jl.Trangkil RT.003 RW.002 Ngesrep Banyumanik , Semarang</t>
  </si>
  <si>
    <t>Jl. Abd. Rahman Saleh 268 RT.006 RW.010 Manyaran Semarang Barat</t>
  </si>
  <si>
    <t>Jl. Rasamala Barat I No. 168 RT.001 RW.004, Srondol Wetan, Banyumanik, Semarang</t>
  </si>
  <si>
    <t>Jl. Seruni 1 no 70 Kel Telogosari Kec Pedurungan Semarang</t>
  </si>
  <si>
    <t>JL.  Karang rejo No 78 Rt07 RW02 Kel Karang Rejo Kec Gajah Mungkur Smg</t>
  </si>
  <si>
    <t>Pedukuhan VIII RT.032 RW.016  Gotakan, Panjatan, Kulon Progo</t>
  </si>
  <si>
    <t>Patoman No.579 RT.003 RW.004  Kranggan Ambarawa Kab.Semarang</t>
  </si>
  <si>
    <t>Jl Panasan VI/7 Rt03 Rw013 Beji Ungaran Semarang</t>
  </si>
  <si>
    <t>Jl. Panasan V/14 RT.003 RW.013  Beji Ungaran</t>
  </si>
  <si>
    <t>Pakintelan RT.003 RW.002  Pakintelan, Gunungpati Semarang</t>
  </si>
  <si>
    <t>Kesatrian G-3Jatingaleh Candisari Semarang</t>
  </si>
  <si>
    <t xml:space="preserve">Bukit Cempaka III Blok C no.203 RT.001 RW.021 Sendangmulyo </t>
  </si>
  <si>
    <t>Jl Wonodri Krajan II/454-A Rt05 Rw 01 Wonodri Semarang</t>
  </si>
  <si>
    <t xml:space="preserve">Dk Kedungpane RT.001 RW.002 , Kedungpane, Mijen </t>
  </si>
  <si>
    <t>Tlogorejo, RT.002 RW.003 Tegowanu</t>
  </si>
  <si>
    <t>Jl Candi Tembaga Selatan 98 Rt 12 Rw 05 Kalipancur Ngalian Semarang</t>
  </si>
  <si>
    <t>Jl.Karangrejo V, Karangrejo Asri B3  RT.003 Rw.003 Banyumanik,  Semarang</t>
  </si>
  <si>
    <t xml:space="preserve">Jl.Ngesrep Barat V No.31-32 RT.008 RW.008 Srondol Kulon Banyumanik Semarang </t>
  </si>
  <si>
    <t>Jl Albesia No 43/961 Rt03 Rw 08 Plamongansari Pedurungan Smg</t>
  </si>
  <si>
    <t>Jl Candi Penataran I Rt 08. Rw 03 Kalipancur Ngalian Smg</t>
  </si>
  <si>
    <t>Jl. Pucang Anom Timur III/ 10 RT.003 RW.020 Batursari  Mranggen Kab.Demak</t>
  </si>
  <si>
    <t>Karangrejo selatan VI No.20  RT.001 RW.007 Tinjomoyo Banyumanik, Semarang</t>
  </si>
  <si>
    <t>Puri Gedawang Indah Blok E.26 Gedawang, Banyumanik, Semarang</t>
  </si>
  <si>
    <t>Jl.Panasan VI/15 RT.003 RW.013 Beji Ungaran Kab.Semarang</t>
  </si>
  <si>
    <t>Plamongan Indah Blok H4 No.14 RT.006 RW.031 Batursari Mranggen Demak</t>
  </si>
  <si>
    <t>Perum Rumpun Diponegoro Jl Elang II/B-37 Rt05 Rw04 Mangunharjo Tembalang Smg</t>
  </si>
  <si>
    <t>Jangli Krajan Rt.004 RW.006 Karanganyar Gunung Candisari, Semarang</t>
  </si>
  <si>
    <t>Dusun Tanduran RT.003 RW.001 Madyocondro Secang</t>
  </si>
  <si>
    <t>Jl. Maospati Raya no.25 RT.004 RW.013 Beji Ungaran Timur</t>
  </si>
  <si>
    <t>Jl.Maos Pati Raya No.27 RT.004 RW.013 Beji Ungaran kab.Semarang</t>
  </si>
  <si>
    <t>Gemahsari V No.178 RT.001 RW.004 Kedungmundu, Tembalang, Semarang</t>
  </si>
  <si>
    <t>Jl.Candi Mutiara Timur IV/1326 RT.012 RW.006 Kalipancur Ngaliyan, Semarang</t>
  </si>
  <si>
    <t>Jl. Sumbawa VI/241 RT.005 RW. 009, Gedanganak, Ungaran Timur</t>
  </si>
  <si>
    <t>Jl.Kenanga Raya 28 Rejosari RT.005 RW.002 Genuk Ungaran</t>
  </si>
  <si>
    <t>Beringin Kulon RT.003 RW.009 Tambakaji Ngaliyan Semarang</t>
  </si>
  <si>
    <t>Jl.Sido Mukti I/8 RT.005 RW.018 Muktiharjo Kidul Pedurungan Semarang</t>
  </si>
  <si>
    <t>Patosan RT.001 RW.008 Sedayu Muntilan Kab.Magelang</t>
  </si>
  <si>
    <t>Pandana Merdeka Blok.P47  RT.005 RW.003 Bringin Ngaliyan Semarang</t>
  </si>
  <si>
    <t>Kepodang Barat VI/91 RT.001 RW.010 Pudakpayung,Banyumanik</t>
  </si>
  <si>
    <t>Jl.Candi Mutiara Selatan II/333 RT.004 RW.006 Kalipancur Ngaliyan Semarang</t>
  </si>
  <si>
    <t>Jln.Candi Pawon VI/25 RT.001RW.003 Kalipancur, Ngaliyan, Semarang</t>
  </si>
  <si>
    <t>Pakisdadu RT.017 RW.009Rejosari Pringsurat Temanggung</t>
  </si>
  <si>
    <t>Tembalang RT.003 RW.004 Tembalang, Semarang</t>
  </si>
  <si>
    <t>Tegalmelik RT.003 RW.002 Gebugan Bergas Kab.Semarang</t>
  </si>
  <si>
    <t>Jl. Waru Timur II RT.009 RW.001Pedalangan Banyumanik, Semarang</t>
  </si>
  <si>
    <t>Genuk Krajan RT.002 RW.004Tegal Sari, Candi Sari Semarang</t>
  </si>
  <si>
    <t>Jl.Kepodang Timur V Kav.B No.200 RT.006 RW.012 Pudakpayung Banyumanik Semarang</t>
  </si>
  <si>
    <t>Perum Puri Babatan Asri Rt04 Rw04 Beji Ungaran Semarang</t>
  </si>
  <si>
    <t>Jl Megaraya No 220 Rt03 Rw07 Bringin Ngalian Semarang</t>
  </si>
  <si>
    <t>Medang lestari D I G 6 Rt03 Rw01 Medang Pagedangan Tangerang</t>
  </si>
  <si>
    <t>Jl.Brantas I No.4 RT.002 RW.013 Beji Ungaran Timur</t>
  </si>
  <si>
    <t>Jl Candi Prambanan IV No 1507 Rt01.RW 10 Kalipancur Ngalian semarang</t>
  </si>
  <si>
    <t>Kanginan 10 RT.005 RW.001 Ketabang Genteng Surabaya</t>
  </si>
  <si>
    <t>Jl. Margoyoso VI No.7 RT.008 RW.004 Tambakaji-Ngaliyan</t>
  </si>
  <si>
    <t>Tambangan RT.001 RW.001 Tambangan, Mijen Semarang</t>
  </si>
  <si>
    <t>Jl.Mendut Utara III/55 RT.003 RW.005 Manyaran Semarang Barat</t>
  </si>
  <si>
    <t>Wonodri Kopen Timur III/7 RT.007  RW.004 Wonodri Semarang Selatan</t>
  </si>
  <si>
    <t>Jl. Yudistira V/No.08 RT.002 RW.010 Lerep, Ungaran Barat, Kab. Semarang</t>
  </si>
  <si>
    <t>Tenggak RT.017 , Tenggak Sidoharjo Kab.Sragen</t>
  </si>
  <si>
    <t>Jl.Raya Ngemplak RT.010 RW.001 Ngemplak Mranggen Demak</t>
  </si>
  <si>
    <t>Jl.Saudati Blok C No.9a P4aRT.004 RW.011  Pudakpayung Banyumanik Semarang</t>
  </si>
  <si>
    <t>Kmp. Empangsari No.B26 RT 001 RW.010, Rancaekek wetan-Rancaekek, Bandung</t>
  </si>
  <si>
    <t>Limuspratama Regency M5/17 RT.003 RW.006 Limusnunggal Cilengsih Kab.Bogor</t>
  </si>
  <si>
    <t>Jl.Puspowarno Selatan II/19A RT.002 RW.005 Salaman mloyo Semarang Barat</t>
  </si>
  <si>
    <t>Griya Payung Asri Kav.105 RT.008 RW.013 Pudakpayung  Banyumanik Semarang</t>
  </si>
  <si>
    <t>Jl.Srikandi Blok Q No.4 Griya Japan Raya RT.004 RW.011 Japan, Sooko Kab.Mojokerto</t>
  </si>
  <si>
    <t xml:space="preserve">Jl. Sendang Utara III RT.002 RW.007 Gemah PedurunganSemarang </t>
  </si>
  <si>
    <t>Jragung RT.004 RW. 002 Jogotirto Berbah Kab. Sleman</t>
  </si>
  <si>
    <t>Jl.Randusari RT.004 RW.002 Nongkosawit Gunung Pati , Semarang</t>
  </si>
  <si>
    <t>Perum Rinenggo Asri I/D-94 Payung Mas Rt 06 Rw 14 Pudak Payung Banyumanik Semarang</t>
  </si>
  <si>
    <t>Jl.Candi Penataran Utara I RT.002 RW.012 Kalipancur Ngaliyan</t>
  </si>
  <si>
    <t xml:space="preserve">Karangrejo IV RT.002 RW.002 Karangrejo, Gajah Mungkur, Semarang </t>
  </si>
  <si>
    <t>Kalibening RT.003 RW.001 Tirtomartani, Kalasan Sleman, Yogyakarta</t>
  </si>
  <si>
    <t>Penaruban RT.003 RW.007 WeleriKab.Kendal</t>
  </si>
  <si>
    <t>Jl.Kamiluto IX/7 RT.001 RW.021Muktiharjo Kidul, PedurunganSemarang</t>
  </si>
  <si>
    <t>Ds. Plangitan RT.004 RW.001 Plangitan Kab.Pati</t>
  </si>
  <si>
    <t>Perum Gedwang Permai Blok E4RT.003 RW.004 Gedawang Banyumanik Semarang</t>
  </si>
  <si>
    <t>Gergaji Balekambang 29 RT.004 RW.007 Mugasari Semarang Selatan</t>
  </si>
  <si>
    <t>Kp.Kalipancur RT.003 RW.003 Bambankerep Ngaliyan Semarang</t>
  </si>
  <si>
    <t>Jl Mugas DalamVI/14Rt 08 Rw 03 Mugassari Semarang</t>
  </si>
  <si>
    <t>Komp.Jaka Kencana A/86 RT.002  RW.004 Jaka Setya Bekasi Selatan</t>
  </si>
  <si>
    <t>Jl.Parikesit Raya RT.010 RW.002 Banyumanik Semarang</t>
  </si>
  <si>
    <t>Randusari RT.005 RW.005 Tambak Mojosongo Boyolali</t>
  </si>
  <si>
    <t>Jl Sri Rejeki Timur III No 246 Rt 05 Rw 06 Gisik Drono Semarang</t>
  </si>
  <si>
    <t xml:space="preserve">Jl.Argo Mulyo Mukti III/D-137 RT.001 RW.010 Tlogomulyo, Pedurungan </t>
  </si>
  <si>
    <t>Medoho Indah BL.A No.5 RT.009 RW.008 Gayamsari Semarang</t>
  </si>
  <si>
    <t>Perum Ungaran Baru A.133 RT.002 RW.012 Leyangan Ungaran Timur</t>
  </si>
  <si>
    <t>Jl.Mulawarman Raya No.7 RT.002 RW.004 Pedalangan Banyumanik Semarang</t>
  </si>
  <si>
    <t>Jln.Darmo Indah Sel 1/MM-11 RT.001 RW.005 Tandes</t>
  </si>
  <si>
    <t>Jl.Medoho Ria no.33 RT.001 RW.005 Sambirejo GayamsariSemarang</t>
  </si>
  <si>
    <t>Jl Bangun Harjo II/39 RT 08 Rw 03Kedung Mundu Tembalang</t>
  </si>
  <si>
    <t>Jl.Sinar Mas IV/972C RT.012  RW.001 Kedungmundu Tembalang</t>
  </si>
  <si>
    <t>Jl.Panasan V/3 RT.003 RW.003 Beji Ungaran Timur</t>
  </si>
  <si>
    <t>Jl.Seudati II Blok C12 P.4A RT.004 RW.011 Pudakpayung BanyumanikSemarang</t>
  </si>
  <si>
    <t>Griya Payung Asri Kav.93 RT.003 RW.006 Pudakpayung Banyumanik Semarang</t>
  </si>
  <si>
    <t>Jl.Durian Dalam II BL.A No.28  RT.006 RW.001 Srondol Wetan Banyumanik Semarang</t>
  </si>
  <si>
    <t>Kp.Cibening RT.006 RW.002  Jatibening Baru Pondok Gede Kota Bekasi</t>
  </si>
  <si>
    <t xml:space="preserve">Jl.Kerja bakti 4  RT.001 RW.007 Makasar Jakarta Timur </t>
  </si>
  <si>
    <t>Kalialang Lama RT.004 RW.001 Sukorejo Gunung Pati Semarang</t>
  </si>
  <si>
    <t>Jl.Gambyong II F/16 Perum.P4A RT.007 RW.011 Pudakpayung Banyumanik Semarang</t>
  </si>
  <si>
    <t>Perum Sendang Gede Indah No.34 RT.009 RW.002 Banyumanik Semarang</t>
  </si>
  <si>
    <t>Kretek RT.008 RW.008 Lerep Ungaran Barat</t>
  </si>
  <si>
    <t>Puri Dinar Elok C4 No.5 RT.008RW.020 Meteseh Tembalang Semarang</t>
  </si>
  <si>
    <t>Jl. Rorojonggrang XIX RT.004 RW.010 Manyaran ,  Semarang Barat</t>
  </si>
  <si>
    <t>Jl.Muria No.12 RT.003 RW.007 Bendan Pekalongan Barat</t>
  </si>
  <si>
    <t>Puri Dinar Elok H5 No.5 RT.006 RW.021 Meteseh Tembalang Semarang</t>
  </si>
  <si>
    <t>Jl Gaharu barat dalam IV/203 Banyumanik Semarang</t>
  </si>
  <si>
    <t>Jl delikrejo Rt 07 Rw 11 Tandang Kec  Tembalang Semarang</t>
  </si>
  <si>
    <t>Puri Asri Jl.Merdeka III No.16  RT.004 RW.004 Beji Ungaran Timur</t>
  </si>
  <si>
    <t>Puri Dinar Elok F13 No.2 RT.008 RW.021 Meteseh Tembalang Semarang</t>
  </si>
  <si>
    <t>Menowo 397 RT.006 RW.003 Kedungsari Magelang Utara</t>
  </si>
  <si>
    <t>Mantren RT.009 RW.003 Mantren Karangrejo Kab.Magetan</t>
  </si>
  <si>
    <t>Bojanegara RT.001 RW.004 Bojanegara Padamara Purwalingga</t>
  </si>
  <si>
    <t>Perum P4 A Bl C1 No 20 Rt 10 Rw 11 Pudakpayung Banyumanik semarang</t>
  </si>
  <si>
    <t>Perum Kutilang Sari 3 RT.008 RW.004 Susukan Ungaran Timur</t>
  </si>
  <si>
    <t>Kemiri Lor RT.002 RW.003 , Kemiri Lor, Kemiri, Kab.Purworejo</t>
  </si>
  <si>
    <t xml:space="preserve">Duta Bintaro Blok D 16/9 RT.006 RW.008 Kunciran,Pinang, Tangerang </t>
  </si>
  <si>
    <t>Ds Kenangkan Rt 06 Rw 07 Bergas Kidul Bergas Semarang</t>
  </si>
  <si>
    <t>Mutiara gading Timur Blok H-5 No 30 Bantar Gebang Bekasi</t>
  </si>
  <si>
    <t>Jl Wonodri Krajan Rt 04./01 Wonodri semarang</t>
  </si>
  <si>
    <t>Jl.Jatiluhur No.256 RT.003 RW.005 Ngesrep Banyumanik</t>
  </si>
  <si>
    <t>Pondok Jangli Indah No.9 RT.008RW.001 Jangli Tembalang  Semarang</t>
  </si>
  <si>
    <t>Jl Ngesrep Timur III No 32 Rt 09 Rw 01 Sumurboto Banyumanik Semarang</t>
  </si>
  <si>
    <t>Jl.Dr.Kariadi 531 RT.003 RW.006 Randusari Semarang Selatan</t>
  </si>
  <si>
    <t>Dusun Krajan RT.002 RW.002 Bebengan Boja Kab.Kendal</t>
  </si>
  <si>
    <t>Jl.Merbau I No.16 RT.005 RW.007 Padangsari Banyumanik, Semarang</t>
  </si>
  <si>
    <t>Jl Kalilangse No 837 Rt 07 Rw 03  Gajah Mungkur Semarang</t>
  </si>
  <si>
    <t>Jl.Rorojonggrang Timur X RT.008 RW.010 Manyaran Semarang Barat</t>
  </si>
  <si>
    <t>Jl.anjasmoro VI/41 RT.007 RW.003 Karangayu Semarang Barat</t>
  </si>
  <si>
    <t>Genuk Karanglo RT.006 RW.008 Tegalsari Candisari Semarang</t>
  </si>
  <si>
    <t>Jl kaliwiru VI No 459 RT 06 Rw 02Candisari Semarang</t>
  </si>
  <si>
    <t>Jl. Sriyatno Dalam no.20 RT.006 RW.004 Purwoyoso Ngaliyan Semarang</t>
  </si>
  <si>
    <t>Jl.Pamularsih Dalam I/1 RT.001 RW.009 Bojongsalaman Semarang Barat</t>
  </si>
  <si>
    <t>Perum Griya Payung Asri Kav.37 RT.001 RW.016 Pudak Payung Banyumanik Semarang</t>
  </si>
  <si>
    <t>Jl Satria Selatan V Bl H No 362A Rt 08 Rw 04 Plombokan Semarang</t>
  </si>
  <si>
    <t>Jl.Kruwing Barat Dalam II/59 RT.002 RW.003 Srondol Wetan Banyumanik Semarang</t>
  </si>
  <si>
    <t>JL. WOLOGITO BARAT XIII/I RT 003/005 KEMBANG ARUM  SEMARANG BARAT</t>
  </si>
  <si>
    <t>Perum Griya Payung Asri Kav.64 RT.001 RW.016 Pudak Payung Banyumanik Semarang</t>
  </si>
  <si>
    <t>Jl.Perintis Kemerdekaan No.30 RT.001 RW.003 Pudakpayung Banyumanik Semarang</t>
  </si>
  <si>
    <t>Kintelan Lor RT.003 RW.003 Candi Rejo Tuntang Semarang</t>
  </si>
  <si>
    <t>Jl.Seudati II Blok C16 P4A RT.004 RW.011 Pudakpayung Banyumanik</t>
  </si>
  <si>
    <t>Dsn. Jambu Lor RT.006 RW.001 Jambu Kab.Semarang</t>
  </si>
  <si>
    <t>Dusun Kauman  RT.003 RW.005, Timpik, Susukan, Kab. Semarang</t>
  </si>
  <si>
    <t>Jl.Saguling DC No.43 RT.003  RW.012 , Jaka Sampurna ,Bekasi Barat</t>
  </si>
  <si>
    <t>Jl.Tmn Borobudur Utara RT.003 RW.010 Kembangarum Semarang Barat</t>
  </si>
  <si>
    <t xml:space="preserve"> JL. Karonsih Timur IX / 344 Ngaliyan Semarang</t>
  </si>
  <si>
    <t>JL. Merdeka III / B 13 Perum Asri Beji Ungaran</t>
  </si>
  <si>
    <t xml:space="preserve">P4A  Blok F-123 JL Gambyong 007/011 Semarang </t>
  </si>
  <si>
    <t>Perum Polri Durenan Indah Rt 03 Rw 06 Mangunharjo Tembalang Semarang</t>
  </si>
  <si>
    <t>JL. Jomblang Barat 520 RT.004 RW.003  Candi,Candisari Semarang</t>
  </si>
  <si>
    <t>JL. pondok raden patah BL.C no.27 RT.001 RW.003 Sriwulan Sayung Demak</t>
  </si>
  <si>
    <t>JL. Damar Utara III/201 RT.003RW.007 Pedalangan Banyumanik Semarang</t>
  </si>
  <si>
    <t>Jln. Jati Barat Raya 281 RT.005 RW.006 Srondol Wetan Banyumanik Semarang</t>
  </si>
  <si>
    <t>Jl. Ngesrep Barat IV RT.007 RW.008 Srondol Kulon Banyumanik</t>
  </si>
  <si>
    <t>JL. Gaharu Utara III/52 Banyumanik Semarang</t>
  </si>
  <si>
    <t>JL. Tlogo Mulyo Pesona Asri II blok F.11</t>
  </si>
  <si>
    <t>Dk Mirenglor Rt 07 Rw 03 Mireng Trucuk Klaten Jawa tengah</t>
  </si>
  <si>
    <t>NON OPERASIONAL</t>
  </si>
  <si>
    <t>OPERASIONAL</t>
  </si>
  <si>
    <t>Karyawan Kontrak</t>
  </si>
  <si>
    <t>STATUS KELUARGA</t>
  </si>
  <si>
    <t>MANYUK IRWAN DANUS</t>
  </si>
  <si>
    <t>MASA</t>
  </si>
  <si>
    <t>KERJA</t>
  </si>
  <si>
    <t>Jl. Pang Hidayat 12 RT 7 RW 2 Bulu sidokare Sidoarjo - Jawa Timur</t>
  </si>
  <si>
    <t>BAGUS CAHYA AB</t>
  </si>
  <si>
    <t>Villa Nusa Indah Blok W. 27/7 Bojong Kulur , Gunung Putri</t>
  </si>
  <si>
    <t xml:space="preserve">SATPAM </t>
  </si>
  <si>
    <t xml:space="preserve">DRIVER </t>
  </si>
  <si>
    <t>PUL TOL</t>
  </si>
  <si>
    <t>AMBULANS</t>
  </si>
  <si>
    <t>M</t>
  </si>
  <si>
    <t>08.862.974.6-517.000</t>
  </si>
  <si>
    <t>14.260.831.4-606.000</t>
  </si>
  <si>
    <t>GRADE</t>
  </si>
  <si>
    <t>ASSISTANT MANAGER TAX AND ACCOUNTING</t>
  </si>
  <si>
    <t>ARI MULADI</t>
  </si>
  <si>
    <t>Senior Officer General Ledger &amp; reporting</t>
  </si>
  <si>
    <t>DEPARTEMEN HR &amp; GA (SEKSI HR AND ADMINISTRATION)</t>
  </si>
  <si>
    <t>Villa Nusa Indah, Vila Nusa Indah II Blok Y. 15/5, RT. 05 RW 24 Bogor 16969</t>
  </si>
  <si>
    <t xml:space="preserve">Jl.Candi PrambananTengah V/731A RT.0098RW.011 Kalipancur, Ngaliyan, Semarang </t>
  </si>
  <si>
    <t>TIDAK TETAP</t>
  </si>
  <si>
    <t>MASA BAKTI</t>
  </si>
  <si>
    <t>VII</t>
  </si>
  <si>
    <t>IMAM SUROSO</t>
  </si>
  <si>
    <t>Perum Citra Lestari Blok B No. 5 RT 3 RW 3, Bandung barat- Jawa Barat</t>
  </si>
  <si>
    <t>E.3</t>
  </si>
  <si>
    <t>1.C</t>
  </si>
  <si>
    <t>2.C</t>
  </si>
  <si>
    <t>4.C</t>
  </si>
  <si>
    <t>3.C</t>
  </si>
  <si>
    <t>1.B</t>
  </si>
  <si>
    <t>O2.C</t>
  </si>
  <si>
    <t>O2.B</t>
  </si>
  <si>
    <t>O3.A</t>
  </si>
  <si>
    <t>O3.B</t>
  </si>
  <si>
    <t>O3.C</t>
  </si>
  <si>
    <t>O1.B</t>
  </si>
  <si>
    <t>O1.C</t>
  </si>
  <si>
    <t>PENDIDIKAN YANG DIMILIKI</t>
  </si>
  <si>
    <t>CDP</t>
  </si>
  <si>
    <t xml:space="preserve">HRA </t>
  </si>
  <si>
    <t>FIN</t>
  </si>
  <si>
    <t>BUD</t>
  </si>
  <si>
    <t>MA</t>
  </si>
  <si>
    <t>ME</t>
  </si>
  <si>
    <t>TM</t>
  </si>
  <si>
    <t>TCM</t>
  </si>
  <si>
    <t>OP</t>
  </si>
  <si>
    <t xml:space="preserve">TAX </t>
  </si>
  <si>
    <t>DGM
FIN</t>
  </si>
  <si>
    <t>DGM
OP</t>
  </si>
  <si>
    <t>HRA</t>
  </si>
  <si>
    <t>TAX</t>
  </si>
  <si>
    <t>HRGA</t>
  </si>
  <si>
    <t>Pengemudi</t>
  </si>
  <si>
    <t>Senior Officer Preparation &amp; Budgetary Control</t>
  </si>
  <si>
    <t>CK.SPK.088</t>
  </si>
  <si>
    <t>10 Juli 2015</t>
  </si>
  <si>
    <t>CK.SPK.087</t>
  </si>
  <si>
    <t>ZULKARNAIN ADIYASA</t>
  </si>
  <si>
    <t>47.722.285.5-112.000</t>
  </si>
  <si>
    <t>Jl. Ciamis Timur No 16 Belawan Medan 20241 Sumatera Utara</t>
  </si>
  <si>
    <t>R. KRISTIANTO</t>
  </si>
  <si>
    <t>DEDY IKA KARTIWA</t>
  </si>
  <si>
    <t>THOMAS DWIATMANTO H</t>
  </si>
  <si>
    <t>ALVIN ANDITUAHTA SINGARIMBUN</t>
  </si>
  <si>
    <t>143.651.008.432.000</t>
  </si>
  <si>
    <t>Perum Mandosi Permai Blok D No. 19 RT 32 RW 07 Jatiluhur Bekasi Jawa Barat</t>
  </si>
  <si>
    <t>383.127.420.4.09.000</t>
  </si>
  <si>
    <t>Kopo Permai Blok I No. 177 RT 16 RW 06 Cikopo Purwakarta</t>
  </si>
  <si>
    <t>SEPTEMBER</t>
  </si>
  <si>
    <t>PANGKALAN BUN</t>
  </si>
  <si>
    <t>Kp.Tanah 80 No.32-B, RT. 05 RW. 09 Klender,  Duren Sawit, Jakarta Timur-13470</t>
  </si>
  <si>
    <t>Jl. HM. Rafi'i No.8, RT. 023 RW. 005 Madurejo, Kotawaringin Barat, KALIMANTAN TENGAH</t>
  </si>
  <si>
    <t>ADIB ROFIUDIN</t>
  </si>
  <si>
    <t>Salatiga</t>
  </si>
  <si>
    <t>Perum Sendang Mulyo F.74 RT 04 RW 24 tembalang</t>
  </si>
  <si>
    <t>DIII</t>
  </si>
  <si>
    <t>BAGAS A</t>
  </si>
  <si>
    <t>OCTA WISHNU SAPUTRA</t>
  </si>
  <si>
    <t>DAFTAR TENAGA KERJA  PT JL0</t>
  </si>
  <si>
    <t>PT JASA MARGA (PERSERO) Tbk</t>
  </si>
  <si>
    <t>Pengemudi Shutle</t>
  </si>
  <si>
    <t>Pengemudi Water Tangki</t>
  </si>
  <si>
    <t>OUTSOURCING PARAMEDIS</t>
  </si>
  <si>
    <t>OUTSOURCING PENGEMUDI POOL, SHUTLE, WATER TANGKY DAN AMBULAN</t>
  </si>
  <si>
    <t>DIMAS MARGONO  ( KORDINATOR )</t>
  </si>
  <si>
    <t>JL. Garuda I RT 01 RW 22 Narogong Indah D 72/2, Pengasinan - Bekasi Timur</t>
  </si>
  <si>
    <t>HERI GUNARTO</t>
  </si>
  <si>
    <t>Banjarnegara</t>
  </si>
  <si>
    <t>Jl. Damar Barat III/ 81 Banyumanik Semarang</t>
  </si>
  <si>
    <t>SE</t>
  </si>
  <si>
    <t>Traffic Management Manager</t>
  </si>
  <si>
    <t>CK.SPK.26.1</t>
  </si>
  <si>
    <t>31 Maret 2016</t>
  </si>
  <si>
    <t>HELVIAR SAPUTRA</t>
  </si>
  <si>
    <t>Jl. Sentiaki Baru III RT 7 RW 8 Bulu Lor - Semarang</t>
  </si>
  <si>
    <t>Jl. Karang Anyar Gunung Rt.01/01 Candisari, Semarang</t>
  </si>
  <si>
    <t>IKHZAN YOGANANTO PUTRA</t>
  </si>
  <si>
    <t>Yogyakarta</t>
  </si>
  <si>
    <t>Ponggol II RT 2 RW 1 Kel. Grabag - Kab. Magelang</t>
  </si>
  <si>
    <t>Jl. Dworowati Raya 24 Rt 04/Rt 08 Krobokan - Semarang</t>
  </si>
  <si>
    <t>Jl. Doplang Krajan RT 05/03 Bawen, Semarang</t>
  </si>
  <si>
    <t>RIFKA ARYANSYACH PARAMITA</t>
  </si>
  <si>
    <t>Jl. Cipinang Empang No. 6, RT. 003 RW. 015</t>
  </si>
  <si>
    <t>DGM
HRGA</t>
  </si>
  <si>
    <t xml:space="preserve">NPP </t>
  </si>
  <si>
    <t>NOMOR SK / SURAT</t>
  </si>
  <si>
    <t>KETERANGAN</t>
  </si>
  <si>
    <t>DATA KARYAWAN CUTI SAKIT, PENSIUN, PROMOSI, MUTASI, ROTASI</t>
  </si>
  <si>
    <t>DGM HR and GA</t>
  </si>
  <si>
    <t>TENAGA KERJA AWAL TAHUN</t>
  </si>
  <si>
    <t xml:space="preserve">TENAGA KERJA AWAL TAHUN - TENAGA KERJA AKHIR TAHUN </t>
  </si>
  <si>
    <t>Senior Officer HR Data and Administration</t>
  </si>
  <si>
    <t>Senior Officer Domesticity and Work Utillities</t>
  </si>
  <si>
    <t>Senior Officer Services Procurement</t>
  </si>
  <si>
    <t>Senior Officer Community Development</t>
  </si>
  <si>
    <t>Senior Officer Administration and Financial Reporting</t>
  </si>
  <si>
    <t>Pengemudi Shutlle</t>
  </si>
  <si>
    <t>SARIJO</t>
  </si>
  <si>
    <t>Perum Asabri Indah Blok L2/25 Jati Luhur - Bekasi  17425</t>
  </si>
  <si>
    <t>ARI HARTANTO</t>
  </si>
  <si>
    <t>Dsn KD Gempol RT 05 RW 03 Kel. Tanggungharjo, Kab. Grobogan</t>
  </si>
  <si>
    <t>JOHAN TEGUH PAMBUDI</t>
  </si>
  <si>
    <t>DI
TANG
GUNG</t>
  </si>
  <si>
    <t>DI
MI
LI
KI</t>
  </si>
  <si>
    <t>ZAIMIL</t>
  </si>
  <si>
    <t>AGUS BUDIYANA</t>
  </si>
  <si>
    <t>CHATARINA CAHYANING T</t>
  </si>
  <si>
    <t>NPP. 04067</t>
  </si>
  <si>
    <t>NPP. 09550</t>
  </si>
  <si>
    <t xml:space="preserve"> JL. Sevilla Utama Blok T 26/04 Rt  003/007 Desa Ciakar Kec Panongan Tangerang Banten</t>
  </si>
  <si>
    <t>09.844.538.0-451.000</t>
  </si>
  <si>
    <t>Dayung III C No. 7 RT 004/ RW 006 Kelapa Dua Kabupaten Tangerang Banten</t>
  </si>
  <si>
    <t>Senior Officer Compensation &amp; Welfare</t>
  </si>
  <si>
    <t>Senior Officer  Public Relations</t>
  </si>
  <si>
    <t>AGUS PRIYANTO</t>
  </si>
  <si>
    <t>47.722.923.1.112.000</t>
  </si>
  <si>
    <t>TEDDY ROSADY</t>
  </si>
  <si>
    <t>Kebon Nanas RT 004 RW 002 Pananggungan Utara Kec Pinang Tangerang Banten</t>
  </si>
  <si>
    <t>47.800.818.8-008.000</t>
  </si>
  <si>
    <t>Jl. Mawar Merah VI/6 No 12 RT 007 RW 007 Malaka Jaya Duren Sawit Jakarta Timur</t>
  </si>
  <si>
    <t>TANABANG</t>
  </si>
  <si>
    <t xml:space="preserve"> CHATARINA CAHYANING TRIWIDANTI</t>
  </si>
  <si>
    <t>ASSISTANT MANAGER HR &amp; ADMINISTRATION</t>
  </si>
  <si>
    <t>REALISASI PEMENUHAN KEBUTUHAN KARYAWAN</t>
  </si>
  <si>
    <t>FORMASI JM</t>
  </si>
  <si>
    <t>RENCANA</t>
  </si>
  <si>
    <t>REALISASI</t>
  </si>
  <si>
    <t>+/-</t>
  </si>
  <si>
    <t>PKWT/PT JLO</t>
  </si>
  <si>
    <t>KONTRAK</t>
  </si>
  <si>
    <t>PT JLO</t>
  </si>
  <si>
    <t xml:space="preserve">KETERANGAN </t>
  </si>
  <si>
    <t>5=3-4</t>
  </si>
  <si>
    <t>Assistant Manager Human Resources &amp; Adm</t>
  </si>
  <si>
    <t>Senior Officer Data and Administration</t>
  </si>
  <si>
    <t>8=6+7</t>
  </si>
  <si>
    <t>9=5+8</t>
  </si>
  <si>
    <t>NPP.04067</t>
  </si>
  <si>
    <t>NPP.  9550</t>
  </si>
  <si>
    <t>Jl.Kawung VII No.28 RT.005 RW.014. Tlogosari Kulon.  Pedurungan, Semarang</t>
  </si>
  <si>
    <t>24.410.015.2-504.000</t>
  </si>
  <si>
    <t>Jl. Erowati Raya No. 60 RT 004 RW 003 Bulu Lor Semarang</t>
  </si>
  <si>
    <t>JL. DUSUN JETIS RT 02 RW 04 DESA KAPENG KECAB TOROH GR</t>
  </si>
  <si>
    <t>59.998.710.3-614.000</t>
  </si>
  <si>
    <t>Pinang Ranti RT 012 / RW 001 Pinang Ranti Makasar</t>
  </si>
  <si>
    <t>49.323.818.2.517</t>
  </si>
  <si>
    <t>09.844.529.9.451.000</t>
  </si>
  <si>
    <t>09024</t>
  </si>
  <si>
    <t>BUDI IDRIAL</t>
  </si>
  <si>
    <t>17.985.680.2-035.000</t>
  </si>
  <si>
    <t>KP. Baru RT 006 / 005 Sukabumi  Selatan Kebon Jeruk Jakarta Barat</t>
  </si>
  <si>
    <t>A.J. DWI WINARSA</t>
  </si>
  <si>
    <t>BUKIT TINGGI</t>
  </si>
  <si>
    <t>Budi Idrial</t>
  </si>
  <si>
    <t xml:space="preserve">Penugasan </t>
  </si>
  <si>
    <t>14.197.393.3-435.000</t>
  </si>
  <si>
    <t>TANGGAL</t>
  </si>
  <si>
    <t>09.661.905.1045.000</t>
  </si>
  <si>
    <t xml:space="preserve"> MASTUR</t>
  </si>
  <si>
    <t>Assistant Manager Management Trainee</t>
  </si>
  <si>
    <t>Assistant Maintenance Execution Manager</t>
  </si>
  <si>
    <t>Assistan Maintenance Execution Manager</t>
  </si>
  <si>
    <t>ASSISTANT MANAGER EXECUTION MANTENANCE</t>
  </si>
  <si>
    <t>46.021.864.7.003.000</t>
  </si>
  <si>
    <t>45.836.106.0.713.000</t>
  </si>
  <si>
    <t>67.663.274.8.008.000</t>
  </si>
  <si>
    <t>08.796.326.0.503.000</t>
  </si>
  <si>
    <t>48.269.200.1.002.000</t>
  </si>
  <si>
    <t>81.541.463.6-503.000</t>
  </si>
  <si>
    <t>Toll Gate Officer</t>
  </si>
  <si>
    <t>APRIMON</t>
  </si>
  <si>
    <t>Jl.Galungan 3/83 RT.002 RW.006 Krapyak,Semarang Barat</t>
  </si>
  <si>
    <t>HR &amp; Administration Manager</t>
  </si>
  <si>
    <t>47.800.910.3-411.000</t>
  </si>
  <si>
    <t>Perum Setu Indah Blok V No. 8 Setu Cipayung Jakarta Timur</t>
  </si>
  <si>
    <t>PADANG</t>
  </si>
  <si>
    <t>PENDI SETYO NOGROHO</t>
  </si>
  <si>
    <t>HR and Administration Manager</t>
  </si>
  <si>
    <t xml:space="preserve">Satpam </t>
  </si>
  <si>
    <t>Ambulan</t>
  </si>
  <si>
    <t>Alih Daya</t>
  </si>
  <si>
    <t>Sopir Ambulan</t>
  </si>
  <si>
    <t>Suthle</t>
  </si>
  <si>
    <t>Pool</t>
  </si>
  <si>
    <t>Tangki</t>
  </si>
  <si>
    <t>Pul Tol OS</t>
  </si>
  <si>
    <t>Total</t>
  </si>
  <si>
    <t>Human Resources &amp; Administration Manager</t>
  </si>
  <si>
    <t>O3.D</t>
  </si>
  <si>
    <t xml:space="preserve">Petugas Pratama Layanan Jalan Tol </t>
  </si>
  <si>
    <t>KEP. RIAU</t>
  </si>
  <si>
    <t>WONOSARI</t>
  </si>
  <si>
    <t>KAB.KENDAL</t>
  </si>
  <si>
    <t>STATUS</t>
  </si>
  <si>
    <t>Human Resources &amp; Administration manager</t>
  </si>
  <si>
    <t>Deputy General Manager</t>
  </si>
  <si>
    <t>Manager</t>
  </si>
  <si>
    <t>Asisten Manager(MT)</t>
  </si>
  <si>
    <t>Senior Officer</t>
  </si>
  <si>
    <t>Driver</t>
  </si>
  <si>
    <t>Kepala Shift Pengumpulan Tol/LJT</t>
  </si>
  <si>
    <t>Pengumpul Tol/LJT Utama</t>
  </si>
  <si>
    <t>Pengumpul Tol/LJT Madya</t>
  </si>
  <si>
    <t>Pengumpul Tol/LJT Pratama</t>
  </si>
  <si>
    <t>REKAPITULASI USIA KARYAWAN</t>
  </si>
  <si>
    <t>2021</t>
  </si>
  <si>
    <t>2022</t>
  </si>
  <si>
    <t>2023</t>
  </si>
  <si>
    <t>2026</t>
  </si>
  <si>
    <t>2029</t>
  </si>
  <si>
    <t>2030</t>
  </si>
  <si>
    <t>2032</t>
  </si>
  <si>
    <t>2035</t>
  </si>
  <si>
    <t>2020</t>
  </si>
  <si>
    <t>2018</t>
  </si>
  <si>
    <t>2044</t>
  </si>
  <si>
    <t>2031</t>
  </si>
  <si>
    <t>2019</t>
  </si>
  <si>
    <t>2027</t>
  </si>
  <si>
    <t>2033</t>
  </si>
  <si>
    <t>2025</t>
  </si>
  <si>
    <t>2028</t>
  </si>
  <si>
    <t>2024</t>
  </si>
  <si>
    <t>2034</t>
  </si>
  <si>
    <t>2037</t>
  </si>
  <si>
    <t>REKAPITULASI TAHUN PENSIUN</t>
  </si>
  <si>
    <t>Senior Officer Revenue Controling</t>
  </si>
  <si>
    <t>TAHUN PENSIUN</t>
  </si>
  <si>
    <t>A. BERDASARKAN SK FORMASI :  NOMOR 69.1/KPTS/2013, 62/KPTS/2016 DAN BERITA ACARA NOMOR 06/BA/2017</t>
  </si>
  <si>
    <t>B. FORMASI DILUAR SK  69.1/KPTS/2013, 62/KPTS/2016 DAN BERITA ACARA NOMOR 06/BA/2017</t>
  </si>
  <si>
    <t>Titipan dr Proyek Penambahan Lajur</t>
  </si>
  <si>
    <t>akan dipenuhi dari Petugas Pul Tol</t>
  </si>
  <si>
    <t>penugasan 1-9-2017 s.d 28-2-2018</t>
  </si>
  <si>
    <t>Cuti Panjang</t>
  </si>
  <si>
    <t>Senior Officer Revenue Controlling</t>
  </si>
  <si>
    <t>ANASTASIA ROCHANA (MPP)</t>
  </si>
  <si>
    <t>USIA BULAT</t>
  </si>
  <si>
    <t>TANGGAL LAHIR</t>
  </si>
  <si>
    <t>MULAI KERJA</t>
  </si>
  <si>
    <t>MASA KERJA</t>
  </si>
  <si>
    <t>PENSIUN</t>
  </si>
  <si>
    <t>GOL DARAH</t>
  </si>
  <si>
    <t xml:space="preserve"> Jumlah</t>
  </si>
  <si>
    <t>Daryanto</t>
  </si>
  <si>
    <t>Petugas Pelayanan Informasi &amp; Komunikasi</t>
  </si>
  <si>
    <t>CK.KP11.06.876</t>
  </si>
  <si>
    <t>29-9-2017</t>
  </si>
  <si>
    <t>1-10-2017 s.d 31-03-2018</t>
  </si>
  <si>
    <t>Anjar Budianto</t>
  </si>
  <si>
    <t>Pengumpul Tol Utama</t>
  </si>
  <si>
    <t>039.1/CK.P-6c/2017</t>
  </si>
  <si>
    <t>Cuti Sakit</t>
  </si>
  <si>
    <t>IJASAH DIMILIKI</t>
  </si>
  <si>
    <t>S1 SIPIL</t>
  </si>
  <si>
    <t>DARYANTO (MPP)</t>
  </si>
  <si>
    <t>USIA BLT</t>
  </si>
  <si>
    <t>D3 GIZI</t>
  </si>
  <si>
    <t>S1 EKONOMI</t>
  </si>
  <si>
    <t>Danang Novianto</t>
  </si>
  <si>
    <t>04-09-2017</t>
  </si>
  <si>
    <t>Pengumpul Tol Madya</t>
  </si>
  <si>
    <t>07/CK.P-14/2017</t>
  </si>
  <si>
    <t>01-11-2017</t>
  </si>
  <si>
    <t>per 1 November 2017</t>
  </si>
  <si>
    <t>Adm. Officer</t>
  </si>
  <si>
    <t xml:space="preserve">   </t>
  </si>
  <si>
    <t>Pengumpul Tol Utama GT. Muktiharjo</t>
  </si>
  <si>
    <t>BULAN JANUARI 2018</t>
  </si>
  <si>
    <t>RICKY DWI SAPUTRA</t>
  </si>
  <si>
    <t>19 Th</t>
  </si>
  <si>
    <t>Jl. Sendang Dahlia Rt 03 RW 08 Kec. Tembalang Kel. Sendangguwo Smg</t>
  </si>
  <si>
    <t>HENDY KURNIAWAN</t>
  </si>
  <si>
    <t>22 Th</t>
  </si>
  <si>
    <t>JL. Pc. Santosa Timur I RT 01 RW 30</t>
  </si>
  <si>
    <t>FERIAWAN HUSSAINI ABDILLAH</t>
  </si>
  <si>
    <t>RT 18 RW 04 Kebondalem Kendal</t>
  </si>
  <si>
    <t>RIZKY CANDRA WICAKSONO</t>
  </si>
  <si>
    <t>Ungaran</t>
  </si>
  <si>
    <t>18 Th</t>
  </si>
  <si>
    <t>Kenanga Raya NO. 288 RT 05 RW 02 Genuk Ungaran Barat</t>
  </si>
  <si>
    <t>FAISAL YUNA ADRIAN</t>
  </si>
  <si>
    <t>Margosari RT 04 RW 01 Kec. Limbangan Kab. Kendal</t>
  </si>
  <si>
    <t>RIFKHI ARI MAULANA</t>
  </si>
  <si>
    <t>Pondok Majapahit I RT 07 Rw 05 Mragen Demak</t>
  </si>
  <si>
    <t>JEFRI BAYU AJI</t>
  </si>
  <si>
    <t>Tuntang</t>
  </si>
  <si>
    <t>Candi Rejo RT 02 RW 10 Kalipanggang</t>
  </si>
  <si>
    <t>RAFIF NOTHANIA SHADIQ</t>
  </si>
  <si>
    <t xml:space="preserve">L </t>
  </si>
  <si>
    <t>Asrama Ex Brigif x Janggli RT 05 RW 06</t>
  </si>
  <si>
    <t>MUKLIS HENDRIK SETIAWAN</t>
  </si>
  <si>
    <t>Cilacap</t>
  </si>
  <si>
    <t>20 Th</t>
  </si>
  <si>
    <t>JL. Raya Glempang RT 02/ 04 Kec. Maos Kab. Cilacap</t>
  </si>
  <si>
    <t>RIALDI PRAMANA ORTEGA</t>
  </si>
  <si>
    <t>JL. Sapta Prasetya Utara VIII / 17 Semarang</t>
  </si>
  <si>
    <t>MUHAMMAD FIKRI</t>
  </si>
  <si>
    <t>21 Th</t>
  </si>
  <si>
    <t>Margo Yoso IV RT 06 RW 04 Kecamatan Ngaliyan</t>
  </si>
  <si>
    <t>ADRIAN YULIANTO</t>
  </si>
  <si>
    <t>JL. Candi Pawon IV RT 02 RW 03 Kel. Kalipancur Kec. Ngaliyan</t>
  </si>
  <si>
    <t>OKTAVIAN NUNGKY PRADIPTA</t>
  </si>
  <si>
    <t>19Th</t>
  </si>
  <si>
    <t>JL. Merbau I No. 28 RT 05 RW 07 Semarang</t>
  </si>
  <si>
    <t>KURNIA DWI INDRIANTO</t>
  </si>
  <si>
    <t>JL. Jangli Tlawah RT 06 Rw 05 Kec. Candi Kel. Karanganyar Gunung</t>
  </si>
  <si>
    <t>CANDRA SETIAWAN</t>
  </si>
  <si>
    <t>JL. Candi Pawon VI RT 01 RW 05 Kel. Kalipancur Kec. Ngaliyan</t>
  </si>
  <si>
    <t>BAKHTIAR PRADA ERIANTO</t>
  </si>
  <si>
    <t xml:space="preserve">Villa Gedawang Permai Blok R 8 Kel.Gedawang Kec. Banyumanik Smg </t>
  </si>
  <si>
    <t>ZIDAN HARMY RAMADHAN</t>
  </si>
  <si>
    <t>JL. Flamboyan NO 54 Semarang</t>
  </si>
  <si>
    <t>AGUS SETIAWAN</t>
  </si>
  <si>
    <t>Bogor</t>
  </si>
  <si>
    <t>Ds. Posirangin RT 03 Rw 02 Cileungsi Bogor</t>
  </si>
  <si>
    <t>MOHAMMAD NUR FAIZIN</t>
  </si>
  <si>
    <t>Karanganyar</t>
  </si>
  <si>
    <t>S I</t>
  </si>
  <si>
    <t>JL. Solo Purwodadi Km 11, Kaliapit Tuban</t>
  </si>
  <si>
    <t>FAJAR ADI SETIAWAN</t>
  </si>
  <si>
    <t>DS. Ploso RT 03 RW 01 Kec. Jati Kab. Kudus</t>
  </si>
  <si>
    <t>YOHANES HENRI PINTRA NUGRAHA</t>
  </si>
  <si>
    <t>D I</t>
  </si>
  <si>
    <t>Kalilangse RT 05 RW 03 No 630 Semarang</t>
  </si>
  <si>
    <t>ERI SOFIYANTO</t>
  </si>
  <si>
    <t>Krajan RT 03 Rw 01 Margasari Limbangan Kendal</t>
  </si>
  <si>
    <t>IKA SETYAWARDANINGSIH</t>
  </si>
  <si>
    <t>D III</t>
  </si>
  <si>
    <t>Perum Gemolong Permai RT 11 RW 01 Gemolong Sragen</t>
  </si>
  <si>
    <t>BETA EURICHA LEIBIENAH</t>
  </si>
  <si>
    <t>23 Th</t>
  </si>
  <si>
    <t>JL. Hos Cokrominoto No. 51 RT 02 RW 04 Kudus</t>
  </si>
  <si>
    <t>EVITA FEBRIHABSARI</t>
  </si>
  <si>
    <t>Stonen Timur No. 54 RT 09 RW 09 Semarang</t>
  </si>
  <si>
    <t>NOVITA DIAH EKASARI</t>
  </si>
  <si>
    <t>Jombang</t>
  </si>
  <si>
    <t>JL. Roro Jonggrang Timur x RT 03 RW 10 Manyaran Semarang</t>
  </si>
  <si>
    <t>ARINA MANASIKANA ARAFAH</t>
  </si>
  <si>
    <t>JL. Kembangarum No. 242 RT 03 RW 02 Mranggen Demak</t>
  </si>
  <si>
    <t>HUWAIDA NABILAH</t>
  </si>
  <si>
    <t>JL. Satria Barat II No. 75 RT 03 RW 04 Kel. Plombokan Kec. Smg Utara</t>
  </si>
  <si>
    <t>RIZKY EKA PUSPITA SESOTYANINGTYAS</t>
  </si>
  <si>
    <t>Jl. Merbau I No. 43 RT 01 Rt 07 Banyumanik Semarang</t>
  </si>
  <si>
    <t>ANJAR BUDI PRATAMA</t>
  </si>
  <si>
    <t>RT 04 RW 10 Cndi Rejo Tuntang</t>
  </si>
  <si>
    <t>AUFA RIFQI WIDIARJA</t>
  </si>
  <si>
    <t>JL. Kaliwiru IV No. 451 RT 03 RW 02 Semarang</t>
  </si>
  <si>
    <t>NUR ANNAS RISKIAWAN</t>
  </si>
  <si>
    <t>JL. Candi Penataran XIII RT 03 RW 04 Kalipancur Semarang</t>
  </si>
  <si>
    <t>Agus Romadhon</t>
  </si>
  <si>
    <t>Traffic Information and Com. Officer Wil Timur</t>
  </si>
  <si>
    <t>199/EB.P-6b/2017</t>
  </si>
  <si>
    <t>19-12-2017</t>
  </si>
  <si>
    <t>Ahmad Gufron</t>
  </si>
  <si>
    <t>Andreas Pramono</t>
  </si>
  <si>
    <t>Dedi Hendrawan</t>
  </si>
  <si>
    <t>Edi Gunawan</t>
  </si>
  <si>
    <t>Eko Hery Kartono</t>
  </si>
  <si>
    <t>Heru Nugroho</t>
  </si>
  <si>
    <t>Johannus Iskandar</t>
  </si>
  <si>
    <t>09973</t>
  </si>
  <si>
    <t>Mastur</t>
  </si>
  <si>
    <t>Nur Edi Apriyanto</t>
  </si>
  <si>
    <t>Raharjo</t>
  </si>
  <si>
    <t>Sarnoto</t>
  </si>
  <si>
    <t>Sigit Wahyu Ichtijar</t>
  </si>
  <si>
    <t>Yanes Mevina</t>
  </si>
  <si>
    <t>Gatot Welly R</t>
  </si>
  <si>
    <t>Yunianto</t>
  </si>
  <si>
    <t>Mutasi/rotasi</t>
  </si>
  <si>
    <t>201/EB.P-6b/2017</t>
  </si>
  <si>
    <t>190/EB.P-6b/2017</t>
  </si>
  <si>
    <t>191/EB.P-6b/2017</t>
  </si>
  <si>
    <t>194/EB.P-6b/2017</t>
  </si>
  <si>
    <t>198/EB.P-6b/2017</t>
  </si>
  <si>
    <t>200/EB.P-6b/2017</t>
  </si>
  <si>
    <t>202/EB.P-6b/2017</t>
  </si>
  <si>
    <t>204/EB.P-6b/2017</t>
  </si>
  <si>
    <t>206/EB.P-6b/2017</t>
  </si>
  <si>
    <t>208/EB.P-6b/2017</t>
  </si>
  <si>
    <t>210/EB.P-6b/2017</t>
  </si>
  <si>
    <t>213/EB.P-6b/2017</t>
  </si>
  <si>
    <t>214/EB.P-6b/2017</t>
  </si>
  <si>
    <t>216/EB.P-6b/2017</t>
  </si>
  <si>
    <t>218/EB.P-6b/2017</t>
  </si>
  <si>
    <t>Penugasan 2 Jan - 30 Juni 2018</t>
  </si>
  <si>
    <t>Penugasan PT JLP</t>
  </si>
  <si>
    <t>Penugasan ke PT JLP</t>
  </si>
  <si>
    <t>Tambahan Program Alife 1</t>
  </si>
  <si>
    <t>Djoko</t>
  </si>
  <si>
    <t>Petugas Utama Layanan Jalan Tol</t>
  </si>
  <si>
    <t>01/CK.P-14/2018</t>
  </si>
  <si>
    <t>01-01-2018</t>
  </si>
  <si>
    <t>Daryanto (MPP 1-10-17 s.d 31-03-18)</t>
  </si>
  <si>
    <t>JOHANNES MANCELLY</t>
  </si>
  <si>
    <t>47.801.119.0-009.000</t>
  </si>
  <si>
    <t xml:space="preserve">Jl. Raya Tengah Gang Remaja RT 05 RW 03 Gedong Pasar Rebo Jakarta Timur </t>
  </si>
  <si>
    <t>Semarang,   Maret 2018</t>
  </si>
  <si>
    <t>Semarang ,     Maret i 2018</t>
  </si>
  <si>
    <t>EKO ARDI PRASETYO</t>
  </si>
  <si>
    <t>CK.KJL.096</t>
  </si>
  <si>
    <t>28 Agustus 2017</t>
  </si>
  <si>
    <t>EKA KURNIAWAN SAPUTRA</t>
  </si>
  <si>
    <t>Demak</t>
  </si>
  <si>
    <t>Mangkang Kulon  RT 002/006 Tugu Semarang</t>
  </si>
  <si>
    <t>Januari 2017</t>
  </si>
  <si>
    <t>BULAN :  FEBRUARI  2018</t>
  </si>
  <si>
    <t>MOCHAMAD YULIANTO</t>
  </si>
  <si>
    <t>Jl. Candi Mutiara Selatan II/341 RT04/06 Ngaliyan Semarang</t>
  </si>
  <si>
    <t>AGUNG SETYAWAN</t>
  </si>
  <si>
    <t>Kupang</t>
  </si>
  <si>
    <t>Jl. Candi Prambanan Utara III RT 07/02</t>
  </si>
  <si>
    <t>ANTON  NGATIANTO</t>
  </si>
  <si>
    <t>Jl. Candi Penataran Timur RT 08/04</t>
  </si>
  <si>
    <t>BAGAS SATRI PAMUNGKAS</t>
  </si>
  <si>
    <t>Asrama Penerbad H 60</t>
  </si>
  <si>
    <t>DIAN WAHYU JATI MULYANI</t>
  </si>
  <si>
    <t>Dukuh Brebes RT 01/03 Gelapan, Kec. Gubug Kab Grobongan</t>
  </si>
  <si>
    <t>MUCHLIS HUSNI A</t>
  </si>
  <si>
    <t>Jl. Asrama TNI AD Mrican Blok B</t>
  </si>
  <si>
    <t>RICO EFRIZAL</t>
  </si>
  <si>
    <t xml:space="preserve">Jl. Plewan II RT 04/03 </t>
  </si>
  <si>
    <t>ARI NUGROHO</t>
  </si>
  <si>
    <t>Jl. Karang rejo III/11 RT 02/03 Kec Banyumaniik</t>
  </si>
  <si>
    <t>Semarang,   Maret  2018</t>
  </si>
  <si>
    <t>per 1 Januari 2018</t>
  </si>
  <si>
    <t>Tuti Iriani</t>
  </si>
  <si>
    <t>CK.KP11.06.004</t>
  </si>
  <si>
    <t>01-02-2018</t>
  </si>
  <si>
    <t>01-02-2018 s.d 31-07-2018</t>
  </si>
  <si>
    <t>Tuti Iriani (MPP),Susilo A(Proses Pensiun)</t>
  </si>
  <si>
    <t>persiapan MPP</t>
  </si>
  <si>
    <t>Penugasan ke PT Jalanlayang Cikampek</t>
  </si>
  <si>
    <t>PERIODE MARET 2018</t>
  </si>
  <si>
    <t>BULAN MARET 2018</t>
  </si>
  <si>
    <t>197/EB.P-6c/2018</t>
  </si>
  <si>
    <t>28-2-2018</t>
  </si>
  <si>
    <t>PT SNJ (1-3-2018 s.d 31-8-2018)</t>
  </si>
  <si>
    <t>Susilo Anggraini</t>
  </si>
  <si>
    <t>02/CK.P-14/2018</t>
  </si>
  <si>
    <t>08-01-2018</t>
  </si>
  <si>
    <t>per 8 Januari 2018</t>
  </si>
  <si>
    <t>PERIODE  :  MARET  2018</t>
  </si>
  <si>
    <t>Agung Sulistiyo</t>
  </si>
  <si>
    <t>03/CK.P-14/2018</t>
  </si>
  <si>
    <t>15-02-2018</t>
  </si>
  <si>
    <t>per 16 Februari 2018</t>
  </si>
  <si>
    <t>Pendi Setyo Nugroho</t>
  </si>
  <si>
    <t>Senior Officer Community Dev.Seksi CDP</t>
  </si>
  <si>
    <t>003.1/CK.P-6c/2018</t>
  </si>
  <si>
    <t>19-02-2018</t>
  </si>
  <si>
    <t>19 Februari s.d 18 Agustus 2018</t>
  </si>
  <si>
    <t>Senior Officer Electric Faci &amp; Electrical Mechanical</t>
  </si>
  <si>
    <t>Senior Officer Electric Facility and Elec. Mechanical</t>
  </si>
  <si>
    <t>Abdoel Moeis Boedijono</t>
  </si>
  <si>
    <t>011/CK.P-6b/2018</t>
  </si>
  <si>
    <t>14-02-2018</t>
  </si>
  <si>
    <t>Rotasi</t>
  </si>
  <si>
    <t>per 1-3-2018</t>
  </si>
  <si>
    <t>Kusdiyono</t>
  </si>
  <si>
    <t>Kepala Gerbang Tol Wilayah Semarang</t>
  </si>
  <si>
    <t>065/EB.P6a/2018</t>
  </si>
  <si>
    <t>13-03-2018</t>
  </si>
  <si>
    <t>per 14 Maret 2018</t>
  </si>
  <si>
    <t>Alexander Catur Martin P</t>
  </si>
  <si>
    <t>SO ditugaskan Supervisor Mechanical &amp; Electro</t>
  </si>
  <si>
    <t>Wil Semarang PT JLP</t>
  </si>
  <si>
    <t>014/EB.P-6b/2018</t>
  </si>
  <si>
    <t>13-02-2018</t>
  </si>
  <si>
    <t>Budi Hermawan</t>
  </si>
  <si>
    <t xml:space="preserve">Mutasi </t>
  </si>
  <si>
    <t>Pengakhiran Penugasan dr PT JLP</t>
  </si>
  <si>
    <t>SO Electric Facility and Electrical Mechanical</t>
  </si>
  <si>
    <t>009/EB.P-6d/2018</t>
  </si>
  <si>
    <t>28-02-2018</t>
  </si>
  <si>
    <t>PERIODE  :  MARET 2018</t>
  </si>
  <si>
    <t>Jl Puri D3 No 13-14 Padangsari Banyumanik Semarang</t>
  </si>
  <si>
    <t>Kalisari Kidul RT04 RW06 Kelurahan Langensari  Kec. Ungaran Barat</t>
  </si>
  <si>
    <t>Semarang ,     April 2018</t>
  </si>
  <si>
    <t>Anastasia Rochana</t>
  </si>
  <si>
    <t>SO Traffic Reporting and Controling</t>
  </si>
  <si>
    <t>198/EA.P-151/2018</t>
  </si>
  <si>
    <t>26-02-2018</t>
  </si>
  <si>
    <t>Pensiun Normal</t>
  </si>
  <si>
    <t>Semarang,     April  2018</t>
  </si>
  <si>
    <t>5-9-2017 s.d 28-2-2018 (proses perpanjang)</t>
  </si>
  <si>
    <t>46'</t>
  </si>
  <si>
    <t>Semarang ,     April  2018</t>
  </si>
  <si>
    <t>PENDIDIKAN DIAKUI</t>
  </si>
  <si>
    <t>PENDIDIKAN DIMILIKI</t>
  </si>
  <si>
    <t>Row Labels</t>
  </si>
  <si>
    <t>Grand Total</t>
  </si>
  <si>
    <t>Count of USIA BULAT</t>
  </si>
  <si>
    <t>Count of Years</t>
  </si>
  <si>
    <t>Column Labels</t>
  </si>
  <si>
    <t>LAHIR</t>
  </si>
  <si>
    <t>Semarang,   Aprilt  2018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</si>
</sst>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[$-421]dd\ mmmm\ yyyy;@"/>
    <numFmt numFmtId="167" formatCode="0.0"/>
    <numFmt numFmtId="168" formatCode="dd/mm/yy;@"/>
    <numFmt numFmtId="169" formatCode="0####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6"/>
      <name val="Tahoma"/>
      <family val="2"/>
    </font>
    <font>
      <sz val="10"/>
      <color indexed="8"/>
      <name val="Arial"/>
      <family val="2"/>
    </font>
    <font>
      <b/>
      <sz val="11"/>
      <color indexed="8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sz val="11"/>
      <color indexed="8"/>
      <name val="Tahoma"/>
      <family val="2"/>
    </font>
    <font>
      <sz val="10"/>
      <name val="Comic Sans MS"/>
      <family val="4"/>
    </font>
    <font>
      <sz val="11"/>
      <name val="Tahoma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Tahoma"/>
      <family val="2"/>
    </font>
    <font>
      <b/>
      <sz val="10"/>
      <name val="Comic Sans MS"/>
      <family val="4"/>
    </font>
    <font>
      <b/>
      <sz val="10"/>
      <color indexed="8"/>
      <name val="Tahoma"/>
      <family val="2"/>
    </font>
    <font>
      <b/>
      <sz val="14"/>
      <name val="Tahoma"/>
      <family val="2"/>
    </font>
    <font>
      <sz val="12"/>
      <name val="Tahoma"/>
      <family val="2"/>
    </font>
    <font>
      <sz val="11"/>
      <color theme="1"/>
      <name val="Tahoma"/>
      <family val="2"/>
    </font>
    <font>
      <sz val="11"/>
      <color theme="1"/>
      <name val="Arial"/>
      <family val="2"/>
    </font>
    <font>
      <sz val="10"/>
      <color indexed="8"/>
      <name val="Tahoma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8"/>
      <color indexed="8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8"/>
      <color indexed="8"/>
      <name val="Tahoma"/>
      <family val="2"/>
    </font>
    <font>
      <sz val="11"/>
      <color rgb="FFFF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2"/>
      <name val="Comic Sans MS"/>
      <family val="4"/>
    </font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1"/>
      <name val="Calibri"/>
      <family val="2"/>
      <scheme val="minor"/>
    </font>
    <font>
      <sz val="9"/>
      <name val="Tahoma"/>
      <family val="2"/>
    </font>
    <font>
      <b/>
      <sz val="9"/>
      <color theme="1"/>
      <name val="Tahoma"/>
      <family val="2"/>
    </font>
    <font>
      <b/>
      <sz val="16"/>
      <color theme="1"/>
      <name val="Tahoma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189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8"/>
      </top>
      <bottom style="dashed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/>
      <bottom style="dashed">
        <color indexed="8"/>
      </bottom>
      <diagonal/>
    </border>
    <border>
      <left style="thin">
        <color indexed="22"/>
      </left>
      <right style="thin">
        <color indexed="22"/>
      </right>
      <top/>
      <bottom style="dashed">
        <color indexed="8"/>
      </bottom>
      <diagonal/>
    </border>
    <border>
      <left style="thin">
        <color indexed="22"/>
      </left>
      <right/>
      <top/>
      <bottom style="dashed">
        <color indexed="8"/>
      </bottom>
      <diagonal/>
    </border>
    <border>
      <left/>
      <right/>
      <top style="double">
        <color indexed="8"/>
      </top>
      <bottom style="dashed">
        <color indexed="8"/>
      </bottom>
      <diagonal/>
    </border>
    <border>
      <left/>
      <right style="thin">
        <color indexed="22"/>
      </right>
      <top/>
      <bottom style="dashed">
        <color indexed="8"/>
      </bottom>
      <diagonal/>
    </border>
    <border>
      <left/>
      <right style="double">
        <color indexed="8"/>
      </right>
      <top/>
      <bottom style="dotted">
        <color indexed="8"/>
      </bottom>
      <diagonal/>
    </border>
    <border>
      <left style="double">
        <color indexed="8"/>
      </left>
      <right/>
      <top style="dashed">
        <color indexed="8"/>
      </top>
      <bottom style="dashed">
        <color indexed="8"/>
      </bottom>
      <diagonal/>
    </border>
    <border>
      <left style="thin">
        <color indexed="22"/>
      </left>
      <right style="thin">
        <color indexed="22"/>
      </right>
      <top style="dashed">
        <color indexed="8"/>
      </top>
      <bottom style="dashed">
        <color indexed="8"/>
      </bottom>
      <diagonal/>
    </border>
    <border>
      <left style="thin">
        <color indexed="22"/>
      </left>
      <right/>
      <top style="dashed">
        <color indexed="8"/>
      </top>
      <bottom style="dashed">
        <color indexed="8"/>
      </bottom>
      <diagonal/>
    </border>
    <border>
      <left/>
      <right style="thin">
        <color indexed="22"/>
      </right>
      <top style="dashed">
        <color indexed="8"/>
      </top>
      <bottom style="dashed">
        <color indexed="8"/>
      </bottom>
      <diagonal/>
    </border>
    <border>
      <left style="thin">
        <color indexed="22"/>
      </left>
      <right style="double">
        <color indexed="8"/>
      </right>
      <top style="dashed">
        <color indexed="8"/>
      </top>
      <bottom style="dashed">
        <color indexed="8"/>
      </bottom>
      <diagonal/>
    </border>
    <border>
      <left style="double">
        <color indexed="8"/>
      </left>
      <right/>
      <top style="dashed">
        <color indexed="8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dashed">
        <color indexed="8"/>
      </top>
      <bottom style="medium">
        <color indexed="8"/>
      </bottom>
      <diagonal/>
    </border>
    <border>
      <left style="thin">
        <color indexed="22"/>
      </left>
      <right/>
      <top style="dashed">
        <color indexed="8"/>
      </top>
      <bottom style="medium">
        <color indexed="8"/>
      </bottom>
      <diagonal/>
    </border>
    <border>
      <left/>
      <right/>
      <top style="dashed">
        <color indexed="8"/>
      </top>
      <bottom style="medium">
        <color indexed="8"/>
      </bottom>
      <diagonal/>
    </border>
    <border>
      <left/>
      <right style="thin">
        <color indexed="22"/>
      </right>
      <top style="dashed">
        <color indexed="8"/>
      </top>
      <bottom style="medium">
        <color indexed="8"/>
      </bottom>
      <diagonal/>
    </border>
    <border>
      <left style="thin">
        <color indexed="22"/>
      </left>
      <right style="double">
        <color indexed="8"/>
      </right>
      <top style="dashed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double">
        <color indexed="8"/>
      </top>
      <bottom style="thin">
        <color indexed="8"/>
      </bottom>
      <diagonal/>
    </border>
    <border>
      <left/>
      <right/>
      <top/>
      <bottom style="dashed">
        <color indexed="8"/>
      </bottom>
      <diagonal/>
    </border>
    <border>
      <left style="thin">
        <color indexed="22"/>
      </left>
      <right style="double">
        <color indexed="8"/>
      </right>
      <top/>
      <bottom style="dashed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22"/>
      </left>
      <right/>
      <top/>
      <bottom/>
      <diagonal/>
    </border>
    <border>
      <left/>
      <right style="medium">
        <color indexed="8"/>
      </right>
      <top style="dashed">
        <color indexed="8"/>
      </top>
      <bottom/>
      <diagonal/>
    </border>
    <border>
      <left/>
      <right style="medium">
        <color indexed="8"/>
      </right>
      <top/>
      <bottom style="dashed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double">
        <color indexed="8"/>
      </top>
      <bottom/>
      <diagonal/>
    </border>
    <border>
      <left style="thin">
        <color indexed="64"/>
      </left>
      <right/>
      <top/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double">
        <color indexed="8"/>
      </top>
      <bottom/>
      <diagonal/>
    </border>
    <border>
      <left style="hair">
        <color indexed="8"/>
      </left>
      <right style="hair">
        <color indexed="8"/>
      </right>
      <top style="double">
        <color indexed="8"/>
      </top>
      <bottom/>
      <diagonal/>
    </border>
    <border>
      <left style="hair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64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8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</cellStyleXfs>
  <cellXfs count="1031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9" fillId="0" borderId="0" xfId="0" applyFont="1"/>
    <xf numFmtId="0" fontId="0" fillId="0" borderId="0" xfId="0" applyFill="1"/>
    <xf numFmtId="0" fontId="10" fillId="0" borderId="0" xfId="2" applyFont="1" applyFill="1" applyBorder="1" applyAlignment="1">
      <alignment vertical="center"/>
    </xf>
    <xf numFmtId="0" fontId="2" fillId="0" borderId="0" xfId="0" applyFont="1" applyFill="1" applyBorder="1"/>
    <xf numFmtId="0" fontId="9" fillId="0" borderId="0" xfId="0" applyFont="1" applyFill="1"/>
    <xf numFmtId="0" fontId="12" fillId="0" borderId="0" xfId="0" applyFont="1" applyFill="1"/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10" xfId="2" applyFont="1" applyFill="1" applyBorder="1" applyAlignment="1">
      <alignment horizontal="center" vertical="center"/>
    </xf>
    <xf numFmtId="1" fontId="10" fillId="0" borderId="10" xfId="2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15" fontId="12" fillId="0" borderId="0" xfId="0" applyNumberFormat="1" applyFont="1" applyBorder="1" applyAlignment="1">
      <alignment horizontal="center" vertical="center"/>
    </xf>
    <xf numFmtId="41" fontId="12" fillId="0" borderId="0" xfId="1" applyFont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0" fillId="0" borderId="0" xfId="4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23" fillId="0" borderId="0" xfId="0" applyFont="1" applyFill="1"/>
    <xf numFmtId="0" fontId="2" fillId="0" borderId="0" xfId="0" applyFont="1" applyFill="1" applyBorder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12" fillId="0" borderId="0" xfId="0" applyNumberFormat="1" applyFont="1" applyFill="1"/>
    <xf numFmtId="166" fontId="23" fillId="0" borderId="0" xfId="0" applyNumberFormat="1" applyFont="1" applyFill="1"/>
    <xf numFmtId="166" fontId="3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applyFont="1" applyFill="1"/>
    <xf numFmtId="1" fontId="0" fillId="0" borderId="0" xfId="0" applyNumberFormat="1"/>
    <xf numFmtId="0" fontId="0" fillId="0" borderId="0" xfId="0" applyFill="1" applyBorder="1" applyAlignment="1">
      <alignment horizontal="right" vertical="center"/>
    </xf>
    <xf numFmtId="0" fontId="5" fillId="0" borderId="25" xfId="2" applyFont="1" applyFill="1" applyBorder="1" applyAlignment="1">
      <alignment horizontal="center" vertical="center"/>
    </xf>
    <xf numFmtId="0" fontId="20" fillId="0" borderId="0" xfId="0" applyFont="1" applyFill="1"/>
    <xf numFmtId="0" fontId="20" fillId="0" borderId="0" xfId="0" applyFont="1"/>
    <xf numFmtId="0" fontId="2" fillId="0" borderId="19" xfId="0" applyFont="1" applyFill="1" applyBorder="1"/>
    <xf numFmtId="0" fontId="2" fillId="0" borderId="0" xfId="0" applyFont="1" applyAlignment="1">
      <alignment horizontal="center"/>
    </xf>
    <xf numFmtId="0" fontId="15" fillId="0" borderId="0" xfId="0" applyFont="1" applyFill="1"/>
    <xf numFmtId="0" fontId="15" fillId="0" borderId="19" xfId="0" applyFont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20" fillId="0" borderId="8" xfId="0" applyFont="1" applyBorder="1"/>
    <xf numFmtId="1" fontId="20" fillId="0" borderId="0" xfId="0" applyNumberFormat="1" applyFont="1"/>
    <xf numFmtId="41" fontId="2" fillId="0" borderId="0" xfId="1" applyFont="1" applyFill="1" applyBorder="1"/>
    <xf numFmtId="0" fontId="20" fillId="0" borderId="0" xfId="0" applyFont="1" applyFill="1" applyBorder="1"/>
    <xf numFmtId="41" fontId="20" fillId="0" borderId="0" xfId="1" applyFont="1" applyFill="1" applyBorder="1"/>
    <xf numFmtId="0" fontId="12" fillId="0" borderId="21" xfId="2" applyFont="1" applyFill="1" applyBorder="1" applyAlignment="1">
      <alignment vertical="center"/>
    </xf>
    <xf numFmtId="0" fontId="12" fillId="0" borderId="21" xfId="2" applyFont="1" applyFill="1" applyBorder="1" applyAlignment="1">
      <alignment horizontal="left" vertical="center"/>
    </xf>
    <xf numFmtId="0" fontId="23" fillId="0" borderId="0" xfId="0" applyFont="1" applyFill="1" applyAlignment="1">
      <alignment horizontal="center"/>
    </xf>
    <xf numFmtId="0" fontId="10" fillId="0" borderId="21" xfId="2" applyFont="1" applyFill="1" applyBorder="1" applyAlignment="1">
      <alignment horizontal="left" vertical="center"/>
    </xf>
    <xf numFmtId="0" fontId="10" fillId="3" borderId="27" xfId="7" applyFont="1" applyFill="1" applyBorder="1" applyAlignment="1">
      <alignment horizontal="center" vertical="center"/>
    </xf>
    <xf numFmtId="0" fontId="10" fillId="3" borderId="28" xfId="7" applyFont="1" applyFill="1" applyBorder="1" applyAlignment="1">
      <alignment horizontal="center" vertical="center"/>
    </xf>
    <xf numFmtId="0" fontId="28" fillId="3" borderId="28" xfId="7" applyFont="1" applyFill="1" applyBorder="1" applyAlignment="1">
      <alignment horizontal="center" vertical="center"/>
    </xf>
    <xf numFmtId="0" fontId="10" fillId="3" borderId="29" xfId="7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10" fillId="0" borderId="31" xfId="7" quotePrefix="1" applyFont="1" applyFill="1" applyBorder="1" applyAlignment="1">
      <alignment wrapText="1"/>
    </xf>
    <xf numFmtId="0" fontId="22" fillId="2" borderId="32" xfId="2" applyFont="1" applyFill="1" applyBorder="1" applyAlignment="1">
      <alignment wrapText="1"/>
    </xf>
    <xf numFmtId="0" fontId="10" fillId="0" borderId="33" xfId="8" applyFont="1" applyFill="1" applyBorder="1" applyAlignment="1">
      <alignment horizontal="center" wrapText="1"/>
    </xf>
    <xf numFmtId="0" fontId="10" fillId="0" borderId="34" xfId="7" applyFont="1" applyFill="1" applyBorder="1" applyAlignment="1">
      <alignment wrapText="1"/>
    </xf>
    <xf numFmtId="0" fontId="10" fillId="0" borderId="31" xfId="7" applyFont="1" applyFill="1" applyBorder="1" applyAlignment="1">
      <alignment wrapText="1"/>
    </xf>
    <xf numFmtId="0" fontId="22" fillId="0" borderId="35" xfId="9" quotePrefix="1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10" fillId="0" borderId="37" xfId="7" applyFont="1" applyFill="1" applyBorder="1" applyAlignment="1">
      <alignment wrapText="1"/>
    </xf>
    <xf numFmtId="0" fontId="22" fillId="0" borderId="38" xfId="2" applyFont="1" applyFill="1" applyBorder="1" applyAlignment="1">
      <alignment wrapText="1"/>
    </xf>
    <xf numFmtId="0" fontId="10" fillId="0" borderId="11" xfId="8" applyFont="1" applyFill="1" applyBorder="1" applyAlignment="1">
      <alignment horizontal="center" wrapText="1"/>
    </xf>
    <xf numFmtId="0" fontId="10" fillId="0" borderId="39" xfId="7" applyFont="1" applyFill="1" applyBorder="1" applyAlignment="1">
      <alignment wrapText="1"/>
    </xf>
    <xf numFmtId="0" fontId="10" fillId="0" borderId="40" xfId="7" applyFont="1" applyFill="1" applyBorder="1" applyAlignment="1">
      <alignment wrapText="1"/>
    </xf>
    <xf numFmtId="0" fontId="22" fillId="2" borderId="38" xfId="2" applyFont="1" applyFill="1" applyBorder="1" applyAlignment="1">
      <alignment wrapText="1"/>
    </xf>
    <xf numFmtId="0" fontId="10" fillId="0" borderId="37" xfId="7" quotePrefix="1" applyFont="1" applyFill="1" applyBorder="1" applyAlignment="1">
      <alignment wrapText="1"/>
    </xf>
    <xf numFmtId="0" fontId="10" fillId="0" borderId="40" xfId="7" quotePrefix="1" applyFont="1" applyFill="1" applyBorder="1" applyAlignment="1">
      <alignment horizontal="left" wrapText="1"/>
    </xf>
    <xf numFmtId="0" fontId="10" fillId="2" borderId="37" xfId="7" applyFont="1" applyFill="1" applyBorder="1" applyAlignment="1">
      <alignment wrapText="1"/>
    </xf>
    <xf numFmtId="0" fontId="10" fillId="0" borderId="40" xfId="7" quotePrefix="1" applyFont="1" applyFill="1" applyBorder="1" applyAlignment="1">
      <alignment wrapText="1"/>
    </xf>
    <xf numFmtId="0" fontId="10" fillId="0" borderId="40" xfId="7" applyFont="1" applyFill="1" applyBorder="1" applyAlignment="1">
      <alignment horizontal="left" wrapText="1"/>
    </xf>
    <xf numFmtId="0" fontId="2" fillId="0" borderId="41" xfId="0" applyFont="1" applyBorder="1" applyAlignment="1">
      <alignment horizontal="center"/>
    </xf>
    <xf numFmtId="0" fontId="10" fillId="0" borderId="42" xfId="7" quotePrefix="1" applyFont="1" applyFill="1" applyBorder="1" applyAlignment="1">
      <alignment wrapText="1"/>
    </xf>
    <xf numFmtId="0" fontId="26" fillId="4" borderId="43" xfId="2" applyFont="1" applyFill="1" applyBorder="1" applyAlignment="1">
      <alignment wrapText="1"/>
    </xf>
    <xf numFmtId="0" fontId="29" fillId="4" borderId="44" xfId="8" applyFont="1" applyFill="1" applyBorder="1" applyAlignment="1">
      <alignment horizontal="center" wrapText="1"/>
    </xf>
    <xf numFmtId="0" fontId="29" fillId="4" borderId="45" xfId="7" applyFont="1" applyFill="1" applyBorder="1" applyAlignment="1">
      <alignment wrapText="1"/>
    </xf>
    <xf numFmtId="0" fontId="29" fillId="4" borderId="42" xfId="7" applyFont="1" applyFill="1" applyBorder="1" applyAlignment="1">
      <alignment wrapText="1"/>
    </xf>
    <xf numFmtId="0" fontId="10" fillId="0" borderId="42" xfId="7" applyFont="1" applyFill="1" applyBorder="1" applyAlignment="1">
      <alignment wrapText="1"/>
    </xf>
    <xf numFmtId="0" fontId="29" fillId="4" borderId="46" xfId="7" quotePrefix="1" applyFont="1" applyFill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10" fillId="0" borderId="47" xfId="7" quotePrefix="1" applyFont="1" applyFill="1" applyBorder="1" applyAlignment="1">
      <alignment wrapText="1"/>
    </xf>
    <xf numFmtId="0" fontId="26" fillId="0" borderId="47" xfId="2" applyFont="1" applyFill="1" applyBorder="1" applyAlignment="1">
      <alignment wrapText="1"/>
    </xf>
    <xf numFmtId="0" fontId="29" fillId="0" borderId="47" xfId="8" applyFont="1" applyFill="1" applyBorder="1" applyAlignment="1">
      <alignment horizontal="center" wrapText="1"/>
    </xf>
    <xf numFmtId="0" fontId="29" fillId="0" borderId="47" xfId="7" applyFont="1" applyFill="1" applyBorder="1" applyAlignment="1">
      <alignment wrapText="1"/>
    </xf>
    <xf numFmtId="0" fontId="10" fillId="0" borderId="47" xfId="7" applyFont="1" applyFill="1" applyBorder="1" applyAlignment="1">
      <alignment wrapText="1"/>
    </xf>
    <xf numFmtId="0" fontId="29" fillId="0" borderId="47" xfId="7" quotePrefix="1" applyFont="1" applyFill="1" applyBorder="1" applyAlignment="1">
      <alignment horizontal="left" wrapText="1"/>
    </xf>
    <xf numFmtId="0" fontId="2" fillId="0" borderId="48" xfId="0" applyFont="1" applyBorder="1" applyAlignment="1">
      <alignment horizontal="center"/>
    </xf>
    <xf numFmtId="0" fontId="10" fillId="0" borderId="49" xfId="7" quotePrefix="1" applyFont="1" applyFill="1" applyBorder="1" applyAlignment="1">
      <alignment wrapText="1"/>
    </xf>
    <xf numFmtId="0" fontId="26" fillId="0" borderId="0" xfId="2" applyFont="1" applyFill="1" applyBorder="1" applyAlignment="1">
      <alignment wrapText="1"/>
    </xf>
    <xf numFmtId="0" fontId="29" fillId="0" borderId="50" xfId="8" applyFont="1" applyFill="1" applyBorder="1" applyAlignment="1">
      <alignment horizontal="center" wrapText="1"/>
    </xf>
    <xf numFmtId="0" fontId="29" fillId="0" borderId="0" xfId="7" applyFont="1" applyFill="1" applyBorder="1" applyAlignment="1">
      <alignment wrapText="1"/>
    </xf>
    <xf numFmtId="0" fontId="29" fillId="0" borderId="31" xfId="7" applyFont="1" applyFill="1" applyBorder="1" applyAlignment="1">
      <alignment wrapText="1"/>
    </xf>
    <xf numFmtId="0" fontId="29" fillId="0" borderId="51" xfId="7" quotePrefix="1" applyFont="1" applyFill="1" applyBorder="1" applyAlignment="1">
      <alignment horizontal="left" wrapText="1"/>
    </xf>
    <xf numFmtId="0" fontId="29" fillId="4" borderId="11" xfId="8" applyFont="1" applyFill="1" applyBorder="1" applyAlignment="1">
      <alignment horizontal="center" wrapText="1"/>
    </xf>
    <xf numFmtId="0" fontId="29" fillId="4" borderId="37" xfId="7" applyFont="1" applyFill="1" applyBorder="1" applyAlignment="1">
      <alignment wrapText="1"/>
    </xf>
    <xf numFmtId="0" fontId="29" fillId="4" borderId="40" xfId="7" quotePrefix="1" applyFont="1" applyFill="1" applyBorder="1" applyAlignment="1">
      <alignment horizontal="left" wrapText="1"/>
    </xf>
    <xf numFmtId="0" fontId="22" fillId="0" borderId="38" xfId="2" applyFont="1" applyFill="1" applyBorder="1" applyAlignment="1">
      <alignment vertical="center" wrapText="1"/>
    </xf>
    <xf numFmtId="0" fontId="22" fillId="0" borderId="43" xfId="2" applyFont="1" applyFill="1" applyBorder="1" applyAlignment="1">
      <alignment wrapText="1"/>
    </xf>
    <xf numFmtId="0" fontId="10" fillId="0" borderId="44" xfId="8" applyFont="1" applyFill="1" applyBorder="1" applyAlignment="1">
      <alignment horizontal="center" wrapText="1"/>
    </xf>
    <xf numFmtId="0" fontId="10" fillId="0" borderId="45" xfId="7" applyFont="1" applyFill="1" applyBorder="1" applyAlignment="1">
      <alignment wrapText="1"/>
    </xf>
    <xf numFmtId="0" fontId="10" fillId="0" borderId="46" xfId="7" quotePrefix="1" applyFont="1" applyFill="1" applyBorder="1" applyAlignment="1">
      <alignment wrapText="1"/>
    </xf>
    <xf numFmtId="0" fontId="22" fillId="0" borderId="47" xfId="2" applyFont="1" applyFill="1" applyBorder="1" applyAlignment="1">
      <alignment wrapText="1"/>
    </xf>
    <xf numFmtId="0" fontId="10" fillId="0" borderId="47" xfId="8" applyFont="1" applyFill="1" applyBorder="1" applyAlignment="1">
      <alignment horizontal="center" wrapText="1"/>
    </xf>
    <xf numFmtId="0" fontId="10" fillId="2" borderId="11" xfId="8" applyFont="1" applyFill="1" applyBorder="1" applyAlignment="1">
      <alignment horizontal="center" wrapText="1"/>
    </xf>
    <xf numFmtId="0" fontId="10" fillId="0" borderId="39" xfId="7" applyFont="1" applyFill="1" applyBorder="1" applyAlignment="1">
      <alignment vertical="center" wrapText="1"/>
    </xf>
    <xf numFmtId="0" fontId="10" fillId="2" borderId="52" xfId="2" quotePrefix="1" applyFont="1" applyFill="1" applyBorder="1" applyAlignment="1">
      <alignment horizontal="left" vertical="center"/>
    </xf>
    <xf numFmtId="0" fontId="10" fillId="2" borderId="52" xfId="2" applyFont="1" applyFill="1" applyBorder="1" applyAlignment="1">
      <alignment vertical="center"/>
    </xf>
    <xf numFmtId="0" fontId="10" fillId="2" borderId="45" xfId="7" applyFont="1" applyFill="1" applyBorder="1" applyAlignment="1">
      <alignment wrapText="1"/>
    </xf>
    <xf numFmtId="0" fontId="10" fillId="2" borderId="42" xfId="7" applyFont="1" applyFill="1" applyBorder="1" applyAlignment="1">
      <alignment wrapText="1"/>
    </xf>
    <xf numFmtId="0" fontId="10" fillId="0" borderId="46" xfId="7" applyFont="1" applyFill="1" applyBorder="1" applyAlignment="1">
      <alignment wrapText="1"/>
    </xf>
    <xf numFmtId="0" fontId="2" fillId="0" borderId="47" xfId="0" applyFont="1" applyFill="1" applyBorder="1" applyAlignment="1">
      <alignment horizontal="center"/>
    </xf>
    <xf numFmtId="0" fontId="10" fillId="0" borderId="47" xfId="2" quotePrefix="1" applyFont="1" applyFill="1" applyBorder="1" applyAlignment="1">
      <alignment horizontal="left" vertical="center"/>
    </xf>
    <xf numFmtId="0" fontId="10" fillId="0" borderId="47" xfId="2" applyFont="1" applyFill="1" applyBorder="1" applyAlignment="1">
      <alignment vertical="center"/>
    </xf>
    <xf numFmtId="0" fontId="2" fillId="0" borderId="36" xfId="0" applyFont="1" applyFill="1" applyBorder="1" applyAlignment="1">
      <alignment horizontal="center"/>
    </xf>
    <xf numFmtId="0" fontId="10" fillId="0" borderId="0" xfId="2" quotePrefix="1" applyFont="1" applyFill="1" applyBorder="1" applyAlignment="1">
      <alignment horizontal="left" vertical="center"/>
    </xf>
    <xf numFmtId="0" fontId="10" fillId="0" borderId="39" xfId="7" applyFont="1" applyFill="1" applyBorder="1" applyAlignment="1">
      <alignment horizontal="left" wrapText="1"/>
    </xf>
    <xf numFmtId="0" fontId="10" fillId="0" borderId="0" xfId="7" quotePrefix="1" applyFont="1" applyFill="1" applyBorder="1" applyAlignment="1">
      <alignment wrapText="1"/>
    </xf>
    <xf numFmtId="0" fontId="22" fillId="2" borderId="0" xfId="2" applyFont="1" applyFill="1" applyBorder="1" applyAlignment="1">
      <alignment wrapText="1"/>
    </xf>
    <xf numFmtId="0" fontId="10" fillId="0" borderId="0" xfId="7" applyFont="1" applyFill="1" applyBorder="1" applyAlignment="1">
      <alignment wrapText="1"/>
    </xf>
    <xf numFmtId="0" fontId="10" fillId="2" borderId="21" xfId="2" quotePrefix="1" applyFont="1" applyFill="1" applyBorder="1" applyAlignment="1">
      <alignment horizontal="center" vertical="center"/>
    </xf>
    <xf numFmtId="0" fontId="10" fillId="2" borderId="21" xfId="2" applyFont="1" applyFill="1" applyBorder="1" applyAlignment="1">
      <alignment vertical="center"/>
    </xf>
    <xf numFmtId="0" fontId="10" fillId="2" borderId="21" xfId="2" applyFont="1" applyFill="1" applyBorder="1" applyAlignment="1">
      <alignment horizontal="left" vertical="center"/>
    </xf>
    <xf numFmtId="0" fontId="10" fillId="4" borderId="0" xfId="7" quotePrefix="1" applyFont="1" applyFill="1" applyBorder="1" applyAlignment="1">
      <alignment wrapText="1"/>
    </xf>
    <xf numFmtId="0" fontId="22" fillId="4" borderId="0" xfId="2" applyFont="1" applyFill="1" applyBorder="1" applyAlignment="1">
      <alignment wrapText="1"/>
    </xf>
    <xf numFmtId="0" fontId="10" fillId="4" borderId="11" xfId="8" applyFont="1" applyFill="1" applyBorder="1" applyAlignment="1">
      <alignment horizontal="center" wrapText="1"/>
    </xf>
    <xf numFmtId="0" fontId="10" fillId="4" borderId="39" xfId="7" applyFont="1" applyFill="1" applyBorder="1" applyAlignment="1">
      <alignment wrapText="1"/>
    </xf>
    <xf numFmtId="0" fontId="10" fillId="4" borderId="37" xfId="7" applyFont="1" applyFill="1" applyBorder="1" applyAlignment="1">
      <alignment wrapText="1"/>
    </xf>
    <xf numFmtId="0" fontId="10" fillId="4" borderId="40" xfId="7" quotePrefix="1" applyFont="1" applyFill="1" applyBorder="1" applyAlignment="1">
      <alignment horizontal="left" wrapText="1"/>
    </xf>
    <xf numFmtId="0" fontId="10" fillId="5" borderId="52" xfId="2" quotePrefix="1" applyFont="1" applyFill="1" applyBorder="1" applyAlignment="1">
      <alignment horizontal="left" vertical="center"/>
    </xf>
    <xf numFmtId="0" fontId="10" fillId="5" borderId="52" xfId="2" applyFont="1" applyFill="1" applyBorder="1" applyAlignment="1">
      <alignment vertical="center"/>
    </xf>
    <xf numFmtId="0" fontId="10" fillId="5" borderId="44" xfId="8" applyFont="1" applyFill="1" applyBorder="1" applyAlignment="1">
      <alignment horizontal="center" wrapText="1"/>
    </xf>
    <xf numFmtId="0" fontId="10" fillId="5" borderId="45" xfId="7" applyFont="1" applyFill="1" applyBorder="1" applyAlignment="1">
      <alignment wrapText="1"/>
    </xf>
    <xf numFmtId="0" fontId="10" fillId="5" borderId="42" xfId="7" applyFont="1" applyFill="1" applyBorder="1" applyAlignment="1">
      <alignment wrapText="1"/>
    </xf>
    <xf numFmtId="0" fontId="10" fillId="5" borderId="46" xfId="7" applyFont="1" applyFill="1" applyBorder="1" applyAlignment="1">
      <alignment wrapText="1"/>
    </xf>
    <xf numFmtId="0" fontId="2" fillId="4" borderId="36" xfId="0" applyFont="1" applyFill="1" applyBorder="1" applyAlignment="1">
      <alignment horizontal="center"/>
    </xf>
    <xf numFmtId="0" fontId="10" fillId="4" borderId="37" xfId="7" quotePrefix="1" applyFont="1" applyFill="1" applyBorder="1" applyAlignment="1">
      <alignment wrapText="1"/>
    </xf>
    <xf numFmtId="0" fontId="22" fillId="4" borderId="38" xfId="2" applyFont="1" applyFill="1" applyBorder="1" applyAlignment="1">
      <alignment wrapText="1"/>
    </xf>
    <xf numFmtId="0" fontId="10" fillId="4" borderId="40" xfId="7" applyFont="1" applyFill="1" applyBorder="1" applyAlignment="1">
      <alignment wrapText="1"/>
    </xf>
    <xf numFmtId="0" fontId="2" fillId="4" borderId="0" xfId="0" applyFont="1" applyFill="1"/>
    <xf numFmtId="0" fontId="10" fillId="0" borderId="39" xfId="7" applyFont="1" applyFill="1" applyBorder="1" applyAlignment="1">
      <alignment horizontal="left" vertical="center" wrapText="1"/>
    </xf>
    <xf numFmtId="0" fontId="10" fillId="0" borderId="26" xfId="7" quotePrefix="1" applyFont="1" applyFill="1" applyBorder="1" applyAlignment="1">
      <alignment wrapText="1"/>
    </xf>
    <xf numFmtId="0" fontId="22" fillId="0" borderId="53" xfId="2" applyFont="1" applyFill="1" applyBorder="1" applyAlignment="1">
      <alignment wrapText="1"/>
    </xf>
    <xf numFmtId="0" fontId="10" fillId="0" borderId="0" xfId="8" applyFont="1" applyFill="1" applyBorder="1" applyAlignment="1">
      <alignment horizontal="center" wrapText="1"/>
    </xf>
    <xf numFmtId="0" fontId="10" fillId="0" borderId="6" xfId="7" applyFont="1" applyFill="1" applyBorder="1" applyAlignment="1">
      <alignment wrapText="1"/>
    </xf>
    <xf numFmtId="0" fontId="10" fillId="0" borderId="54" xfId="7" quotePrefix="1" applyFont="1" applyFill="1" applyBorder="1" applyAlignment="1">
      <alignment horizontal="left" wrapText="1"/>
    </xf>
    <xf numFmtId="0" fontId="2" fillId="0" borderId="55" xfId="0" applyFont="1" applyBorder="1"/>
    <xf numFmtId="0" fontId="10" fillId="0" borderId="21" xfId="2" applyFont="1" applyFill="1" applyBorder="1" applyAlignment="1">
      <alignment vertical="center"/>
    </xf>
    <xf numFmtId="0" fontId="10" fillId="5" borderId="21" xfId="2" quotePrefix="1" applyFont="1" applyFill="1" applyBorder="1" applyAlignment="1">
      <alignment horizontal="left" vertical="center"/>
    </xf>
    <xf numFmtId="0" fontId="10" fillId="5" borderId="21" xfId="2" applyFont="1" applyFill="1" applyBorder="1" applyAlignment="1">
      <alignment vertical="center"/>
    </xf>
    <xf numFmtId="0" fontId="10" fillId="5" borderId="11" xfId="8" applyFont="1" applyFill="1" applyBorder="1" applyAlignment="1">
      <alignment horizontal="center" wrapText="1"/>
    </xf>
    <xf numFmtId="0" fontId="10" fillId="5" borderId="21" xfId="2" applyFont="1" applyFill="1" applyBorder="1" applyAlignment="1">
      <alignment horizontal="left" vertical="center"/>
    </xf>
    <xf numFmtId="0" fontId="10" fillId="5" borderId="37" xfId="7" applyFont="1" applyFill="1" applyBorder="1" applyAlignment="1">
      <alignment wrapText="1"/>
    </xf>
    <xf numFmtId="0" fontId="10" fillId="5" borderId="40" xfId="7" applyFont="1" applyFill="1" applyBorder="1" applyAlignment="1">
      <alignment wrapText="1"/>
    </xf>
    <xf numFmtId="0" fontId="22" fillId="0" borderId="0" xfId="2" applyFont="1" applyFill="1" applyBorder="1" applyAlignment="1">
      <alignment wrapText="1"/>
    </xf>
    <xf numFmtId="0" fontId="10" fillId="0" borderId="14" xfId="7" quotePrefix="1" applyFont="1" applyFill="1" applyBorder="1" applyAlignment="1">
      <alignment wrapText="1"/>
    </xf>
    <xf numFmtId="0" fontId="2" fillId="0" borderId="56" xfId="0" quotePrefix="1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right"/>
    </xf>
    <xf numFmtId="166" fontId="12" fillId="0" borderId="0" xfId="0" applyNumberFormat="1" applyFont="1" applyBorder="1" applyAlignment="1">
      <alignment horizontal="right" vertical="center"/>
    </xf>
    <xf numFmtId="166" fontId="12" fillId="0" borderId="0" xfId="0" applyNumberFormat="1" applyFont="1" applyFill="1" applyAlignment="1">
      <alignment vertical="center"/>
    </xf>
    <xf numFmtId="1" fontId="12" fillId="0" borderId="0" xfId="0" applyNumberFormat="1" applyFont="1" applyFill="1" applyAlignment="1">
      <alignment vertical="center"/>
    </xf>
    <xf numFmtId="167" fontId="12" fillId="0" borderId="0" xfId="0" applyNumberFormat="1" applyFont="1" applyFill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166" fontId="19" fillId="0" borderId="0" xfId="0" applyNumberFormat="1" applyFont="1" applyBorder="1" applyAlignment="1">
      <alignment horizontal="right"/>
    </xf>
    <xf numFmtId="166" fontId="5" fillId="0" borderId="0" xfId="2" applyNumberFormat="1" applyFont="1" applyFill="1" applyBorder="1" applyAlignment="1">
      <alignment horizontal="right" vertical="center"/>
    </xf>
    <xf numFmtId="166" fontId="0" fillId="0" borderId="0" xfId="0" applyNumberFormat="1" applyAlignment="1">
      <alignment horizontal="right"/>
    </xf>
    <xf numFmtId="0" fontId="21" fillId="0" borderId="0" xfId="0" applyFont="1" applyFill="1"/>
    <xf numFmtId="0" fontId="21" fillId="0" borderId="0" xfId="11" applyFont="1" applyFill="1" applyAlignment="1">
      <alignment vertical="center"/>
    </xf>
    <xf numFmtId="166" fontId="21" fillId="0" borderId="0" xfId="11" applyNumberFormat="1" applyFont="1" applyFill="1" applyAlignment="1">
      <alignment horizontal="right" vertical="center"/>
    </xf>
    <xf numFmtId="0" fontId="21" fillId="0" borderId="0" xfId="11" applyFont="1" applyFill="1" applyAlignment="1">
      <alignment vertical="center" wrapText="1"/>
    </xf>
    <xf numFmtId="0" fontId="21" fillId="0" borderId="0" xfId="0" applyFont="1" applyFill="1" applyAlignment="1">
      <alignment horizontal="center"/>
    </xf>
    <xf numFmtId="166" fontId="21" fillId="0" borderId="0" xfId="0" applyNumberFormat="1" applyFont="1" applyFill="1" applyAlignment="1">
      <alignment horizontal="right"/>
    </xf>
    <xf numFmtId="0" fontId="21" fillId="0" borderId="0" xfId="0" applyFont="1" applyFill="1" applyAlignment="1">
      <alignment horizontal="center" vertical="center"/>
    </xf>
    <xf numFmtId="9" fontId="0" fillId="0" borderId="0" xfId="6" applyFont="1"/>
    <xf numFmtId="9" fontId="0" fillId="0" borderId="0" xfId="0" applyNumberFormat="1"/>
    <xf numFmtId="9" fontId="20" fillId="0" borderId="0" xfId="6" applyFont="1"/>
    <xf numFmtId="0" fontId="0" fillId="0" borderId="19" xfId="0" applyBorder="1"/>
    <xf numFmtId="165" fontId="1" fillId="0" borderId="0" xfId="4" applyNumberFormat="1" applyFont="1" applyAlignment="1">
      <alignment horizontal="center"/>
    </xf>
    <xf numFmtId="165" fontId="1" fillId="0" borderId="0" xfId="4" applyNumberFormat="1" applyFont="1"/>
    <xf numFmtId="165" fontId="1" fillId="0" borderId="0" xfId="4" applyNumberFormat="1" applyFont="1" applyAlignment="1">
      <alignment vertical="center"/>
    </xf>
    <xf numFmtId="165" fontId="30" fillId="0" borderId="7" xfId="4" applyNumberFormat="1" applyFont="1" applyBorder="1" applyAlignment="1">
      <alignment horizontal="center" vertical="center"/>
    </xf>
    <xf numFmtId="165" fontId="30" fillId="0" borderId="7" xfId="4" applyNumberFormat="1" applyFont="1" applyBorder="1" applyAlignment="1">
      <alignment horizontal="center" vertical="center" wrapText="1"/>
    </xf>
    <xf numFmtId="165" fontId="30" fillId="0" borderId="58" xfId="4" applyNumberFormat="1" applyFont="1" applyBorder="1" applyAlignment="1">
      <alignment horizontal="center" vertical="center"/>
    </xf>
    <xf numFmtId="165" fontId="1" fillId="0" borderId="61" xfId="4" applyNumberFormat="1" applyFont="1" applyBorder="1" applyAlignment="1">
      <alignment vertical="center"/>
    </xf>
    <xf numFmtId="165" fontId="1" fillId="0" borderId="19" xfId="4" applyNumberFormat="1" applyFont="1" applyBorder="1" applyAlignment="1">
      <alignment vertical="center"/>
    </xf>
    <xf numFmtId="165" fontId="1" fillId="0" borderId="62" xfId="4" applyNumberFormat="1" applyFont="1" applyBorder="1" applyAlignment="1">
      <alignment vertical="center"/>
    </xf>
    <xf numFmtId="165" fontId="1" fillId="0" borderId="19" xfId="4" applyNumberFormat="1" applyFont="1" applyFill="1" applyBorder="1" applyAlignment="1">
      <alignment horizontal="left" vertical="center"/>
    </xf>
    <xf numFmtId="165" fontId="1" fillId="0" borderId="19" xfId="4" applyNumberFormat="1" applyFont="1" applyFill="1" applyBorder="1" applyAlignment="1">
      <alignment horizontal="left" vertical="center" wrapText="1"/>
    </xf>
    <xf numFmtId="165" fontId="1" fillId="0" borderId="62" xfId="4" applyNumberFormat="1" applyFont="1" applyFill="1" applyBorder="1" applyAlignment="1">
      <alignment vertical="center"/>
    </xf>
    <xf numFmtId="165" fontId="1" fillId="0" borderId="0" xfId="4" applyNumberFormat="1" applyFont="1" applyFill="1"/>
    <xf numFmtId="165" fontId="1" fillId="0" borderId="19" xfId="4" applyNumberFormat="1" applyFont="1" applyFill="1" applyBorder="1" applyAlignment="1">
      <alignment vertical="center"/>
    </xf>
    <xf numFmtId="165" fontId="1" fillId="0" borderId="60" xfId="4" applyNumberFormat="1" applyFont="1" applyBorder="1" applyAlignment="1">
      <alignment vertical="center"/>
    </xf>
    <xf numFmtId="165" fontId="1" fillId="0" borderId="63" xfId="4" applyNumberFormat="1" applyFont="1" applyBorder="1" applyAlignment="1">
      <alignment vertical="center"/>
    </xf>
    <xf numFmtId="165" fontId="1" fillId="0" borderId="64" xfId="4" applyNumberFormat="1" applyFont="1" applyBorder="1" applyAlignment="1">
      <alignment vertical="center"/>
    </xf>
    <xf numFmtId="165" fontId="1" fillId="0" borderId="65" xfId="4" applyNumberFormat="1" applyFont="1" applyBorder="1" applyAlignment="1">
      <alignment vertical="center"/>
    </xf>
    <xf numFmtId="165" fontId="30" fillId="0" borderId="0" xfId="4" applyNumberFormat="1" applyFont="1" applyAlignment="1">
      <alignment horizontal="center"/>
    </xf>
    <xf numFmtId="165" fontId="30" fillId="0" borderId="0" xfId="4" applyNumberFormat="1" applyFont="1"/>
    <xf numFmtId="165" fontId="0" fillId="0" borderId="19" xfId="4" applyNumberFormat="1" applyFont="1" applyFill="1" applyBorder="1" applyAlignment="1">
      <alignment horizontal="left" vertical="center" wrapText="1"/>
    </xf>
    <xf numFmtId="165" fontId="1" fillId="0" borderId="19" xfId="4" applyNumberFormat="1" applyFont="1" applyBorder="1" applyAlignment="1">
      <alignment horizontal="right" vertical="center"/>
    </xf>
    <xf numFmtId="165" fontId="1" fillId="0" borderId="19" xfId="4" quotePrefix="1" applyNumberFormat="1" applyFont="1" applyBorder="1" applyAlignment="1">
      <alignment horizontal="right" vertical="center"/>
    </xf>
    <xf numFmtId="165" fontId="1" fillId="0" borderId="19" xfId="4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165" fontId="1" fillId="0" borderId="19" xfId="4" quotePrefix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65" fontId="1" fillId="0" borderId="60" xfId="4" applyNumberFormat="1" applyFont="1" applyBorder="1" applyAlignment="1">
      <alignment horizontal="right" vertical="center"/>
    </xf>
    <xf numFmtId="165" fontId="1" fillId="0" borderId="64" xfId="4" applyNumberFormat="1" applyFont="1" applyBorder="1" applyAlignment="1">
      <alignment horizontal="right" vertical="center"/>
    </xf>
    <xf numFmtId="165" fontId="30" fillId="0" borderId="0" xfId="4" applyNumberFormat="1" applyFont="1" applyAlignment="1">
      <alignment horizontal="right" vertical="center"/>
    </xf>
    <xf numFmtId="165" fontId="1" fillId="0" borderId="0" xfId="4" applyNumberFormat="1" applyFont="1" applyAlignment="1">
      <alignment horizontal="right" vertical="center"/>
    </xf>
    <xf numFmtId="165" fontId="1" fillId="0" borderId="19" xfId="4" applyNumberFormat="1" applyFont="1" applyBorder="1" applyAlignment="1">
      <alignment horizontal="left" vertical="center"/>
    </xf>
    <xf numFmtId="165" fontId="1" fillId="0" borderId="19" xfId="4" applyNumberFormat="1" applyFont="1" applyBorder="1" applyAlignment="1">
      <alignment horizontal="left" vertical="center" wrapText="1"/>
    </xf>
    <xf numFmtId="165" fontId="0" fillId="0" borderId="19" xfId="4" applyNumberFormat="1" applyFont="1" applyBorder="1" applyAlignment="1">
      <alignment horizontal="left" vertical="center" wrapText="1"/>
    </xf>
    <xf numFmtId="0" fontId="0" fillId="0" borderId="19" xfId="7" applyFont="1" applyFill="1" applyBorder="1" applyAlignment="1">
      <alignment horizontal="left" wrapText="1"/>
    </xf>
    <xf numFmtId="0" fontId="1" fillId="0" borderId="39" xfId="7" applyFont="1" applyFill="1" applyBorder="1" applyAlignment="1">
      <alignment horizontal="left" wrapText="1"/>
    </xf>
    <xf numFmtId="0" fontId="0" fillId="0" borderId="39" xfId="7" applyFont="1" applyFill="1" applyBorder="1" applyAlignment="1">
      <alignment horizontal="left" wrapText="1"/>
    </xf>
    <xf numFmtId="165" fontId="0" fillId="0" borderId="19" xfId="4" applyNumberFormat="1" applyFont="1" applyFill="1" applyBorder="1" applyAlignment="1">
      <alignment horizontal="left" vertical="center"/>
    </xf>
    <xf numFmtId="165" fontId="1" fillId="0" borderId="60" xfId="4" applyNumberFormat="1" applyFont="1" applyBorder="1" applyAlignment="1">
      <alignment horizontal="left" vertical="center" wrapText="1"/>
    </xf>
    <xf numFmtId="165" fontId="0" fillId="0" borderId="64" xfId="4" applyNumberFormat="1" applyFont="1" applyBorder="1" applyAlignment="1">
      <alignment horizontal="left" vertical="center" wrapText="1"/>
    </xf>
    <xf numFmtId="165" fontId="30" fillId="0" borderId="0" xfId="4" applyNumberFormat="1" applyFont="1" applyAlignment="1">
      <alignment horizontal="left"/>
    </xf>
    <xf numFmtId="165" fontId="1" fillId="0" borderId="0" xfId="4" applyNumberFormat="1" applyFont="1" applyAlignment="1">
      <alignment horizontal="left"/>
    </xf>
    <xf numFmtId="0" fontId="15" fillId="0" borderId="0" xfId="0" applyFont="1" applyFill="1" applyBorder="1"/>
    <xf numFmtId="41" fontId="15" fillId="0" borderId="0" xfId="1" applyNumberFormat="1" applyFont="1" applyFill="1" applyBorder="1"/>
    <xf numFmtId="0" fontId="2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165" fontId="0" fillId="0" borderId="19" xfId="4" applyNumberFormat="1" applyFont="1" applyFill="1" applyBorder="1" applyAlignment="1">
      <alignment vertical="center"/>
    </xf>
    <xf numFmtId="165" fontId="0" fillId="0" borderId="19" xfId="4" applyNumberFormat="1" applyFont="1" applyBorder="1" applyAlignment="1">
      <alignment vertical="center"/>
    </xf>
    <xf numFmtId="0" fontId="12" fillId="0" borderId="76" xfId="0" applyFont="1" applyFill="1" applyBorder="1" applyAlignment="1">
      <alignment vertical="center"/>
    </xf>
    <xf numFmtId="0" fontId="2" fillId="0" borderId="74" xfId="0" applyFont="1" applyFill="1" applyBorder="1"/>
    <xf numFmtId="0" fontId="2" fillId="0" borderId="13" xfId="0" applyFont="1" applyFill="1" applyBorder="1"/>
    <xf numFmtId="0" fontId="2" fillId="0" borderId="78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2" fillId="0" borderId="80" xfId="0" applyFont="1" applyBorder="1"/>
    <xf numFmtId="0" fontId="2" fillId="0" borderId="81" xfId="0" applyFont="1" applyBorder="1"/>
    <xf numFmtId="0" fontId="2" fillId="0" borderId="81" xfId="0" applyFont="1" applyFill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35" fillId="0" borderId="80" xfId="0" applyFont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0" fontId="35" fillId="0" borderId="81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/>
    </xf>
    <xf numFmtId="0" fontId="2" fillId="0" borderId="80" xfId="0" applyFont="1" applyBorder="1" applyAlignment="1">
      <alignment horizontal="center"/>
    </xf>
    <xf numFmtId="0" fontId="2" fillId="0" borderId="80" xfId="0" applyFont="1" applyFill="1" applyBorder="1"/>
    <xf numFmtId="41" fontId="2" fillId="0" borderId="80" xfId="1" applyFont="1" applyBorder="1"/>
    <xf numFmtId="0" fontId="2" fillId="0" borderId="82" xfId="0" applyFont="1" applyBorder="1" applyAlignment="1">
      <alignment horizontal="center"/>
    </xf>
    <xf numFmtId="0" fontId="15" fillId="0" borderId="82" xfId="0" applyFont="1" applyBorder="1" applyAlignment="1">
      <alignment horizontal="right"/>
    </xf>
    <xf numFmtId="0" fontId="15" fillId="0" borderId="82" xfId="0" applyFont="1" applyBorder="1"/>
    <xf numFmtId="0" fontId="2" fillId="0" borderId="81" xfId="0" applyFont="1" applyFill="1" applyBorder="1"/>
    <xf numFmtId="41" fontId="2" fillId="0" borderId="81" xfId="1" applyFont="1" applyFill="1" applyBorder="1"/>
    <xf numFmtId="0" fontId="2" fillId="0" borderId="80" xfId="0" quotePrefix="1" applyFont="1" applyBorder="1" applyAlignment="1">
      <alignment horizontal="center"/>
    </xf>
    <xf numFmtId="0" fontId="15" fillId="0" borderId="82" xfId="0" applyFont="1" applyFill="1" applyBorder="1"/>
    <xf numFmtId="0" fontId="2" fillId="0" borderId="81" xfId="0" quotePrefix="1" applyFont="1" applyBorder="1" applyAlignment="1">
      <alignment horizontal="center"/>
    </xf>
    <xf numFmtId="41" fontId="2" fillId="0" borderId="81" xfId="1" applyFont="1" applyBorder="1"/>
    <xf numFmtId="41" fontId="20" fillId="0" borderId="81" xfId="1" applyFont="1" applyFill="1" applyBorder="1"/>
    <xf numFmtId="0" fontId="2" fillId="0" borderId="82" xfId="0" applyFont="1" applyFill="1" applyBorder="1" applyAlignment="1">
      <alignment horizontal="center"/>
    </xf>
    <xf numFmtId="0" fontId="15" fillId="0" borderId="82" xfId="0" applyFont="1" applyFill="1" applyBorder="1" applyAlignment="1">
      <alignment horizontal="right"/>
    </xf>
    <xf numFmtId="0" fontId="20" fillId="0" borderId="80" xfId="0" applyFont="1" applyFill="1" applyBorder="1" applyAlignment="1">
      <alignment horizontal="center"/>
    </xf>
    <xf numFmtId="0" fontId="20" fillId="0" borderId="82" xfId="0" applyFont="1" applyBorder="1" applyAlignment="1">
      <alignment horizontal="center"/>
    </xf>
    <xf numFmtId="0" fontId="2" fillId="0" borderId="80" xfId="0" quotePrefix="1" applyFont="1" applyFill="1" applyBorder="1" applyAlignment="1">
      <alignment horizontal="center"/>
    </xf>
    <xf numFmtId="41" fontId="2" fillId="0" borderId="80" xfId="1" applyNumberFormat="1" applyFont="1" applyFill="1" applyBorder="1" applyAlignment="1">
      <alignment horizontal="center" vertical="center"/>
    </xf>
    <xf numFmtId="0" fontId="2" fillId="0" borderId="81" xfId="0" quotePrefix="1" applyFont="1" applyFill="1" applyBorder="1" applyAlignment="1">
      <alignment horizontal="center"/>
    </xf>
    <xf numFmtId="41" fontId="2" fillId="0" borderId="81" xfId="1" applyNumberFormat="1" applyFont="1" applyFill="1" applyBorder="1" applyAlignment="1">
      <alignment horizontal="center" vertical="center"/>
    </xf>
    <xf numFmtId="0" fontId="35" fillId="0" borderId="84" xfId="0" applyFont="1" applyBorder="1" applyAlignment="1">
      <alignment vertical="center"/>
    </xf>
    <xf numFmtId="41" fontId="2" fillId="0" borderId="81" xfId="1" quotePrefix="1" applyNumberFormat="1" applyFont="1" applyFill="1" applyBorder="1" applyAlignment="1">
      <alignment horizontal="center" vertical="center"/>
    </xf>
    <xf numFmtId="0" fontId="15" fillId="0" borderId="81" xfId="0" applyFont="1" applyFill="1" applyBorder="1"/>
    <xf numFmtId="0" fontId="15" fillId="0" borderId="81" xfId="0" applyFont="1" applyFill="1" applyBorder="1" applyAlignment="1">
      <alignment horizontal="center" vertical="center"/>
    </xf>
    <xf numFmtId="41" fontId="15" fillId="0" borderId="81" xfId="1" applyNumberFormat="1" applyFont="1" applyFill="1" applyBorder="1" applyAlignment="1">
      <alignment horizontal="center" vertical="center"/>
    </xf>
    <xf numFmtId="41" fontId="15" fillId="0" borderId="81" xfId="0" applyNumberFormat="1" applyFont="1" applyFill="1" applyBorder="1" applyAlignment="1">
      <alignment horizontal="center" vertical="center"/>
    </xf>
    <xf numFmtId="0" fontId="2" fillId="0" borderId="85" xfId="0" applyFont="1" applyFill="1" applyBorder="1" applyAlignment="1">
      <alignment horizontal="center"/>
    </xf>
    <xf numFmtId="0" fontId="15" fillId="0" borderId="85" xfId="0" applyFont="1" applyFill="1" applyBorder="1" applyAlignment="1">
      <alignment horizontal="right"/>
    </xf>
    <xf numFmtId="0" fontId="15" fillId="0" borderId="85" xfId="0" applyFont="1" applyFill="1" applyBorder="1" applyAlignment="1">
      <alignment horizontal="center" vertical="center"/>
    </xf>
    <xf numFmtId="41" fontId="36" fillId="0" borderId="85" xfId="0" applyNumberFormat="1" applyFont="1" applyFill="1" applyBorder="1" applyAlignment="1">
      <alignment horizontal="center" vertical="center"/>
    </xf>
    <xf numFmtId="0" fontId="20" fillId="0" borderId="80" xfId="0" applyFont="1" applyBorder="1" applyAlignment="1">
      <alignment horizontal="center"/>
    </xf>
    <xf numFmtId="41" fontId="35" fillId="0" borderId="80" xfId="1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41" fontId="15" fillId="0" borderId="82" xfId="6" applyNumberFormat="1" applyFont="1" applyBorder="1" applyAlignment="1">
      <alignment horizontal="center" vertical="center"/>
    </xf>
    <xf numFmtId="41" fontId="35" fillId="0" borderId="81" xfId="1" applyFont="1" applyFill="1" applyBorder="1" applyAlignment="1">
      <alignment horizontal="center" vertical="center"/>
    </xf>
    <xf numFmtId="41" fontId="35" fillId="0" borderId="81" xfId="1" applyFont="1" applyBorder="1" applyAlignment="1">
      <alignment horizontal="center" vertical="center"/>
    </xf>
    <xf numFmtId="41" fontId="2" fillId="0" borderId="81" xfId="1" applyNumberFormat="1" applyFont="1" applyFill="1" applyBorder="1" applyAlignment="1">
      <alignment horizontal="right" vertical="center"/>
    </xf>
    <xf numFmtId="41" fontId="2" fillId="0" borderId="81" xfId="1" quotePrefix="1" applyNumberFormat="1" applyFont="1" applyFill="1" applyBorder="1" applyAlignment="1">
      <alignment horizontal="right" vertical="center"/>
    </xf>
    <xf numFmtId="0" fontId="2" fillId="0" borderId="90" xfId="0" applyFont="1" applyFill="1" applyBorder="1" applyAlignment="1">
      <alignment horizontal="center" vertical="center"/>
    </xf>
    <xf numFmtId="0" fontId="2" fillId="0" borderId="90" xfId="0" applyFont="1" applyFill="1" applyBorder="1" applyAlignment="1">
      <alignment vertical="center"/>
    </xf>
    <xf numFmtId="166" fontId="2" fillId="0" borderId="90" xfId="0" applyNumberFormat="1" applyFont="1" applyFill="1" applyBorder="1" applyAlignment="1">
      <alignment vertical="center"/>
    </xf>
    <xf numFmtId="0" fontId="2" fillId="0" borderId="90" xfId="0" applyFont="1" applyFill="1" applyBorder="1"/>
    <xf numFmtId="166" fontId="2" fillId="0" borderId="90" xfId="0" applyNumberFormat="1" applyFont="1" applyFill="1" applyBorder="1"/>
    <xf numFmtId="0" fontId="2" fillId="0" borderId="90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left"/>
    </xf>
    <xf numFmtId="0" fontId="2" fillId="0" borderId="96" xfId="0" applyFont="1" applyFill="1" applyBorder="1"/>
    <xf numFmtId="166" fontId="2" fillId="0" borderId="96" xfId="0" applyNumberFormat="1" applyFont="1" applyFill="1" applyBorder="1"/>
    <xf numFmtId="0" fontId="2" fillId="0" borderId="96" xfId="0" applyFont="1" applyFill="1" applyBorder="1" applyAlignment="1">
      <alignment horizontal="center"/>
    </xf>
    <xf numFmtId="0" fontId="2" fillId="0" borderId="97" xfId="0" applyFont="1" applyFill="1" applyBorder="1"/>
    <xf numFmtId="0" fontId="2" fillId="0" borderId="93" xfId="0" applyFont="1" applyFill="1" applyBorder="1"/>
    <xf numFmtId="166" fontId="2" fillId="0" borderId="93" xfId="0" applyNumberFormat="1" applyFont="1" applyFill="1" applyBorder="1"/>
    <xf numFmtId="0" fontId="2" fillId="0" borderId="93" xfId="0" applyFont="1" applyFill="1" applyBorder="1" applyAlignment="1">
      <alignment horizontal="center"/>
    </xf>
    <xf numFmtId="0" fontId="2" fillId="0" borderId="94" xfId="0" applyFont="1" applyFill="1" applyBorder="1"/>
    <xf numFmtId="0" fontId="12" fillId="0" borderId="83" xfId="0" applyFont="1" applyFill="1" applyBorder="1" applyAlignment="1">
      <alignment vertical="center"/>
    </xf>
    <xf numFmtId="0" fontId="12" fillId="0" borderId="83" xfId="0" applyFont="1" applyFill="1" applyBorder="1" applyAlignment="1">
      <alignment horizontal="center" vertical="center"/>
    </xf>
    <xf numFmtId="166" fontId="12" fillId="0" borderId="0" xfId="0" applyNumberFormat="1" applyFont="1" applyFill="1" applyAlignment="1">
      <alignment horizontal="center"/>
    </xf>
    <xf numFmtId="166" fontId="2" fillId="0" borderId="96" xfId="0" applyNumberFormat="1" applyFont="1" applyFill="1" applyBorder="1" applyAlignment="1">
      <alignment horizontal="center"/>
    </xf>
    <xf numFmtId="166" fontId="2" fillId="0" borderId="93" xfId="0" applyNumberFormat="1" applyFont="1" applyFill="1" applyBorder="1" applyAlignment="1">
      <alignment horizontal="center"/>
    </xf>
    <xf numFmtId="166" fontId="23" fillId="0" borderId="0" xfId="0" applyNumberFormat="1" applyFont="1" applyFill="1" applyAlignment="1">
      <alignment horizontal="center"/>
    </xf>
    <xf numFmtId="41" fontId="2" fillId="0" borderId="80" xfId="1" applyNumberFormat="1" applyFont="1" applyFill="1" applyBorder="1"/>
    <xf numFmtId="0" fontId="15" fillId="0" borderId="82" xfId="6" applyNumberFormat="1" applyFont="1" applyBorder="1" applyAlignment="1">
      <alignment horizontal="center" vertical="center"/>
    </xf>
    <xf numFmtId="0" fontId="15" fillId="0" borderId="82" xfId="0" applyFont="1" applyFill="1" applyBorder="1" applyAlignment="1">
      <alignment horizontal="center" vertical="center"/>
    </xf>
    <xf numFmtId="1" fontId="15" fillId="0" borderId="82" xfId="0" applyNumberFormat="1" applyFont="1" applyFill="1" applyBorder="1" applyAlignment="1">
      <alignment horizontal="center" vertical="center"/>
    </xf>
    <xf numFmtId="0" fontId="35" fillId="0" borderId="101" xfId="0" applyFont="1" applyFill="1" applyBorder="1" applyAlignment="1">
      <alignment vertical="center"/>
    </xf>
    <xf numFmtId="41" fontId="35" fillId="0" borderId="101" xfId="1" applyFont="1" applyFill="1" applyBorder="1" applyAlignment="1">
      <alignment vertical="center"/>
    </xf>
    <xf numFmtId="0" fontId="35" fillId="0" borderId="99" xfId="0" applyFont="1" applyFill="1" applyBorder="1" applyAlignment="1">
      <alignment vertical="center"/>
    </xf>
    <xf numFmtId="41" fontId="35" fillId="0" borderId="99" xfId="1" applyFont="1" applyFill="1" applyBorder="1" applyAlignment="1">
      <alignment vertical="center"/>
    </xf>
    <xf numFmtId="0" fontId="14" fillId="0" borderId="19" xfId="0" quotePrefix="1" applyFont="1" applyBorder="1" applyAlignment="1">
      <alignment horizontal="center" vertical="center"/>
    </xf>
    <xf numFmtId="0" fontId="20" fillId="0" borderId="102" xfId="0" applyFont="1" applyBorder="1"/>
    <xf numFmtId="41" fontId="36" fillId="0" borderId="85" xfId="1" applyFont="1" applyFill="1" applyBorder="1" applyAlignment="1">
      <alignment vertical="center"/>
    </xf>
    <xf numFmtId="0" fontId="15" fillId="0" borderId="23" xfId="0" applyFont="1" applyFill="1" applyBorder="1" applyAlignment="1">
      <alignment horizontal="center"/>
    </xf>
    <xf numFmtId="0" fontId="15" fillId="0" borderId="103" xfId="0" applyFont="1" applyFill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15" fillId="0" borderId="105" xfId="0" applyFont="1" applyFill="1" applyBorder="1" applyAlignment="1">
      <alignment horizontal="center"/>
    </xf>
    <xf numFmtId="0" fontId="2" fillId="0" borderId="106" xfId="0" applyFont="1" applyFill="1" applyBorder="1"/>
    <xf numFmtId="0" fontId="2" fillId="0" borderId="103" xfId="0" applyFont="1" applyFill="1" applyBorder="1" applyAlignment="1">
      <alignment horizontal="center"/>
    </xf>
    <xf numFmtId="0" fontId="2" fillId="0" borderId="10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105" xfId="0" applyFont="1" applyFill="1" applyBorder="1"/>
    <xf numFmtId="0" fontId="15" fillId="0" borderId="74" xfId="0" applyFont="1" applyFill="1" applyBorder="1"/>
    <xf numFmtId="0" fontId="15" fillId="0" borderId="105" xfId="0" applyFont="1" applyFill="1" applyBorder="1"/>
    <xf numFmtId="0" fontId="2" fillId="0" borderId="104" xfId="0" applyFont="1" applyFill="1" applyBorder="1"/>
    <xf numFmtId="0" fontId="27" fillId="0" borderId="103" xfId="0" applyFont="1" applyFill="1" applyBorder="1" applyAlignment="1">
      <alignment horizontal="center"/>
    </xf>
    <xf numFmtId="0" fontId="26" fillId="0" borderId="103" xfId="0" applyFont="1" applyFill="1" applyBorder="1" applyAlignment="1">
      <alignment horizontal="center"/>
    </xf>
    <xf numFmtId="0" fontId="26" fillId="0" borderId="104" xfId="0" applyFont="1" applyFill="1" applyBorder="1" applyAlignment="1">
      <alignment horizontal="center"/>
    </xf>
    <xf numFmtId="0" fontId="26" fillId="0" borderId="105" xfId="0" applyFont="1" applyFill="1" applyBorder="1" applyAlignment="1">
      <alignment horizontal="center"/>
    </xf>
    <xf numFmtId="0" fontId="8" fillId="6" borderId="75" xfId="0" applyFont="1" applyFill="1" applyBorder="1" applyAlignment="1">
      <alignment horizontal="right" vertical="center"/>
    </xf>
    <xf numFmtId="0" fontId="24" fillId="0" borderId="0" xfId="0" applyFont="1" applyFill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2" fillId="0" borderId="77" xfId="0" applyFont="1" applyFill="1" applyBorder="1" applyAlignment="1">
      <alignment horizontal="center"/>
    </xf>
    <xf numFmtId="0" fontId="2" fillId="0" borderId="108" xfId="0" applyFont="1" applyFill="1" applyBorder="1" applyAlignment="1">
      <alignment horizontal="center"/>
    </xf>
    <xf numFmtId="0" fontId="2" fillId="0" borderId="79" xfId="0" applyFont="1" applyFill="1" applyBorder="1" applyAlignment="1">
      <alignment horizontal="center"/>
    </xf>
    <xf numFmtId="0" fontId="15" fillId="0" borderId="108" xfId="0" applyFont="1" applyFill="1" applyBorder="1" applyAlignment="1">
      <alignment horizontal="center"/>
    </xf>
    <xf numFmtId="0" fontId="15" fillId="0" borderId="115" xfId="0" applyFont="1" applyFill="1" applyBorder="1" applyAlignment="1">
      <alignment horizontal="center"/>
    </xf>
    <xf numFmtId="0" fontId="2" fillId="0" borderId="115" xfId="0" applyFont="1" applyFill="1" applyBorder="1" applyAlignment="1">
      <alignment horizontal="center"/>
    </xf>
    <xf numFmtId="0" fontId="2" fillId="0" borderId="116" xfId="0" applyFont="1" applyFill="1" applyBorder="1" applyAlignment="1">
      <alignment horizontal="center"/>
    </xf>
    <xf numFmtId="0" fontId="15" fillId="0" borderId="117" xfId="0" applyFont="1" applyFill="1" applyBorder="1" applyAlignment="1">
      <alignment horizontal="center"/>
    </xf>
    <xf numFmtId="0" fontId="2" fillId="0" borderId="112" xfId="0" applyFont="1" applyFill="1" applyBorder="1"/>
    <xf numFmtId="0" fontId="15" fillId="0" borderId="116" xfId="0" applyFont="1" applyFill="1" applyBorder="1"/>
    <xf numFmtId="0" fontId="15" fillId="0" borderId="110" xfId="0" applyFont="1" applyFill="1" applyBorder="1"/>
    <xf numFmtId="0" fontId="15" fillId="0" borderId="78" xfId="0" applyFont="1" applyFill="1" applyBorder="1" applyAlignment="1">
      <alignment horizontal="center"/>
    </xf>
    <xf numFmtId="0" fontId="15" fillId="0" borderId="7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2" fillId="0" borderId="112" xfId="0" applyFont="1" applyFill="1" applyBorder="1" applyAlignment="1">
      <alignment horizontal="left"/>
    </xf>
    <xf numFmtId="0" fontId="2" fillId="0" borderId="109" xfId="0" applyFont="1" applyFill="1" applyBorder="1"/>
    <xf numFmtId="0" fontId="15" fillId="0" borderId="114" xfId="0" applyFont="1" applyFill="1" applyBorder="1"/>
    <xf numFmtId="0" fontId="2" fillId="0" borderId="113" xfId="0" applyFont="1" applyFill="1" applyBorder="1" applyAlignment="1">
      <alignment horizontal="center"/>
    </xf>
    <xf numFmtId="0" fontId="15" fillId="0" borderId="79" xfId="0" applyFont="1" applyFill="1" applyBorder="1"/>
    <xf numFmtId="0" fontId="30" fillId="0" borderId="0" xfId="0" applyFont="1" applyFill="1"/>
    <xf numFmtId="1" fontId="0" fillId="0" borderId="19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  <xf numFmtId="0" fontId="15" fillId="0" borderId="116" xfId="0" applyFont="1" applyFill="1" applyBorder="1" applyAlignment="1">
      <alignment horizontal="left"/>
    </xf>
    <xf numFmtId="0" fontId="36" fillId="0" borderId="10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2" fillId="0" borderId="118" xfId="0" applyFont="1" applyFill="1" applyBorder="1"/>
    <xf numFmtId="0" fontId="20" fillId="0" borderId="0" xfId="10" applyFont="1" applyFill="1" applyBorder="1" applyAlignment="1">
      <alignment horizontal="center" vertical="center"/>
    </xf>
    <xf numFmtId="0" fontId="20" fillId="0" borderId="20" xfId="10" applyFont="1" applyFill="1" applyBorder="1" applyAlignment="1">
      <alignment horizontal="center" vertical="center"/>
    </xf>
    <xf numFmtId="0" fontId="20" fillId="0" borderId="24" xfId="10" applyFont="1" applyFill="1" applyBorder="1" applyAlignment="1">
      <alignment vertical="center"/>
    </xf>
    <xf numFmtId="166" fontId="20" fillId="0" borderId="0" xfId="0" applyNumberFormat="1" applyFont="1" applyFill="1"/>
    <xf numFmtId="1" fontId="20" fillId="0" borderId="0" xfId="0" applyNumberFormat="1" applyFont="1" applyFill="1"/>
    <xf numFmtId="0" fontId="20" fillId="0" borderId="98" xfId="10" quotePrefix="1" applyFont="1" applyFill="1" applyBorder="1" applyAlignment="1">
      <alignment horizontal="center" vertical="center"/>
    </xf>
    <xf numFmtId="0" fontId="20" fillId="0" borderId="98" xfId="10" applyFont="1" applyFill="1" applyBorder="1" applyAlignment="1">
      <alignment horizontal="center" vertical="center"/>
    </xf>
    <xf numFmtId="0" fontId="20" fillId="0" borderId="98" xfId="10" applyFont="1" applyFill="1" applyBorder="1" applyAlignment="1">
      <alignment vertical="center"/>
    </xf>
    <xf numFmtId="166" fontId="20" fillId="0" borderId="98" xfId="10" applyNumberFormat="1" applyFont="1" applyFill="1" applyBorder="1" applyAlignment="1">
      <alignment horizontal="right" vertical="center"/>
    </xf>
    <xf numFmtId="167" fontId="20" fillId="0" borderId="98" xfId="10" applyNumberFormat="1" applyFont="1" applyFill="1" applyBorder="1" applyAlignment="1">
      <alignment horizontal="center" vertical="center"/>
    </xf>
    <xf numFmtId="0" fontId="20" fillId="0" borderId="98" xfId="10" applyFont="1" applyFill="1" applyBorder="1" applyAlignment="1">
      <alignment vertical="center" wrapText="1"/>
    </xf>
    <xf numFmtId="0" fontId="20" fillId="0" borderId="98" xfId="12" applyFont="1" applyFill="1" applyBorder="1" applyAlignment="1">
      <alignment vertical="center" wrapText="1"/>
    </xf>
    <xf numFmtId="0" fontId="20" fillId="0" borderId="98" xfId="2" applyFont="1" applyFill="1" applyBorder="1" applyAlignment="1">
      <alignment vertical="center" wrapText="1"/>
    </xf>
    <xf numFmtId="0" fontId="20" fillId="0" borderId="100" xfId="10" applyFont="1" applyFill="1" applyBorder="1" applyAlignment="1">
      <alignment horizontal="center" vertical="center"/>
    </xf>
    <xf numFmtId="166" fontId="20" fillId="0" borderId="100" xfId="10" applyNumberFormat="1" applyFont="1" applyFill="1" applyBorder="1" applyAlignment="1">
      <alignment horizontal="right" vertical="center"/>
    </xf>
    <xf numFmtId="0" fontId="20" fillId="0" borderId="100" xfId="10" applyFont="1" applyFill="1" applyBorder="1" applyAlignment="1">
      <alignment vertical="center"/>
    </xf>
    <xf numFmtId="167" fontId="20" fillId="0" borderId="100" xfId="10" applyNumberFormat="1" applyFont="1" applyFill="1" applyBorder="1" applyAlignment="1">
      <alignment horizontal="center" vertical="center"/>
    </xf>
    <xf numFmtId="0" fontId="20" fillId="0" borderId="100" xfId="1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165" fontId="0" fillId="0" borderId="19" xfId="4" applyNumberFormat="1" applyFont="1" applyBorder="1" applyAlignment="1">
      <alignment horizontal="right" vertical="center"/>
    </xf>
    <xf numFmtId="0" fontId="32" fillId="0" borderId="0" xfId="11" applyFont="1" applyFill="1" applyAlignment="1">
      <alignment horizontal="center" vertical="center" wrapText="1"/>
    </xf>
    <xf numFmtId="0" fontId="21" fillId="0" borderId="0" xfId="11" applyFont="1" applyFill="1" applyAlignment="1">
      <alignment horizontal="center" vertical="center" wrapText="1"/>
    </xf>
    <xf numFmtId="165" fontId="1" fillId="0" borderId="111" xfId="4" applyNumberFormat="1" applyFont="1" applyBorder="1" applyAlignment="1">
      <alignment vertical="center"/>
    </xf>
    <xf numFmtId="165" fontId="1" fillId="0" borderId="111" xfId="4" applyNumberFormat="1" applyFont="1" applyBorder="1" applyAlignment="1">
      <alignment horizontal="right" vertical="center"/>
    </xf>
    <xf numFmtId="165" fontId="0" fillId="0" borderId="111" xfId="4" applyNumberFormat="1" applyFont="1" applyBorder="1" applyAlignment="1">
      <alignment horizontal="left" vertical="center" wrapText="1"/>
    </xf>
    <xf numFmtId="165" fontId="0" fillId="0" borderId="60" xfId="4" applyNumberFormat="1" applyFont="1" applyBorder="1" applyAlignment="1">
      <alignment vertical="center"/>
    </xf>
    <xf numFmtId="165" fontId="0" fillId="0" borderId="60" xfId="4" applyNumberFormat="1" applyFont="1" applyBorder="1" applyAlignment="1">
      <alignment horizontal="left" vertical="center" wrapText="1"/>
    </xf>
    <xf numFmtId="0" fontId="15" fillId="0" borderId="86" xfId="2" applyFont="1" applyFill="1" applyBorder="1" applyAlignment="1">
      <alignment horizontal="center" vertical="center" wrapText="1"/>
    </xf>
    <xf numFmtId="0" fontId="15" fillId="0" borderId="87" xfId="2" applyFont="1" applyFill="1" applyBorder="1" applyAlignment="1">
      <alignment horizontal="center" vertical="center" wrapText="1"/>
    </xf>
    <xf numFmtId="166" fontId="15" fillId="0" borderId="87" xfId="2" applyNumberFormat="1" applyFont="1" applyFill="1" applyBorder="1" applyAlignment="1">
      <alignment horizontal="center" vertical="center" wrapText="1"/>
    </xf>
    <xf numFmtId="0" fontId="15" fillId="0" borderId="87" xfId="2" applyFont="1" applyFill="1" applyBorder="1" applyAlignment="1">
      <alignment horizontal="center" wrapText="1"/>
    </xf>
    <xf numFmtId="0" fontId="15" fillId="0" borderId="88" xfId="2" applyFont="1" applyFill="1" applyBorder="1" applyAlignment="1">
      <alignment horizontal="center" vertical="center" wrapText="1"/>
    </xf>
    <xf numFmtId="0" fontId="38" fillId="0" borderId="0" xfId="0" applyFont="1" applyFill="1"/>
    <xf numFmtId="0" fontId="2" fillId="0" borderId="89" xfId="2" applyFont="1" applyFill="1" applyBorder="1" applyAlignment="1">
      <alignment horizontal="center" vertical="center"/>
    </xf>
    <xf numFmtId="0" fontId="2" fillId="0" borderId="90" xfId="2" quotePrefix="1" applyFont="1" applyFill="1" applyBorder="1" applyAlignment="1">
      <alignment horizontal="center" vertical="center"/>
    </xf>
    <xf numFmtId="0" fontId="2" fillId="0" borderId="90" xfId="2" applyFont="1" applyFill="1" applyBorder="1" applyAlignment="1">
      <alignment vertical="center"/>
    </xf>
    <xf numFmtId="0" fontId="2" fillId="0" borderId="90" xfId="2" applyFont="1" applyFill="1" applyBorder="1" applyAlignment="1">
      <alignment horizontal="center" vertical="center"/>
    </xf>
    <xf numFmtId="0" fontId="2" fillId="0" borderId="90" xfId="2" applyFont="1" applyFill="1" applyBorder="1" applyAlignment="1">
      <alignment horizontal="left" vertical="center"/>
    </xf>
    <xf numFmtId="166" fontId="2" fillId="0" borderId="90" xfId="3" applyNumberFormat="1" applyFont="1" applyFill="1" applyBorder="1" applyAlignment="1">
      <alignment horizontal="right" vertical="center" wrapText="1"/>
    </xf>
    <xf numFmtId="0" fontId="2" fillId="0" borderId="90" xfId="3" applyFont="1" applyFill="1" applyBorder="1" applyAlignment="1">
      <alignment horizontal="center" vertical="center" wrapText="1"/>
    </xf>
    <xf numFmtId="0" fontId="2" fillId="0" borderId="91" xfId="2" applyFont="1" applyFill="1" applyBorder="1" applyAlignment="1">
      <alignment horizontal="left" vertical="center"/>
    </xf>
    <xf numFmtId="0" fontId="15" fillId="0" borderId="89" xfId="2" applyFont="1" applyFill="1" applyBorder="1" applyAlignment="1">
      <alignment horizontal="center" vertical="center"/>
    </xf>
    <xf numFmtId="167" fontId="2" fillId="0" borderId="90" xfId="3" applyNumberFormat="1" applyFont="1" applyFill="1" applyBorder="1" applyAlignment="1">
      <alignment horizontal="center" vertical="center" wrapText="1"/>
    </xf>
    <xf numFmtId="0" fontId="2" fillId="0" borderId="90" xfId="2" applyFont="1" applyFill="1" applyBorder="1" applyAlignment="1">
      <alignment horizontal="center"/>
    </xf>
    <xf numFmtId="0" fontId="15" fillId="0" borderId="90" xfId="2" applyFont="1" applyFill="1" applyBorder="1" applyAlignment="1">
      <alignment horizontal="left" vertical="center"/>
    </xf>
    <xf numFmtId="0" fontId="39" fillId="0" borderId="0" xfId="0" applyFont="1" applyFill="1"/>
    <xf numFmtId="0" fontId="2" fillId="0" borderId="89" xfId="2" quotePrefix="1" applyFont="1" applyFill="1" applyBorder="1" applyAlignment="1">
      <alignment horizontal="center" vertical="center"/>
    </xf>
    <xf numFmtId="14" fontId="35" fillId="0" borderId="90" xfId="0" applyNumberFormat="1" applyFont="1" applyFill="1" applyBorder="1" applyAlignment="1">
      <alignment horizontal="center"/>
    </xf>
    <xf numFmtId="0" fontId="2" fillId="0" borderId="90" xfId="3" applyFont="1" applyFill="1" applyBorder="1" applyAlignment="1">
      <alignment vertical="center" wrapText="1"/>
    </xf>
    <xf numFmtId="0" fontId="22" fillId="0" borderId="90" xfId="8" applyFont="1" applyFill="1" applyBorder="1" applyAlignment="1">
      <alignment horizontal="center" wrapText="1"/>
    </xf>
    <xf numFmtId="0" fontId="15" fillId="0" borderId="90" xfId="2" applyFont="1" applyFill="1" applyBorder="1" applyAlignment="1">
      <alignment horizontal="center" vertical="center"/>
    </xf>
    <xf numFmtId="0" fontId="15" fillId="0" borderId="90" xfId="2" applyFont="1" applyFill="1" applyBorder="1" applyAlignment="1">
      <alignment horizontal="center" vertical="center" wrapText="1"/>
    </xf>
    <xf numFmtId="166" fontId="2" fillId="0" borderId="90" xfId="2" applyNumberFormat="1" applyFont="1" applyFill="1" applyBorder="1" applyAlignment="1">
      <alignment horizontal="center" vertical="center"/>
    </xf>
    <xf numFmtId="0" fontId="2" fillId="0" borderId="91" xfId="2" applyFont="1" applyFill="1" applyBorder="1" applyAlignment="1">
      <alignment horizontal="center" vertical="center"/>
    </xf>
    <xf numFmtId="0" fontId="2" fillId="0" borderId="90" xfId="2" quotePrefix="1" applyFont="1" applyFill="1" applyBorder="1" applyAlignment="1">
      <alignment horizontal="center"/>
    </xf>
    <xf numFmtId="0" fontId="2" fillId="0" borderId="89" xfId="0" quotePrefix="1" applyFont="1" applyFill="1" applyBorder="1" applyAlignment="1">
      <alignment horizontal="center"/>
    </xf>
    <xf numFmtId="0" fontId="9" fillId="0" borderId="90" xfId="0" applyFont="1" applyFill="1" applyBorder="1"/>
    <xf numFmtId="166" fontId="9" fillId="0" borderId="90" xfId="0" applyNumberFormat="1" applyFont="1" applyFill="1" applyBorder="1"/>
    <xf numFmtId="0" fontId="9" fillId="0" borderId="90" xfId="0" applyFont="1" applyFill="1" applyBorder="1" applyAlignment="1">
      <alignment horizontal="center"/>
    </xf>
    <xf numFmtId="0" fontId="2" fillId="0" borderId="120" xfId="2" quotePrefix="1" applyFont="1" applyFill="1" applyBorder="1" applyAlignment="1">
      <alignment horizontal="center" vertical="center"/>
    </xf>
    <xf numFmtId="0" fontId="2" fillId="0" borderId="120" xfId="2" applyFont="1" applyFill="1" applyBorder="1" applyAlignment="1">
      <alignment vertical="center"/>
    </xf>
    <xf numFmtId="0" fontId="2" fillId="0" borderId="120" xfId="2" applyFont="1" applyFill="1" applyBorder="1" applyAlignment="1">
      <alignment horizontal="center" vertical="center"/>
    </xf>
    <xf numFmtId="0" fontId="2" fillId="0" borderId="120" xfId="3" applyFont="1" applyFill="1" applyBorder="1" applyAlignment="1">
      <alignment vertical="center" wrapText="1"/>
    </xf>
    <xf numFmtId="166" fontId="2" fillId="0" borderId="120" xfId="3" applyNumberFormat="1" applyFont="1" applyFill="1" applyBorder="1" applyAlignment="1">
      <alignment horizontal="right" vertical="center" wrapText="1"/>
    </xf>
    <xf numFmtId="14" fontId="35" fillId="0" borderId="120" xfId="0" applyNumberFormat="1" applyFont="1" applyFill="1" applyBorder="1" applyAlignment="1">
      <alignment horizontal="center"/>
    </xf>
    <xf numFmtId="0" fontId="2" fillId="0" borderId="120" xfId="3" applyFont="1" applyFill="1" applyBorder="1" applyAlignment="1">
      <alignment horizontal="center" vertical="center" wrapText="1"/>
    </xf>
    <xf numFmtId="0" fontId="2" fillId="0" borderId="120" xfId="2" applyFont="1" applyFill="1" applyBorder="1" applyAlignment="1">
      <alignment horizontal="center"/>
    </xf>
    <xf numFmtId="0" fontId="15" fillId="0" borderId="95" xfId="2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/>
    </xf>
    <xf numFmtId="0" fontId="15" fillId="0" borderId="92" xfId="0" applyFont="1" applyFill="1" applyBorder="1" applyAlignment="1">
      <alignment horizontal="center" vertical="center"/>
    </xf>
    <xf numFmtId="0" fontId="15" fillId="0" borderId="93" xfId="0" applyFont="1" applyFill="1" applyBorder="1" applyAlignment="1">
      <alignment horizontal="center"/>
    </xf>
    <xf numFmtId="0" fontId="38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/>
    <xf numFmtId="166" fontId="2" fillId="0" borderId="0" xfId="0" applyNumberFormat="1" applyFont="1" applyFill="1"/>
    <xf numFmtId="0" fontId="39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6" fontId="38" fillId="0" borderId="0" xfId="0" applyNumberFormat="1" applyFont="1" applyFill="1"/>
    <xf numFmtId="166" fontId="38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39" fillId="0" borderId="123" xfId="0" applyFont="1" applyFill="1" applyBorder="1"/>
    <xf numFmtId="0" fontId="39" fillId="0" borderId="120" xfId="0" applyFont="1" applyFill="1" applyBorder="1"/>
    <xf numFmtId="166" fontId="39" fillId="0" borderId="120" xfId="0" applyNumberFormat="1" applyFont="1" applyFill="1" applyBorder="1" applyAlignment="1">
      <alignment horizontal="center"/>
    </xf>
    <xf numFmtId="14" fontId="39" fillId="0" borderId="120" xfId="0" applyNumberFormat="1" applyFont="1" applyFill="1" applyBorder="1"/>
    <xf numFmtId="0" fontId="15" fillId="0" borderId="103" xfId="0" applyFont="1" applyFill="1" applyBorder="1" applyAlignment="1">
      <alignment horizontal="center" vertical="center"/>
    </xf>
    <xf numFmtId="0" fontId="37" fillId="0" borderId="59" xfId="1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36" fillId="6" borderId="103" xfId="0" applyFont="1" applyFill="1" applyBorder="1" applyAlignment="1">
      <alignment horizontal="center" vertical="center"/>
    </xf>
    <xf numFmtId="0" fontId="15" fillId="0" borderId="132" xfId="0" applyFont="1" applyFill="1" applyBorder="1" applyAlignment="1">
      <alignment horizontal="center"/>
    </xf>
    <xf numFmtId="0" fontId="2" fillId="0" borderId="134" xfId="0" applyFont="1" applyFill="1" applyBorder="1" applyAlignment="1">
      <alignment horizontal="center"/>
    </xf>
    <xf numFmtId="0" fontId="2" fillId="0" borderId="135" xfId="0" applyFont="1" applyFill="1" applyBorder="1" applyAlignment="1">
      <alignment horizontal="center"/>
    </xf>
    <xf numFmtId="0" fontId="36" fillId="6" borderId="136" xfId="0" applyFont="1" applyFill="1" applyBorder="1" applyAlignment="1">
      <alignment horizontal="center" vertical="center"/>
    </xf>
    <xf numFmtId="0" fontId="36" fillId="0" borderId="136" xfId="0" applyFont="1" applyFill="1" applyBorder="1" applyAlignment="1">
      <alignment horizontal="center" vertical="center"/>
    </xf>
    <xf numFmtId="0" fontId="2" fillId="0" borderId="104" xfId="0" applyFont="1" applyFill="1" applyBorder="1" applyAlignment="1">
      <alignment horizontal="left"/>
    </xf>
    <xf numFmtId="0" fontId="2" fillId="0" borderId="137" xfId="0" applyFont="1" applyFill="1" applyBorder="1" applyAlignment="1">
      <alignment horizontal="center"/>
    </xf>
    <xf numFmtId="0" fontId="2" fillId="0" borderId="113" xfId="0" applyFont="1" applyFill="1" applyBorder="1"/>
    <xf numFmtId="0" fontId="36" fillId="6" borderId="134" xfId="0" applyFont="1" applyFill="1" applyBorder="1" applyAlignment="1">
      <alignment horizontal="center" vertical="center"/>
    </xf>
    <xf numFmtId="0" fontId="2" fillId="0" borderId="138" xfId="0" applyFont="1" applyFill="1" applyBorder="1" applyAlignment="1">
      <alignment horizontal="center"/>
    </xf>
    <xf numFmtId="0" fontId="2" fillId="0" borderId="132" xfId="0" applyFont="1" applyFill="1" applyBorder="1" applyAlignment="1">
      <alignment horizontal="center"/>
    </xf>
    <xf numFmtId="0" fontId="15" fillId="0" borderId="108" xfId="0" applyFont="1" applyFill="1" applyBorder="1" applyAlignment="1">
      <alignment horizontal="center" vertical="center"/>
    </xf>
    <xf numFmtId="0" fontId="36" fillId="6" borderId="108" xfId="0" applyFont="1" applyFill="1" applyBorder="1" applyAlignment="1">
      <alignment horizontal="center" vertical="center"/>
    </xf>
    <xf numFmtId="0" fontId="36" fillId="0" borderId="108" xfId="0" applyFont="1" applyFill="1" applyBorder="1" applyAlignment="1">
      <alignment horizontal="center" vertical="center"/>
    </xf>
    <xf numFmtId="0" fontId="36" fillId="6" borderId="145" xfId="0" applyFont="1" applyFill="1" applyBorder="1" applyAlignment="1">
      <alignment horizontal="center" vertical="center"/>
    </xf>
    <xf numFmtId="0" fontId="15" fillId="0" borderId="77" xfId="0" applyFont="1" applyFill="1" applyBorder="1" applyAlignment="1">
      <alignment horizontal="center" vertical="center"/>
    </xf>
    <xf numFmtId="0" fontId="36" fillId="6" borderId="77" xfId="0" applyFont="1" applyFill="1" applyBorder="1" applyAlignment="1">
      <alignment horizontal="center" vertical="center"/>
    </xf>
    <xf numFmtId="0" fontId="36" fillId="0" borderId="146" xfId="0" applyFont="1" applyFill="1" applyBorder="1" applyAlignment="1">
      <alignment horizontal="center" vertical="center"/>
    </xf>
    <xf numFmtId="0" fontId="15" fillId="0" borderId="147" xfId="0" applyFont="1" applyFill="1" applyBorder="1" applyAlignment="1">
      <alignment horizontal="center"/>
    </xf>
    <xf numFmtId="0" fontId="15" fillId="0" borderId="148" xfId="0" quotePrefix="1" applyFont="1" applyFill="1" applyBorder="1" applyAlignment="1">
      <alignment horizontal="center"/>
    </xf>
    <xf numFmtId="0" fontId="15" fillId="0" borderId="149" xfId="0" applyFont="1" applyFill="1" applyBorder="1"/>
    <xf numFmtId="0" fontId="15" fillId="0" borderId="150" xfId="0" applyFont="1" applyFill="1" applyBorder="1" applyAlignment="1">
      <alignment horizontal="center" vertical="center"/>
    </xf>
    <xf numFmtId="0" fontId="36" fillId="0" borderId="150" xfId="0" applyFont="1" applyFill="1" applyBorder="1" applyAlignment="1">
      <alignment horizontal="center" vertical="center"/>
    </xf>
    <xf numFmtId="0" fontId="36" fillId="0" borderId="151" xfId="0" applyFont="1" applyFill="1" applyBorder="1" applyAlignment="1">
      <alignment horizontal="center" vertical="center"/>
    </xf>
    <xf numFmtId="0" fontId="36" fillId="0" borderId="77" xfId="0" applyFont="1" applyFill="1" applyBorder="1" applyAlignment="1">
      <alignment horizontal="center" vertical="center"/>
    </xf>
    <xf numFmtId="0" fontId="36" fillId="6" borderId="146" xfId="0" applyFont="1" applyFill="1" applyBorder="1" applyAlignment="1">
      <alignment horizontal="center" vertical="center"/>
    </xf>
    <xf numFmtId="0" fontId="15" fillId="0" borderId="148" xfId="0" applyFont="1" applyFill="1" applyBorder="1" applyAlignment="1">
      <alignment horizontal="center"/>
    </xf>
    <xf numFmtId="0" fontId="15" fillId="0" borderId="150" xfId="0" applyFont="1" applyFill="1" applyBorder="1" applyAlignment="1">
      <alignment horizontal="center"/>
    </xf>
    <xf numFmtId="0" fontId="15" fillId="0" borderId="149" xfId="0" applyFont="1" applyFill="1" applyBorder="1" applyAlignment="1">
      <alignment horizontal="center" vertical="center"/>
    </xf>
    <xf numFmtId="0" fontId="15" fillId="0" borderId="148" xfId="0" applyFont="1" applyFill="1" applyBorder="1" applyAlignment="1">
      <alignment horizontal="center" vertical="center"/>
    </xf>
    <xf numFmtId="0" fontId="15" fillId="0" borderId="151" xfId="0" applyFont="1" applyFill="1" applyBorder="1" applyAlignment="1">
      <alignment horizontal="center" vertical="center"/>
    </xf>
    <xf numFmtId="0" fontId="15" fillId="0" borderId="148" xfId="0" applyFont="1" applyFill="1" applyBorder="1"/>
    <xf numFmtId="0" fontId="2" fillId="0" borderId="147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15" fillId="0" borderId="21" xfId="0" applyFont="1" applyFill="1" applyBorder="1"/>
    <xf numFmtId="0" fontId="15" fillId="0" borderId="21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 vertical="center"/>
    </xf>
    <xf numFmtId="0" fontId="35" fillId="6" borderId="103" xfId="0" applyFont="1" applyFill="1" applyBorder="1" applyAlignment="1">
      <alignment horizontal="center" vertical="center"/>
    </xf>
    <xf numFmtId="0" fontId="35" fillId="6" borderId="13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/>
    </xf>
    <xf numFmtId="0" fontId="15" fillId="0" borderId="153" xfId="0" applyFont="1" applyFill="1" applyBorder="1"/>
    <xf numFmtId="0" fontId="2" fillId="6" borderId="108" xfId="0" applyFont="1" applyFill="1" applyBorder="1" applyAlignment="1">
      <alignment horizontal="center"/>
    </xf>
    <xf numFmtId="0" fontId="2" fillId="6" borderId="112" xfId="0" applyFont="1" applyFill="1" applyBorder="1" applyAlignment="1">
      <alignment horizontal="center"/>
    </xf>
    <xf numFmtId="0" fontId="2" fillId="0" borderId="77" xfId="0" applyFont="1" applyFill="1" applyBorder="1"/>
    <xf numFmtId="0" fontId="15" fillId="0" borderId="117" xfId="0" applyFont="1" applyFill="1" applyBorder="1"/>
    <xf numFmtId="0" fontId="2" fillId="0" borderId="114" xfId="0" applyFont="1" applyFill="1" applyBorder="1"/>
    <xf numFmtId="0" fontId="2" fillId="0" borderId="116" xfId="0" applyFont="1" applyFill="1" applyBorder="1"/>
    <xf numFmtId="0" fontId="15" fillId="0" borderId="114" xfId="0" applyFont="1" applyFill="1" applyBorder="1" applyAlignment="1">
      <alignment horizontal="center"/>
    </xf>
    <xf numFmtId="0" fontId="2" fillId="0" borderId="114" xfId="0" applyFont="1" applyFill="1" applyBorder="1" applyAlignment="1">
      <alignment horizontal="center"/>
    </xf>
    <xf numFmtId="0" fontId="2" fillId="6" borderId="103" xfId="0" applyFont="1" applyFill="1" applyBorder="1" applyAlignment="1">
      <alignment horizontal="center" vertical="center"/>
    </xf>
    <xf numFmtId="0" fontId="2" fillId="6" borderId="103" xfId="0" applyFont="1" applyFill="1" applyBorder="1" applyAlignment="1">
      <alignment horizontal="center"/>
    </xf>
    <xf numFmtId="0" fontId="2" fillId="6" borderId="104" xfId="0" applyFont="1" applyFill="1" applyBorder="1" applyAlignment="1">
      <alignment horizontal="center"/>
    </xf>
    <xf numFmtId="0" fontId="35" fillId="6" borderId="77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74" xfId="0" applyFont="1" applyFill="1" applyBorder="1" applyAlignment="1">
      <alignment horizontal="center" vertical="center"/>
    </xf>
    <xf numFmtId="0" fontId="26" fillId="0" borderId="134" xfId="0" applyFont="1" applyFill="1" applyBorder="1" applyAlignment="1">
      <alignment horizontal="center" vertical="center"/>
    </xf>
    <xf numFmtId="0" fontId="15" fillId="0" borderId="138" xfId="0" applyFont="1" applyFill="1" applyBorder="1" applyAlignment="1">
      <alignment horizontal="center"/>
    </xf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 vertical="center"/>
    </xf>
    <xf numFmtId="0" fontId="2" fillId="0" borderId="75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left"/>
    </xf>
    <xf numFmtId="0" fontId="15" fillId="0" borderId="116" xfId="0" applyFont="1" applyFill="1" applyBorder="1" applyAlignment="1">
      <alignment horizontal="center"/>
    </xf>
    <xf numFmtId="0" fontId="2" fillId="6" borderId="77" xfId="0" applyFont="1" applyFill="1" applyBorder="1" applyAlignment="1">
      <alignment horizontal="center"/>
    </xf>
    <xf numFmtId="0" fontId="2" fillId="6" borderId="79" xfId="0" applyFont="1" applyFill="1" applyBorder="1" applyAlignment="1">
      <alignment horizontal="center"/>
    </xf>
    <xf numFmtId="0" fontId="2" fillId="6" borderId="105" xfId="0" applyFont="1" applyFill="1" applyBorder="1" applyAlignment="1">
      <alignment horizontal="center"/>
    </xf>
    <xf numFmtId="0" fontId="2" fillId="6" borderId="78" xfId="0" applyFont="1" applyFill="1" applyBorder="1" applyAlignment="1">
      <alignment horizontal="center"/>
    </xf>
    <xf numFmtId="0" fontId="2" fillId="6" borderId="152" xfId="0" applyFont="1" applyFill="1" applyBorder="1" applyAlignment="1">
      <alignment horizontal="center"/>
    </xf>
    <xf numFmtId="0" fontId="12" fillId="0" borderId="154" xfId="0" quotePrefix="1" applyFont="1" applyFill="1" applyBorder="1" applyAlignment="1">
      <alignment horizontal="center" vertical="center"/>
    </xf>
    <xf numFmtId="0" fontId="12" fillId="0" borderId="154" xfId="0" applyFont="1" applyFill="1" applyBorder="1" applyAlignment="1">
      <alignment horizontal="left" vertical="center"/>
    </xf>
    <xf numFmtId="166" fontId="12" fillId="0" borderId="154" xfId="0" applyNumberFormat="1" applyFont="1" applyFill="1" applyBorder="1" applyAlignment="1">
      <alignment horizontal="right" vertical="center"/>
    </xf>
    <xf numFmtId="0" fontId="12" fillId="0" borderId="154" xfId="0" applyFont="1" applyFill="1" applyBorder="1" applyAlignment="1">
      <alignment horizontal="center" vertical="center"/>
    </xf>
    <xf numFmtId="15" fontId="12" fillId="0" borderId="154" xfId="0" applyNumberFormat="1" applyFont="1" applyFill="1" applyBorder="1" applyAlignment="1">
      <alignment horizontal="center" vertical="center"/>
    </xf>
    <xf numFmtId="0" fontId="12" fillId="0" borderId="98" xfId="0" quotePrefix="1" applyFont="1" applyFill="1" applyBorder="1" applyAlignment="1">
      <alignment horizontal="center" vertical="center"/>
    </xf>
    <xf numFmtId="0" fontId="12" fillId="0" borderId="98" xfId="0" applyFont="1" applyFill="1" applyBorder="1" applyAlignment="1">
      <alignment horizontal="left" vertical="center"/>
    </xf>
    <xf numFmtId="166" fontId="12" fillId="0" borderId="98" xfId="0" applyNumberFormat="1" applyFont="1" applyFill="1" applyBorder="1" applyAlignment="1">
      <alignment horizontal="right" vertical="center"/>
    </xf>
    <xf numFmtId="0" fontId="12" fillId="0" borderId="98" xfId="0" applyFont="1" applyFill="1" applyBorder="1" applyAlignment="1">
      <alignment horizontal="center" vertical="center"/>
    </xf>
    <xf numFmtId="15" fontId="12" fillId="0" borderId="98" xfId="0" applyNumberFormat="1" applyFont="1" applyFill="1" applyBorder="1" applyAlignment="1">
      <alignment horizontal="center" vertical="center"/>
    </xf>
    <xf numFmtId="0" fontId="10" fillId="0" borderId="98" xfId="2" applyFont="1" applyFill="1" applyBorder="1" applyAlignment="1">
      <alignment horizontal="left" vertical="center"/>
    </xf>
    <xf numFmtId="166" fontId="10" fillId="0" borderId="98" xfId="2" applyNumberFormat="1" applyFont="1" applyFill="1" applyBorder="1" applyAlignment="1">
      <alignment horizontal="right" vertical="center"/>
    </xf>
    <xf numFmtId="0" fontId="12" fillId="0" borderId="155" xfId="0" applyFont="1" applyFill="1" applyBorder="1" applyAlignment="1">
      <alignment vertical="center"/>
    </xf>
    <xf numFmtId="0" fontId="10" fillId="0" borderId="156" xfId="2" applyFont="1" applyFill="1" applyBorder="1" applyAlignment="1">
      <alignment horizontal="center" vertical="center"/>
    </xf>
    <xf numFmtId="0" fontId="10" fillId="0" borderId="157" xfId="2" applyFont="1" applyFill="1" applyBorder="1" applyAlignment="1">
      <alignment horizontal="left" vertical="center"/>
    </xf>
    <xf numFmtId="166" fontId="10" fillId="0" borderId="156" xfId="2" applyNumberFormat="1" applyFont="1" applyFill="1" applyBorder="1" applyAlignment="1">
      <alignment horizontal="right" vertical="center"/>
    </xf>
    <xf numFmtId="0" fontId="10" fillId="0" borderId="156" xfId="2" applyFont="1" applyFill="1" applyBorder="1" applyAlignment="1">
      <alignment horizontal="left" vertical="center"/>
    </xf>
    <xf numFmtId="0" fontId="12" fillId="0" borderId="158" xfId="0" applyFont="1" applyFill="1" applyBorder="1" applyAlignment="1">
      <alignment horizontal="center" vertical="center"/>
    </xf>
    <xf numFmtId="0" fontId="12" fillId="0" borderId="156" xfId="0" applyFont="1" applyFill="1" applyBorder="1" applyAlignment="1">
      <alignment horizontal="center" vertical="center"/>
    </xf>
    <xf numFmtId="164" fontId="10" fillId="0" borderId="156" xfId="5" quotePrefix="1" applyNumberFormat="1" applyFont="1" applyFill="1" applyBorder="1" applyAlignment="1">
      <alignment horizontal="center" vertical="center"/>
    </xf>
    <xf numFmtId="0" fontId="12" fillId="0" borderId="156" xfId="0" applyFont="1" applyFill="1" applyBorder="1" applyAlignment="1">
      <alignment horizontal="left" vertical="center"/>
    </xf>
    <xf numFmtId="0" fontId="10" fillId="0" borderId="98" xfId="2" applyFont="1" applyFill="1" applyBorder="1" applyAlignment="1">
      <alignment horizontal="center" vertical="center"/>
    </xf>
    <xf numFmtId="0" fontId="10" fillId="0" borderId="122" xfId="2" applyFont="1" applyFill="1" applyBorder="1" applyAlignment="1">
      <alignment horizontal="left" vertical="center"/>
    </xf>
    <xf numFmtId="0" fontId="12" fillId="0" borderId="155" xfId="0" applyFont="1" applyFill="1" applyBorder="1" applyAlignment="1">
      <alignment horizontal="center" vertical="center"/>
    </xf>
    <xf numFmtId="164" fontId="10" fillId="0" borderId="98" xfId="5" quotePrefix="1" applyNumberFormat="1" applyFont="1" applyFill="1" applyBorder="1" applyAlignment="1">
      <alignment horizontal="center" vertical="center"/>
    </xf>
    <xf numFmtId="0" fontId="12" fillId="0" borderId="98" xfId="0" applyFont="1" applyBorder="1" applyAlignment="1">
      <alignment horizontal="center" vertical="center"/>
    </xf>
    <xf numFmtId="0" fontId="12" fillId="0" borderId="122" xfId="0" applyFont="1" applyBorder="1" applyAlignment="1">
      <alignment vertical="center"/>
    </xf>
    <xf numFmtId="0" fontId="12" fillId="0" borderId="122" xfId="0" applyFont="1" applyBorder="1" applyAlignment="1">
      <alignment horizontal="left" vertical="center" wrapText="1"/>
    </xf>
    <xf numFmtId="166" fontId="12" fillId="0" borderId="98" xfId="0" applyNumberFormat="1" applyFont="1" applyBorder="1" applyAlignment="1">
      <alignment horizontal="right" vertical="center"/>
    </xf>
    <xf numFmtId="0" fontId="12" fillId="0" borderId="98" xfId="0" applyFont="1" applyBorder="1" applyAlignment="1">
      <alignment horizontal="left" vertical="center"/>
    </xf>
    <xf numFmtId="0" fontId="12" fillId="0" borderId="119" xfId="0" applyFont="1" applyBorder="1" applyAlignment="1">
      <alignment horizontal="center" vertical="center"/>
    </xf>
    <xf numFmtId="0" fontId="12" fillId="0" borderId="119" xfId="0" applyFont="1" applyBorder="1" applyAlignment="1">
      <alignment vertical="center"/>
    </xf>
    <xf numFmtId="0" fontId="12" fillId="0" borderId="119" xfId="0" applyFont="1" applyBorder="1" applyAlignment="1">
      <alignment horizontal="left" vertical="center"/>
    </xf>
    <xf numFmtId="166" fontId="12" fillId="0" borderId="119" xfId="0" applyNumberFormat="1" applyFont="1" applyBorder="1" applyAlignment="1">
      <alignment horizontal="right" vertical="center"/>
    </xf>
    <xf numFmtId="0" fontId="10" fillId="0" borderId="119" xfId="2" applyFont="1" applyFill="1" applyBorder="1" applyAlignment="1">
      <alignment horizontal="center" vertical="center"/>
    </xf>
    <xf numFmtId="0" fontId="12" fillId="0" borderId="119" xfId="0" applyFont="1" applyFill="1" applyBorder="1" applyAlignment="1">
      <alignment horizontal="center" vertical="center"/>
    </xf>
    <xf numFmtId="0" fontId="12" fillId="0" borderId="119" xfId="0" applyFont="1" applyFill="1" applyBorder="1" applyAlignment="1">
      <alignment horizontal="left" vertical="center"/>
    </xf>
    <xf numFmtId="0" fontId="10" fillId="0" borderId="156" xfId="2" quotePrefix="1" applyFont="1" applyFill="1" applyBorder="1" applyAlignment="1">
      <alignment horizontal="center" vertical="center"/>
    </xf>
    <xf numFmtId="0" fontId="12" fillId="0" borderId="98" xfId="0" quotePrefix="1" applyFont="1" applyBorder="1" applyAlignment="1">
      <alignment horizontal="center" vertical="center"/>
    </xf>
    <xf numFmtId="0" fontId="12" fillId="0" borderId="98" xfId="0" applyFont="1" applyBorder="1" applyAlignment="1">
      <alignment vertical="center"/>
    </xf>
    <xf numFmtId="0" fontId="20" fillId="0" borderId="12" xfId="10" quotePrefix="1" applyFont="1" applyFill="1" applyBorder="1" applyAlignment="1">
      <alignment horizontal="center" vertical="center"/>
    </xf>
    <xf numFmtId="0" fontId="20" fillId="0" borderId="12" xfId="10" applyFont="1" applyFill="1" applyBorder="1" applyAlignment="1">
      <alignment horizontal="center" vertical="center"/>
    </xf>
    <xf numFmtId="0" fontId="20" fillId="0" borderId="12" xfId="10" applyFont="1" applyFill="1" applyBorder="1" applyAlignment="1">
      <alignment vertical="center"/>
    </xf>
    <xf numFmtId="166" fontId="20" fillId="0" borderId="12" xfId="10" applyNumberFormat="1" applyFont="1" applyFill="1" applyBorder="1" applyAlignment="1">
      <alignment horizontal="right" vertical="center"/>
    </xf>
    <xf numFmtId="167" fontId="20" fillId="0" borderId="12" xfId="10" applyNumberFormat="1" applyFont="1" applyFill="1" applyBorder="1" applyAlignment="1">
      <alignment horizontal="center" vertical="center"/>
    </xf>
    <xf numFmtId="0" fontId="20" fillId="0" borderId="12" xfId="2" applyFont="1" applyFill="1" applyBorder="1" applyAlignment="1">
      <alignment vertical="center" wrapText="1"/>
    </xf>
    <xf numFmtId="166" fontId="37" fillId="0" borderId="159" xfId="10" applyNumberFormat="1" applyFont="1" applyFill="1" applyBorder="1" applyAlignment="1">
      <alignment horizontal="center" vertical="center"/>
    </xf>
    <xf numFmtId="0" fontId="37" fillId="0" borderId="159" xfId="10" applyFont="1" applyFill="1" applyBorder="1" applyAlignment="1">
      <alignment horizontal="center" vertical="center" wrapText="1"/>
    </xf>
    <xf numFmtId="0" fontId="2" fillId="0" borderId="90" xfId="0" quotePrefix="1" applyFont="1" applyFill="1" applyBorder="1" applyAlignment="1">
      <alignment horizontal="center"/>
    </xf>
    <xf numFmtId="0" fontId="12" fillId="0" borderId="161" xfId="0" applyFont="1" applyBorder="1" applyAlignment="1">
      <alignment vertical="center"/>
    </xf>
    <xf numFmtId="0" fontId="12" fillId="0" borderId="161" xfId="0" applyFont="1" applyBorder="1" applyAlignment="1">
      <alignment horizontal="left" vertical="center"/>
    </xf>
    <xf numFmtId="166" fontId="12" fillId="0" borderId="161" xfId="0" applyNumberFormat="1" applyFont="1" applyBorder="1" applyAlignment="1">
      <alignment horizontal="right" vertical="center"/>
    </xf>
    <xf numFmtId="0" fontId="12" fillId="0" borderId="161" xfId="0" applyFont="1" applyBorder="1" applyAlignment="1">
      <alignment horizontal="center" vertical="center"/>
    </xf>
    <xf numFmtId="15" fontId="12" fillId="0" borderId="156" xfId="0" applyNumberFormat="1" applyFont="1" applyFill="1" applyBorder="1" applyAlignment="1">
      <alignment horizontal="left" vertical="center"/>
    </xf>
    <xf numFmtId="15" fontId="12" fillId="0" borderId="98" xfId="0" applyNumberFormat="1" applyFont="1" applyFill="1" applyBorder="1" applyAlignment="1">
      <alignment horizontal="left" vertical="center"/>
    </xf>
    <xf numFmtId="166" fontId="12" fillId="0" borderId="161" xfId="0" applyNumberFormat="1" applyFont="1" applyFill="1" applyBorder="1" applyAlignment="1">
      <alignment horizontal="left" vertical="center"/>
    </xf>
    <xf numFmtId="166" fontId="12" fillId="0" borderId="98" xfId="0" applyNumberFormat="1" applyFont="1" applyFill="1" applyBorder="1" applyAlignment="1">
      <alignment horizontal="left" vertical="center"/>
    </xf>
    <xf numFmtId="166" fontId="12" fillId="0" borderId="154" xfId="0" applyNumberFormat="1" applyFont="1" applyFill="1" applyBorder="1" applyAlignment="1">
      <alignment horizontal="left" vertical="center"/>
    </xf>
    <xf numFmtId="166" fontId="12" fillId="0" borderId="156" xfId="0" applyNumberFormat="1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166" fontId="12" fillId="0" borderId="12" xfId="0" applyNumberFormat="1" applyFont="1" applyFill="1" applyBorder="1" applyAlignment="1">
      <alignment horizontal="right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61" xfId="0" quotePrefix="1" applyFont="1" applyFill="1" applyBorder="1" applyAlignment="1">
      <alignment horizontal="center" vertical="center"/>
    </xf>
    <xf numFmtId="0" fontId="12" fillId="0" borderId="161" xfId="0" applyFont="1" applyFill="1" applyBorder="1" applyAlignment="1">
      <alignment horizontal="center" vertical="center"/>
    </xf>
    <xf numFmtId="15" fontId="12" fillId="0" borderId="161" xfId="0" applyNumberFormat="1" applyFont="1" applyFill="1" applyBorder="1" applyAlignment="1">
      <alignment horizontal="center" vertical="center"/>
    </xf>
    <xf numFmtId="0" fontId="12" fillId="0" borderId="161" xfId="0" applyFont="1" applyFill="1" applyBorder="1" applyAlignment="1">
      <alignment horizontal="left" vertical="center"/>
    </xf>
    <xf numFmtId="0" fontId="12" fillId="0" borderId="160" xfId="0" quotePrefix="1" applyFont="1" applyFill="1" applyBorder="1" applyAlignment="1">
      <alignment horizontal="center" vertical="center"/>
    </xf>
    <xf numFmtId="0" fontId="12" fillId="0" borderId="160" xfId="0" applyFont="1" applyFill="1" applyBorder="1" applyAlignment="1">
      <alignment horizontal="left" vertical="center"/>
    </xf>
    <xf numFmtId="166" fontId="12" fillId="0" borderId="160" xfId="0" applyNumberFormat="1" applyFont="1" applyFill="1" applyBorder="1" applyAlignment="1">
      <alignment horizontal="right" vertical="center"/>
    </xf>
    <xf numFmtId="0" fontId="12" fillId="0" borderId="160" xfId="0" applyFont="1" applyFill="1" applyBorder="1" applyAlignment="1">
      <alignment horizontal="center" vertical="center"/>
    </xf>
    <xf numFmtId="15" fontId="12" fillId="0" borderId="160" xfId="0" applyNumberFormat="1" applyFont="1" applyFill="1" applyBorder="1" applyAlignment="1">
      <alignment horizontal="center" vertical="center"/>
    </xf>
    <xf numFmtId="166" fontId="12" fillId="0" borderId="160" xfId="0" applyNumberFormat="1" applyFont="1" applyFill="1" applyBorder="1" applyAlignment="1">
      <alignment horizontal="left" vertical="center"/>
    </xf>
    <xf numFmtId="166" fontId="12" fillId="0" borderId="161" xfId="0" applyNumberFormat="1" applyFont="1" applyBorder="1" applyAlignment="1">
      <alignment horizontal="left" vertical="center"/>
    </xf>
    <xf numFmtId="14" fontId="2" fillId="0" borderId="120" xfId="0" applyNumberFormat="1" applyFont="1" applyFill="1" applyBorder="1" applyAlignment="1">
      <alignment horizontal="center"/>
    </xf>
    <xf numFmtId="0" fontId="2" fillId="0" borderId="120" xfId="2" quotePrefix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2" fillId="0" borderId="120" xfId="0" applyNumberFormat="1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9" xfId="0" quotePrefix="1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0" fillId="0" borderId="19" xfId="2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9" fillId="0" borderId="19" xfId="0" quotePrefix="1" applyFont="1" applyBorder="1" applyAlignment="1">
      <alignment horizontal="center" vertical="center"/>
    </xf>
    <xf numFmtId="0" fontId="13" fillId="0" borderId="19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9" fillId="0" borderId="19" xfId="0" quotePrefix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/>
    </xf>
    <xf numFmtId="0" fontId="21" fillId="0" borderId="19" xfId="0" applyFont="1" applyFill="1" applyBorder="1" applyAlignment="1">
      <alignment horizontal="center" vertical="center"/>
    </xf>
    <xf numFmtId="0" fontId="0" fillId="0" borderId="19" xfId="0" quotePrefix="1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9" xfId="0" applyFill="1" applyBorder="1"/>
    <xf numFmtId="0" fontId="0" fillId="0" borderId="19" xfId="0" applyFill="1" applyBorder="1" applyAlignment="1">
      <alignment horizontal="center"/>
    </xf>
    <xf numFmtId="0" fontId="21" fillId="0" borderId="19" xfId="0" applyFont="1" applyBorder="1"/>
    <xf numFmtId="41" fontId="10" fillId="0" borderId="19" xfId="1" applyFont="1" applyFill="1" applyBorder="1" applyAlignment="1">
      <alignment horizontal="center" vertical="center"/>
    </xf>
    <xf numFmtId="41" fontId="0" fillId="0" borderId="19" xfId="0" applyNumberFormat="1" applyBorder="1"/>
    <xf numFmtId="41" fontId="21" fillId="0" borderId="19" xfId="0" applyNumberFormat="1" applyFont="1" applyBorder="1"/>
    <xf numFmtId="41" fontId="21" fillId="0" borderId="19" xfId="0" applyNumberFormat="1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/>
    </xf>
    <xf numFmtId="0" fontId="43" fillId="0" borderId="0" xfId="0" applyFont="1" applyAlignment="1">
      <alignment vertical="center"/>
    </xf>
    <xf numFmtId="0" fontId="42" fillId="0" borderId="19" xfId="0" applyFont="1" applyBorder="1" applyAlignment="1">
      <alignment horizontal="center" vertical="center"/>
    </xf>
    <xf numFmtId="0" fontId="28" fillId="0" borderId="9" xfId="2" applyFont="1" applyFill="1" applyBorder="1" applyAlignment="1">
      <alignment horizontal="left" vertical="center"/>
    </xf>
    <xf numFmtId="0" fontId="10" fillId="0" borderId="19" xfId="2" applyFont="1" applyFill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5" fillId="0" borderId="19" xfId="2" applyFont="1" applyFill="1" applyBorder="1" applyAlignment="1">
      <alignment horizontal="left" vertical="center"/>
    </xf>
    <xf numFmtId="0" fontId="22" fillId="0" borderId="9" xfId="2" applyFont="1" applyFill="1" applyBorder="1" applyAlignment="1">
      <alignment horizontal="left" vertical="center"/>
    </xf>
    <xf numFmtId="0" fontId="37" fillId="0" borderId="159" xfId="10" applyFont="1" applyFill="1" applyBorder="1" applyAlignment="1">
      <alignment horizontal="center" vertical="center"/>
    </xf>
    <xf numFmtId="0" fontId="21" fillId="0" borderId="0" xfId="11" applyFont="1" applyFill="1" applyAlignment="1">
      <alignment horizontal="center" vertical="center"/>
    </xf>
    <xf numFmtId="0" fontId="8" fillId="0" borderId="162" xfId="0" applyFont="1" applyFill="1" applyBorder="1" applyAlignment="1">
      <alignment horizontal="center" vertical="center"/>
    </xf>
    <xf numFmtId="0" fontId="12" fillId="0" borderId="164" xfId="0" applyFont="1" applyFill="1" applyBorder="1" applyAlignment="1">
      <alignment vertical="center"/>
    </xf>
    <xf numFmtId="0" fontId="12" fillId="0" borderId="163" xfId="0" quotePrefix="1" applyFont="1" applyFill="1" applyBorder="1" applyAlignment="1">
      <alignment horizontal="center" vertical="center"/>
    </xf>
    <xf numFmtId="0" fontId="12" fillId="0" borderId="165" xfId="0" applyFont="1" applyFill="1" applyBorder="1" applyAlignment="1">
      <alignment horizontal="center" vertical="center"/>
    </xf>
    <xf numFmtId="0" fontId="12" fillId="0" borderId="166" xfId="0" quotePrefix="1" applyFont="1" applyFill="1" applyBorder="1" applyAlignment="1">
      <alignment horizontal="center" vertical="center"/>
    </xf>
    <xf numFmtId="0" fontId="12" fillId="0" borderId="164" xfId="0" applyFont="1" applyFill="1" applyBorder="1" applyAlignment="1">
      <alignment horizontal="left" vertical="center"/>
    </xf>
    <xf numFmtId="0" fontId="12" fillId="0" borderId="162" xfId="0" applyFont="1" applyFill="1" applyBorder="1" applyAlignment="1">
      <alignment horizontal="center" vertical="center"/>
    </xf>
    <xf numFmtId="0" fontId="15" fillId="0" borderId="89" xfId="2" quotePrefix="1" applyFont="1" applyFill="1" applyBorder="1" applyAlignment="1">
      <alignment horizontal="center" vertical="center"/>
    </xf>
    <xf numFmtId="0" fontId="15" fillId="0" borderId="167" xfId="2" applyFont="1" applyFill="1" applyBorder="1" applyAlignment="1">
      <alignment horizontal="center" vertical="center" wrapText="1"/>
    </xf>
    <xf numFmtId="0" fontId="2" fillId="0" borderId="171" xfId="0" applyFont="1" applyFill="1" applyBorder="1"/>
    <xf numFmtId="166" fontId="15" fillId="0" borderId="22" xfId="2" applyNumberFormat="1" applyFont="1" applyFill="1" applyBorder="1" applyAlignment="1">
      <alignment horizontal="center" vertical="center" wrapText="1"/>
    </xf>
    <xf numFmtId="166" fontId="15" fillId="0" borderId="17" xfId="2" applyNumberFormat="1" applyFont="1" applyFill="1" applyBorder="1" applyAlignment="1">
      <alignment horizontal="center" vertical="center" wrapText="1"/>
    </xf>
    <xf numFmtId="0" fontId="15" fillId="0" borderId="4" xfId="2" applyFont="1" applyFill="1" applyBorder="1" applyAlignment="1">
      <alignment horizontal="center" vertical="center" wrapText="1"/>
    </xf>
    <xf numFmtId="0" fontId="15" fillId="0" borderId="5" xfId="2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3" xfId="2" applyFont="1" applyFill="1" applyBorder="1" applyAlignment="1">
      <alignment horizontal="center" vertical="center" wrapText="1"/>
    </xf>
    <xf numFmtId="0" fontId="37" fillId="0" borderId="159" xfId="10" applyFont="1" applyFill="1" applyBorder="1" applyAlignment="1">
      <alignment horizontal="left" vertical="center"/>
    </xf>
    <xf numFmtId="0" fontId="20" fillId="0" borderId="12" xfId="10" applyFont="1" applyFill="1" applyBorder="1" applyAlignment="1">
      <alignment horizontal="left" vertical="center"/>
    </xf>
    <xf numFmtId="0" fontId="20" fillId="0" borderId="98" xfId="10" applyFont="1" applyFill="1" applyBorder="1" applyAlignment="1">
      <alignment horizontal="left" vertical="center"/>
    </xf>
    <xf numFmtId="0" fontId="20" fillId="0" borderId="98" xfId="12" applyFont="1" applyFill="1" applyBorder="1" applyAlignment="1">
      <alignment horizontal="left" vertical="center"/>
    </xf>
    <xf numFmtId="0" fontId="20" fillId="0" borderId="100" xfId="10" applyFont="1" applyFill="1" applyBorder="1" applyAlignment="1">
      <alignment horizontal="left" vertical="center"/>
    </xf>
    <xf numFmtId="0" fontId="21" fillId="0" borderId="0" xfId="1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2" fillId="0" borderId="123" xfId="2" quotePrefix="1" applyFont="1" applyFill="1" applyBorder="1" applyAlignment="1">
      <alignment horizontal="center" vertical="center"/>
    </xf>
    <xf numFmtId="0" fontId="2" fillId="0" borderId="120" xfId="2" applyFont="1" applyFill="1" applyBorder="1" applyAlignment="1">
      <alignment horizontal="left" vertical="center"/>
    </xf>
    <xf numFmtId="14" fontId="35" fillId="0" borderId="120" xfId="0" applyNumberFormat="1" applyFont="1" applyFill="1" applyBorder="1" applyAlignment="1">
      <alignment horizontal="center" vertical="center"/>
    </xf>
    <xf numFmtId="14" fontId="2" fillId="0" borderId="120" xfId="2" applyNumberFormat="1" applyFont="1" applyFill="1" applyBorder="1" applyAlignment="1">
      <alignment horizontal="center" vertical="center"/>
    </xf>
    <xf numFmtId="0" fontId="23" fillId="6" borderId="173" xfId="0" applyFont="1" applyFill="1" applyBorder="1" applyAlignment="1">
      <alignment horizontal="center"/>
    </xf>
    <xf numFmtId="0" fontId="23" fillId="6" borderId="173" xfId="0" quotePrefix="1" applyFont="1" applyFill="1" applyBorder="1" applyAlignment="1">
      <alignment horizontal="center"/>
    </xf>
    <xf numFmtId="0" fontId="30" fillId="6" borderId="172" xfId="0" applyFont="1" applyFill="1" applyBorder="1" applyAlignment="1">
      <alignment horizontal="center" vertical="center"/>
    </xf>
    <xf numFmtId="0" fontId="44" fillId="6" borderId="60" xfId="0" applyFont="1" applyFill="1" applyBorder="1" applyAlignment="1">
      <alignment horizontal="center"/>
    </xf>
    <xf numFmtId="16" fontId="44" fillId="6" borderId="60" xfId="0" quotePrefix="1" applyNumberFormat="1" applyFont="1" applyFill="1" applyBorder="1" applyAlignment="1">
      <alignment horizontal="center"/>
    </xf>
    <xf numFmtId="0" fontId="8" fillId="0" borderId="101" xfId="0" applyFont="1" applyFill="1" applyBorder="1" applyAlignment="1">
      <alignment horizontal="center"/>
    </xf>
    <xf numFmtId="0" fontId="12" fillId="0" borderId="101" xfId="0" applyFont="1" applyFill="1" applyBorder="1"/>
    <xf numFmtId="0" fontId="8" fillId="0" borderId="162" xfId="0" applyFont="1" applyFill="1" applyBorder="1" applyAlignment="1">
      <alignment horizontal="center"/>
    </xf>
    <xf numFmtId="0" fontId="12" fillId="0" borderId="162" xfId="0" applyFont="1" applyFill="1" applyBorder="1"/>
    <xf numFmtId="0" fontId="12" fillId="0" borderId="165" xfId="0" applyFont="1" applyFill="1" applyBorder="1"/>
    <xf numFmtId="0" fontId="12" fillId="6" borderId="162" xfId="0" applyFont="1" applyFill="1" applyBorder="1"/>
    <xf numFmtId="0" fontId="8" fillId="0" borderId="60" xfId="0" applyFont="1" applyFill="1" applyBorder="1" applyAlignment="1">
      <alignment horizontal="center"/>
    </xf>
    <xf numFmtId="0" fontId="30" fillId="6" borderId="173" xfId="0" applyFont="1" applyFill="1" applyBorder="1" applyAlignment="1">
      <alignment horizontal="center" vertical="center"/>
    </xf>
    <xf numFmtId="0" fontId="30" fillId="6" borderId="75" xfId="0" applyFont="1" applyFill="1" applyBorder="1" applyAlignment="1">
      <alignment horizontal="center" vertical="center"/>
    </xf>
    <xf numFmtId="0" fontId="23" fillId="6" borderId="73" xfId="0" applyFont="1" applyFill="1" applyBorder="1" applyAlignment="1">
      <alignment horizontal="center" vertical="center"/>
    </xf>
    <xf numFmtId="0" fontId="0" fillId="6" borderId="174" xfId="0" applyFill="1" applyBorder="1" applyAlignment="1">
      <alignment horizontal="center" vertical="center"/>
    </xf>
    <xf numFmtId="0" fontId="30" fillId="6" borderId="17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44" fillId="0" borderId="0" xfId="0" applyFont="1" applyFill="1"/>
    <xf numFmtId="0" fontId="8" fillId="0" borderId="172" xfId="0" applyFont="1" applyFill="1" applyBorder="1" applyAlignment="1">
      <alignment horizontal="center" vertical="center"/>
    </xf>
    <xf numFmtId="0" fontId="8" fillId="0" borderId="172" xfId="0" applyFont="1" applyFill="1" applyBorder="1" applyAlignment="1">
      <alignment vertical="center"/>
    </xf>
    <xf numFmtId="0" fontId="8" fillId="0" borderId="163" xfId="0" applyFont="1" applyFill="1" applyBorder="1" applyAlignment="1">
      <alignment vertical="center"/>
    </xf>
    <xf numFmtId="0" fontId="8" fillId="0" borderId="164" xfId="0" applyFont="1" applyFill="1" applyBorder="1" applyAlignment="1">
      <alignment vertical="center"/>
    </xf>
    <xf numFmtId="0" fontId="8" fillId="0" borderId="155" xfId="0" applyFont="1" applyFill="1" applyBorder="1" applyAlignment="1">
      <alignment horizontal="left" vertical="center"/>
    </xf>
    <xf numFmtId="0" fontId="8" fillId="0" borderId="164" xfId="0" applyFont="1" applyFill="1" applyBorder="1" applyAlignment="1">
      <alignment horizontal="left" vertical="center"/>
    </xf>
    <xf numFmtId="0" fontId="12" fillId="0" borderId="163" xfId="0" applyFont="1" applyFill="1" applyBorder="1" applyAlignment="1">
      <alignment horizontal="center" vertical="center"/>
    </xf>
    <xf numFmtId="0" fontId="12" fillId="0" borderId="155" xfId="0" quotePrefix="1" applyFont="1" applyFill="1" applyBorder="1" applyAlignment="1">
      <alignment horizontal="center" vertical="center"/>
    </xf>
    <xf numFmtId="0" fontId="8" fillId="0" borderId="164" xfId="0" applyFont="1" applyFill="1" applyBorder="1" applyAlignment="1">
      <alignment horizontal="center" vertical="center"/>
    </xf>
    <xf numFmtId="0" fontId="12" fillId="0" borderId="162" xfId="0" applyFont="1" applyFill="1" applyBorder="1" applyAlignment="1">
      <alignment vertical="center"/>
    </xf>
    <xf numFmtId="0" fontId="12" fillId="6" borderId="162" xfId="0" applyFont="1" applyFill="1" applyBorder="1" applyAlignment="1">
      <alignment vertical="center"/>
    </xf>
    <xf numFmtId="0" fontId="12" fillId="6" borderId="163" xfId="0" quotePrefix="1" applyFont="1" applyFill="1" applyBorder="1" applyAlignment="1">
      <alignment horizontal="center" vertical="center"/>
    </xf>
    <xf numFmtId="0" fontId="8" fillId="6" borderId="164" xfId="0" applyFont="1" applyFill="1" applyBorder="1" applyAlignment="1">
      <alignment horizontal="right" vertical="center"/>
    </xf>
    <xf numFmtId="0" fontId="8" fillId="6" borderId="162" xfId="0" applyFont="1" applyFill="1" applyBorder="1" applyAlignment="1">
      <alignment horizontal="center" vertical="center"/>
    </xf>
    <xf numFmtId="0" fontId="12" fillId="6" borderId="173" xfId="0" applyFont="1" applyFill="1" applyBorder="1" applyAlignment="1">
      <alignment vertical="center"/>
    </xf>
    <xf numFmtId="0" fontId="12" fillId="6" borderId="177" xfId="0" applyFont="1" applyFill="1" applyBorder="1" applyAlignment="1">
      <alignment horizontal="center" vertical="center"/>
    </xf>
    <xf numFmtId="0" fontId="8" fillId="6" borderId="173" xfId="0" applyFont="1" applyFill="1" applyBorder="1" applyAlignment="1">
      <alignment horizontal="center" vertical="center"/>
    </xf>
    <xf numFmtId="0" fontId="36" fillId="0" borderId="108" xfId="0" applyFont="1" applyFill="1" applyBorder="1" applyAlignment="1">
      <alignment horizontal="center"/>
    </xf>
    <xf numFmtId="0" fontId="15" fillId="0" borderId="113" xfId="0" applyFont="1" applyFill="1" applyBorder="1" applyAlignment="1">
      <alignment horizontal="center"/>
    </xf>
    <xf numFmtId="165" fontId="0" fillId="0" borderId="19" xfId="4" quotePrefix="1" applyNumberFormat="1" applyFont="1" applyFill="1" applyBorder="1" applyAlignment="1">
      <alignment horizontal="right" vertical="center"/>
    </xf>
    <xf numFmtId="165" fontId="1" fillId="0" borderId="0" xfId="4" applyNumberFormat="1" applyFont="1" applyFill="1" applyAlignment="1">
      <alignment vertical="center"/>
    </xf>
    <xf numFmtId="165" fontId="1" fillId="2" borderId="19" xfId="4" applyNumberFormat="1" applyFont="1" applyFill="1" applyBorder="1" applyAlignment="1">
      <alignment horizontal="right" vertical="center"/>
    </xf>
    <xf numFmtId="165" fontId="0" fillId="0" borderId="173" xfId="4" applyNumberFormat="1" applyFont="1" applyBorder="1" applyAlignment="1">
      <alignment vertical="center"/>
    </xf>
    <xf numFmtId="165" fontId="0" fillId="0" borderId="173" xfId="4" applyNumberFormat="1" applyFont="1" applyBorder="1" applyAlignment="1">
      <alignment horizontal="right" vertical="center"/>
    </xf>
    <xf numFmtId="165" fontId="0" fillId="0" borderId="173" xfId="4" applyNumberFormat="1" applyFont="1" applyBorder="1" applyAlignment="1">
      <alignment horizontal="left" vertical="center" wrapText="1"/>
    </xf>
    <xf numFmtId="0" fontId="2" fillId="0" borderId="178" xfId="2" applyFont="1" applyFill="1" applyBorder="1" applyAlignment="1">
      <alignment vertical="center"/>
    </xf>
    <xf numFmtId="0" fontId="2" fillId="0" borderId="178" xfId="2" applyFont="1" applyFill="1" applyBorder="1" applyAlignment="1">
      <alignment horizontal="center" vertical="center"/>
    </xf>
    <xf numFmtId="0" fontId="15" fillId="0" borderId="178" xfId="2" applyFont="1" applyFill="1" applyBorder="1" applyAlignment="1">
      <alignment horizontal="center" vertical="center"/>
    </xf>
    <xf numFmtId="0" fontId="2" fillId="0" borderId="178" xfId="0" applyFont="1" applyFill="1" applyBorder="1" applyAlignment="1">
      <alignment vertical="center"/>
    </xf>
    <xf numFmtId="166" fontId="2" fillId="0" borderId="178" xfId="0" applyNumberFormat="1" applyFont="1" applyFill="1" applyBorder="1" applyAlignment="1">
      <alignment vertical="center"/>
    </xf>
    <xf numFmtId="167" fontId="2" fillId="0" borderId="178" xfId="3" applyNumberFormat="1" applyFont="1" applyFill="1" applyBorder="1" applyAlignment="1">
      <alignment horizontal="center" vertical="center" wrapText="1"/>
    </xf>
    <xf numFmtId="0" fontId="2" fillId="0" borderId="178" xfId="0" applyFont="1" applyFill="1" applyBorder="1" applyAlignment="1">
      <alignment horizontal="center" vertical="center"/>
    </xf>
    <xf numFmtId="0" fontId="2" fillId="0" borderId="178" xfId="2" applyFont="1" applyFill="1" applyBorder="1" applyAlignment="1">
      <alignment horizontal="center"/>
    </xf>
    <xf numFmtId="0" fontId="2" fillId="0" borderId="179" xfId="2" applyFont="1" applyFill="1" applyBorder="1" applyAlignment="1">
      <alignment horizontal="left" vertical="center"/>
    </xf>
    <xf numFmtId="0" fontId="2" fillId="0" borderId="124" xfId="2" applyFont="1" applyFill="1" applyBorder="1" applyAlignment="1">
      <alignment horizontal="left" vertical="center"/>
    </xf>
    <xf numFmtId="0" fontId="2" fillId="7" borderId="89" xfId="2" quotePrefix="1" applyFont="1" applyFill="1" applyBorder="1" applyAlignment="1">
      <alignment horizontal="center" vertical="center"/>
    </xf>
    <xf numFmtId="0" fontId="2" fillId="7" borderId="90" xfId="2" quotePrefix="1" applyFont="1" applyFill="1" applyBorder="1" applyAlignment="1">
      <alignment horizontal="center" vertical="center"/>
    </xf>
    <xf numFmtId="0" fontId="2" fillId="7" borderId="90" xfId="2" applyFont="1" applyFill="1" applyBorder="1" applyAlignment="1">
      <alignment vertical="center"/>
    </xf>
    <xf numFmtId="0" fontId="2" fillId="7" borderId="90" xfId="2" applyFont="1" applyFill="1" applyBorder="1" applyAlignment="1">
      <alignment horizontal="center" vertical="center"/>
    </xf>
    <xf numFmtId="0" fontId="2" fillId="7" borderId="90" xfId="3" applyFont="1" applyFill="1" applyBorder="1" applyAlignment="1">
      <alignment vertical="center" wrapText="1"/>
    </xf>
    <xf numFmtId="166" fontId="2" fillId="7" borderId="90" xfId="3" applyNumberFormat="1" applyFont="1" applyFill="1" applyBorder="1" applyAlignment="1">
      <alignment horizontal="right" vertical="center" wrapText="1"/>
    </xf>
    <xf numFmtId="14" fontId="35" fillId="7" borderId="90" xfId="0" applyNumberFormat="1" applyFont="1" applyFill="1" applyBorder="1" applyAlignment="1">
      <alignment horizontal="center"/>
    </xf>
    <xf numFmtId="0" fontId="2" fillId="7" borderId="90" xfId="3" applyFont="1" applyFill="1" applyBorder="1" applyAlignment="1">
      <alignment horizontal="center" vertical="center" wrapText="1"/>
    </xf>
    <xf numFmtId="0" fontId="2" fillId="7" borderId="90" xfId="2" quotePrefix="1" applyFont="1" applyFill="1" applyBorder="1" applyAlignment="1">
      <alignment horizontal="center"/>
    </xf>
    <xf numFmtId="0" fontId="2" fillId="7" borderId="91" xfId="2" applyFont="1" applyFill="1" applyBorder="1" applyAlignment="1">
      <alignment horizontal="left" vertical="center"/>
    </xf>
    <xf numFmtId="0" fontId="38" fillId="7" borderId="0" xfId="0" applyFont="1" applyFill="1"/>
    <xf numFmtId="0" fontId="22" fillId="7" borderId="90" xfId="8" applyFont="1" applyFill="1" applyBorder="1" applyAlignment="1">
      <alignment horizontal="center" wrapText="1"/>
    </xf>
    <xf numFmtId="165" fontId="0" fillId="7" borderId="19" xfId="4" applyNumberFormat="1" applyFont="1" applyFill="1" applyBorder="1" applyAlignment="1">
      <alignment vertical="center"/>
    </xf>
    <xf numFmtId="0" fontId="0" fillId="7" borderId="0" xfId="0" applyFont="1" applyFill="1" applyAlignment="1">
      <alignment horizontal="right" vertical="center"/>
    </xf>
    <xf numFmtId="165" fontId="0" fillId="7" borderId="19" xfId="4" applyNumberFormat="1" applyFont="1" applyFill="1" applyBorder="1" applyAlignment="1">
      <alignment horizontal="left" vertical="center" wrapText="1"/>
    </xf>
    <xf numFmtId="165" fontId="1" fillId="7" borderId="62" xfId="4" applyNumberFormat="1" applyFont="1" applyFill="1" applyBorder="1" applyAlignment="1">
      <alignment vertical="center"/>
    </xf>
    <xf numFmtId="165" fontId="1" fillId="7" borderId="0" xfId="4" applyNumberFormat="1" applyFont="1" applyFill="1"/>
    <xf numFmtId="0" fontId="42" fillId="0" borderId="173" xfId="0" applyFont="1" applyBorder="1" applyAlignment="1">
      <alignment horizontal="center" vertical="center"/>
    </xf>
    <xf numFmtId="0" fontId="20" fillId="0" borderId="162" xfId="0" applyFont="1" applyBorder="1" applyAlignment="1">
      <alignment vertical="center"/>
    </xf>
    <xf numFmtId="0" fontId="20" fillId="0" borderId="162" xfId="0" quotePrefix="1" applyFont="1" applyBorder="1" applyAlignment="1">
      <alignment horizontal="center" vertical="center"/>
    </xf>
    <xf numFmtId="0" fontId="2" fillId="0" borderId="120" xfId="2" applyFont="1" applyFill="1" applyBorder="1" applyAlignment="1">
      <alignment horizontal="right" vertical="center"/>
    </xf>
    <xf numFmtId="165" fontId="0" fillId="0" borderId="60" xfId="4" applyNumberFormat="1" applyFont="1" applyBorder="1" applyAlignment="1">
      <alignment horizontal="right" vertical="center"/>
    </xf>
    <xf numFmtId="165" fontId="0" fillId="0" borderId="19" xfId="4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4" fontId="20" fillId="0" borderId="162" xfId="0" quotePrefix="1" applyNumberFormat="1" applyFont="1" applyBorder="1" applyAlignment="1">
      <alignment horizontal="center" vertical="center"/>
    </xf>
    <xf numFmtId="14" fontId="35" fillId="0" borderId="12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73" xfId="0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5" fillId="0" borderId="162" xfId="0" applyFont="1" applyFill="1" applyBorder="1"/>
    <xf numFmtId="0" fontId="15" fillId="0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166" fontId="15" fillId="0" borderId="0" xfId="2" applyNumberFormat="1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textRotation="255" wrapText="1"/>
    </xf>
    <xf numFmtId="0" fontId="15" fillId="0" borderId="13" xfId="2" applyFont="1" applyFill="1" applyBorder="1" applyAlignment="1">
      <alignment horizontal="center" vertical="center" wrapText="1"/>
    </xf>
    <xf numFmtId="0" fontId="0" fillId="0" borderId="180" xfId="0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2" fillId="0" borderId="177" xfId="2" applyFont="1" applyFill="1" applyBorder="1" applyAlignment="1">
      <alignment horizontal="center" vertical="center"/>
    </xf>
    <xf numFmtId="0" fontId="0" fillId="0" borderId="181" xfId="0" applyBorder="1" applyAlignment="1">
      <alignment horizontal="center" vertical="center"/>
    </xf>
    <xf numFmtId="0" fontId="0" fillId="0" borderId="182" xfId="0" applyNumberFormat="1" applyBorder="1" applyAlignment="1">
      <alignment horizontal="center"/>
    </xf>
    <xf numFmtId="0" fontId="0" fillId="0" borderId="182" xfId="0" applyBorder="1" applyAlignment="1">
      <alignment horizontal="center"/>
    </xf>
    <xf numFmtId="0" fontId="0" fillId="6" borderId="182" xfId="0" applyFill="1" applyBorder="1" applyAlignment="1">
      <alignment horizontal="center"/>
    </xf>
    <xf numFmtId="0" fontId="0" fillId="0" borderId="182" xfId="0" applyBorder="1" applyAlignment="1">
      <alignment horizontal="center" vertical="center"/>
    </xf>
    <xf numFmtId="0" fontId="2" fillId="0" borderId="182" xfId="2" applyFont="1" applyFill="1" applyBorder="1" applyAlignment="1">
      <alignment horizontal="center" vertical="center"/>
    </xf>
    <xf numFmtId="0" fontId="2" fillId="7" borderId="123" xfId="2" quotePrefix="1" applyFont="1" applyFill="1" applyBorder="1" applyAlignment="1">
      <alignment horizontal="center" vertical="center"/>
    </xf>
    <xf numFmtId="0" fontId="21" fillId="0" borderId="0" xfId="11" applyFont="1" applyFill="1" applyAlignment="1">
      <alignment horizontal="center" vertical="center"/>
    </xf>
    <xf numFmtId="0" fontId="46" fillId="0" borderId="159" xfId="1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15" fillId="0" borderId="22" xfId="2" applyNumberFormat="1" applyFont="1" applyFill="1" applyBorder="1" applyAlignment="1">
      <alignment horizontal="center" vertical="center" wrapText="1"/>
    </xf>
    <xf numFmtId="166" fontId="15" fillId="0" borderId="17" xfId="2" applyNumberFormat="1" applyFont="1" applyFill="1" applyBorder="1" applyAlignment="1">
      <alignment horizontal="center" vertical="center" wrapText="1"/>
    </xf>
    <xf numFmtId="0" fontId="20" fillId="0" borderId="162" xfId="0" quotePrefix="1" applyFont="1" applyBorder="1" applyAlignment="1">
      <alignment vertical="center"/>
    </xf>
    <xf numFmtId="14" fontId="35" fillId="0" borderId="120" xfId="0" quotePrefix="1" applyNumberFormat="1" applyFont="1" applyFill="1" applyBorder="1" applyAlignment="1">
      <alignment horizontal="center"/>
    </xf>
    <xf numFmtId="14" fontId="2" fillId="0" borderId="120" xfId="0" quotePrefix="1" applyNumberFormat="1" applyFont="1" applyFill="1" applyBorder="1" applyAlignment="1">
      <alignment horizontal="center"/>
    </xf>
    <xf numFmtId="14" fontId="35" fillId="7" borderId="120" xfId="0" quotePrefix="1" applyNumberFormat="1" applyFont="1" applyFill="1" applyBorder="1" applyAlignment="1">
      <alignment horizontal="center"/>
    </xf>
    <xf numFmtId="14" fontId="2" fillId="0" borderId="120" xfId="0" quotePrefix="1" applyNumberFormat="1" applyFont="1" applyFill="1" applyBorder="1" applyAlignment="1">
      <alignment horizontal="center" vertical="center"/>
    </xf>
    <xf numFmtId="168" fontId="35" fillId="0" borderId="90" xfId="0" applyNumberFormat="1" applyFont="1" applyFill="1" applyBorder="1" applyAlignment="1">
      <alignment horizontal="center"/>
    </xf>
    <xf numFmtId="0" fontId="35" fillId="0" borderId="120" xfId="4" quotePrefix="1" applyNumberFormat="1" applyFont="1" applyFill="1" applyBorder="1" applyAlignment="1">
      <alignment horizontal="center"/>
    </xf>
    <xf numFmtId="167" fontId="35" fillId="0" borderId="120" xfId="0" quotePrefix="1" applyNumberFormat="1" applyFont="1" applyFill="1" applyBorder="1" applyAlignment="1">
      <alignment horizontal="center"/>
    </xf>
    <xf numFmtId="0" fontId="35" fillId="0" borderId="120" xfId="0" quotePrefix="1" applyNumberFormat="1" applyFont="1" applyFill="1" applyBorder="1" applyAlignment="1">
      <alignment horizontal="center"/>
    </xf>
    <xf numFmtId="0" fontId="30" fillId="8" borderId="182" xfId="0" applyFont="1" applyFill="1" applyBorder="1" applyAlignment="1">
      <alignment horizontal="center"/>
    </xf>
    <xf numFmtId="0" fontId="21" fillId="0" borderId="160" xfId="11" applyFont="1" applyFill="1" applyBorder="1" applyAlignment="1">
      <alignment vertical="center"/>
    </xf>
    <xf numFmtId="0" fontId="20" fillId="7" borderId="12" xfId="10" applyFont="1" applyFill="1" applyBorder="1" applyAlignment="1">
      <alignment vertical="center"/>
    </xf>
    <xf numFmtId="0" fontId="20" fillId="7" borderId="98" xfId="10" applyFont="1" applyFill="1" applyBorder="1" applyAlignment="1">
      <alignment vertical="center"/>
    </xf>
    <xf numFmtId="0" fontId="20" fillId="7" borderId="98" xfId="12" applyFont="1" applyFill="1" applyBorder="1" applyAlignment="1">
      <alignment vertical="center"/>
    </xf>
    <xf numFmtId="0" fontId="20" fillId="7" borderId="98" xfId="11" applyFont="1" applyFill="1" applyBorder="1" applyAlignment="1">
      <alignment vertical="center"/>
    </xf>
    <xf numFmtId="0" fontId="42" fillId="0" borderId="19" xfId="0" applyFont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49" fontId="15" fillId="0" borderId="87" xfId="2" applyNumberFormat="1" applyFont="1" applyFill="1" applyBorder="1" applyAlignment="1">
      <alignment horizontal="left" vertical="center"/>
    </xf>
    <xf numFmtId="49" fontId="2" fillId="0" borderId="90" xfId="2" quotePrefix="1" applyNumberFormat="1" applyFont="1" applyFill="1" applyBorder="1" applyAlignment="1">
      <alignment horizontal="center" vertical="center"/>
    </xf>
    <xf numFmtId="49" fontId="2" fillId="0" borderId="93" xfId="0" applyNumberFormat="1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Fill="1"/>
    <xf numFmtId="49" fontId="11" fillId="0" borderId="0" xfId="0" applyNumberFormat="1" applyFont="1" applyFill="1" applyBorder="1" applyAlignment="1">
      <alignment horizontal="center"/>
    </xf>
    <xf numFmtId="49" fontId="23" fillId="0" borderId="0" xfId="0" applyNumberFormat="1" applyFont="1" applyFill="1"/>
    <xf numFmtId="0" fontId="22" fillId="0" borderId="120" xfId="8" applyFont="1" applyFill="1" applyBorder="1" applyAlignment="1">
      <alignment horizontal="center" wrapText="1"/>
    </xf>
    <xf numFmtId="0" fontId="15" fillId="0" borderId="120" xfId="2" applyFont="1" applyFill="1" applyBorder="1" applyAlignment="1">
      <alignment horizontal="center" vertical="center"/>
    </xf>
    <xf numFmtId="166" fontId="2" fillId="0" borderId="120" xfId="2" applyNumberFormat="1" applyFont="1" applyFill="1" applyBorder="1" applyAlignment="1">
      <alignment horizontal="center" vertical="center"/>
    </xf>
    <xf numFmtId="167" fontId="2" fillId="0" borderId="120" xfId="3" applyNumberFormat="1" applyFont="1" applyFill="1" applyBorder="1" applyAlignment="1">
      <alignment horizontal="center" vertical="center" wrapText="1"/>
    </xf>
    <xf numFmtId="0" fontId="2" fillId="0" borderId="124" xfId="2" applyFont="1" applyFill="1" applyBorder="1" applyAlignment="1">
      <alignment horizontal="center" vertical="center"/>
    </xf>
    <xf numFmtId="169" fontId="2" fillId="0" borderId="90" xfId="2" quotePrefix="1" applyNumberFormat="1" applyFont="1" applyFill="1" applyBorder="1" applyAlignment="1">
      <alignment horizontal="center" vertical="center"/>
    </xf>
    <xf numFmtId="169" fontId="2" fillId="0" borderId="120" xfId="2" quotePrefix="1" applyNumberFormat="1" applyFont="1" applyFill="1" applyBorder="1" applyAlignment="1">
      <alignment horizontal="center" vertical="center"/>
    </xf>
    <xf numFmtId="169" fontId="2" fillId="7" borderId="90" xfId="2" applyNumberFormat="1" applyFont="1" applyFill="1" applyBorder="1" applyAlignment="1">
      <alignment horizontal="center" vertical="center"/>
    </xf>
    <xf numFmtId="169" fontId="2" fillId="7" borderId="120" xfId="2" applyNumberFormat="1" applyFont="1" applyFill="1" applyBorder="1" applyAlignment="1">
      <alignment horizontal="center" vertical="center"/>
    </xf>
    <xf numFmtId="169" fontId="2" fillId="0" borderId="90" xfId="2" applyNumberFormat="1" applyFont="1" applyFill="1" applyBorder="1" applyAlignment="1">
      <alignment horizontal="center" vertical="center"/>
    </xf>
    <xf numFmtId="169" fontId="2" fillId="7" borderId="90" xfId="2" quotePrefix="1" applyNumberFormat="1" applyFont="1" applyFill="1" applyBorder="1" applyAlignment="1">
      <alignment horizontal="center" vertical="center"/>
    </xf>
    <xf numFmtId="169" fontId="2" fillId="0" borderId="120" xfId="2" applyNumberFormat="1" applyFont="1" applyFill="1" applyBorder="1" applyAlignment="1">
      <alignment horizontal="center" vertical="center"/>
    </xf>
    <xf numFmtId="169" fontId="15" fillId="0" borderId="120" xfId="2" applyNumberFormat="1" applyFont="1" applyFill="1" applyBorder="1" applyAlignment="1">
      <alignment horizontal="left" vertical="center"/>
    </xf>
    <xf numFmtId="169" fontId="15" fillId="0" borderId="90" xfId="2" applyNumberFormat="1" applyFont="1" applyFill="1" applyBorder="1" applyAlignment="1">
      <alignment horizontal="left" vertical="center"/>
    </xf>
    <xf numFmtId="169" fontId="2" fillId="0" borderId="178" xfId="2" applyNumberFormat="1" applyFont="1" applyFill="1" applyBorder="1" applyAlignment="1">
      <alignment horizontal="center" vertical="center"/>
    </xf>
    <xf numFmtId="169" fontId="1" fillId="0" borderId="111" xfId="4" applyNumberFormat="1" applyFont="1" applyBorder="1" applyAlignment="1">
      <alignment horizontal="center" vertical="center"/>
    </xf>
    <xf numFmtId="169" fontId="1" fillId="0" borderId="19" xfId="4" applyNumberFormat="1" applyFont="1" applyBorder="1" applyAlignment="1">
      <alignment horizontal="center" vertical="center"/>
    </xf>
    <xf numFmtId="169" fontId="1" fillId="0" borderId="19" xfId="4" applyNumberFormat="1" applyFont="1" applyFill="1" applyBorder="1" applyAlignment="1">
      <alignment horizontal="center" vertical="center"/>
    </xf>
    <xf numFmtId="169" fontId="0" fillId="0" borderId="19" xfId="4" quotePrefix="1" applyNumberFormat="1" applyFont="1" applyBorder="1" applyAlignment="1">
      <alignment horizontal="center" vertical="center"/>
    </xf>
    <xf numFmtId="169" fontId="0" fillId="0" borderId="19" xfId="4" quotePrefix="1" applyNumberFormat="1" applyFont="1" applyFill="1" applyBorder="1" applyAlignment="1">
      <alignment horizontal="center" vertical="center"/>
    </xf>
    <xf numFmtId="169" fontId="0" fillId="7" borderId="19" xfId="4" quotePrefix="1" applyNumberFormat="1" applyFont="1" applyFill="1" applyBorder="1" applyAlignment="1">
      <alignment horizontal="center" vertical="center"/>
    </xf>
    <xf numFmtId="169" fontId="0" fillId="0" borderId="173" xfId="4" quotePrefix="1" applyNumberFormat="1" applyFont="1" applyBorder="1" applyAlignment="1">
      <alignment horizontal="center" vertical="center"/>
    </xf>
    <xf numFmtId="169" fontId="2" fillId="0" borderId="89" xfId="2" quotePrefix="1" applyNumberFormat="1" applyFont="1" applyFill="1" applyBorder="1" applyAlignment="1">
      <alignment horizontal="center" vertical="center"/>
    </xf>
    <xf numFmtId="169" fontId="1" fillId="0" borderId="60" xfId="4" applyNumberFormat="1" applyFont="1" applyBorder="1" applyAlignment="1">
      <alignment horizontal="center" vertical="center"/>
    </xf>
    <xf numFmtId="169" fontId="0" fillId="0" borderId="60" xfId="4" quotePrefix="1" applyNumberFormat="1" applyFont="1" applyBorder="1" applyAlignment="1">
      <alignment horizontal="center" vertical="center"/>
    </xf>
    <xf numFmtId="169" fontId="1" fillId="0" borderId="64" xfId="4" quotePrefix="1" applyNumberFormat="1" applyFont="1" applyBorder="1" applyAlignment="1">
      <alignment horizontal="center" vertical="center"/>
    </xf>
    <xf numFmtId="0" fontId="21" fillId="0" borderId="0" xfId="11" applyFont="1" applyFill="1" applyAlignment="1">
      <alignment horizontal="center" vertical="center"/>
    </xf>
    <xf numFmtId="0" fontId="37" fillId="0" borderId="159" xfId="10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0" fillId="0" borderId="177" xfId="10" applyFont="1" applyFill="1" applyBorder="1" applyAlignment="1">
      <alignment horizontal="center" vertical="center"/>
    </xf>
    <xf numFmtId="0" fontId="48" fillId="0" borderId="183" xfId="17" applyFont="1" applyBorder="1" applyAlignment="1">
      <alignment vertical="center"/>
    </xf>
    <xf numFmtId="0" fontId="49" fillId="7" borderId="183" xfId="10" applyFont="1" applyFill="1" applyBorder="1" applyAlignment="1">
      <alignment vertical="center"/>
    </xf>
    <xf numFmtId="0" fontId="49" fillId="0" borderId="183" xfId="10" applyFont="1" applyFill="1" applyBorder="1" applyAlignment="1">
      <alignment horizontal="center" vertical="center"/>
    </xf>
    <xf numFmtId="166" fontId="49" fillId="0" borderId="183" xfId="10" applyNumberFormat="1" applyFont="1" applyFill="1" applyBorder="1" applyAlignment="1">
      <alignment horizontal="center" vertical="center"/>
    </xf>
    <xf numFmtId="0" fontId="49" fillId="0" borderId="183" xfId="10" applyFont="1" applyFill="1" applyBorder="1" applyAlignment="1">
      <alignment vertical="center"/>
    </xf>
    <xf numFmtId="167" fontId="49" fillId="0" borderId="183" xfId="10" applyNumberFormat="1" applyFont="1" applyFill="1" applyBorder="1" applyAlignment="1">
      <alignment horizontal="center" vertical="center"/>
    </xf>
    <xf numFmtId="0" fontId="49" fillId="0" borderId="183" xfId="2" applyFont="1" applyFill="1" applyBorder="1" applyAlignment="1">
      <alignment vertical="center" wrapText="1"/>
    </xf>
    <xf numFmtId="0" fontId="48" fillId="0" borderId="184" xfId="17" applyFont="1" applyBorder="1" applyAlignment="1">
      <alignment vertical="center"/>
    </xf>
    <xf numFmtId="0" fontId="49" fillId="7" borderId="184" xfId="10" applyFont="1" applyFill="1" applyBorder="1" applyAlignment="1">
      <alignment vertical="center"/>
    </xf>
    <xf numFmtId="166" fontId="49" fillId="0" borderId="184" xfId="10" applyNumberFormat="1" applyFont="1" applyFill="1" applyBorder="1" applyAlignment="1">
      <alignment horizontal="center" vertical="center"/>
    </xf>
    <xf numFmtId="0" fontId="49" fillId="0" borderId="184" xfId="10" applyFont="1" applyFill="1" applyBorder="1" applyAlignment="1">
      <alignment horizontal="center" vertical="center"/>
    </xf>
    <xf numFmtId="0" fontId="49" fillId="0" borderId="184" xfId="10" applyFont="1" applyFill="1" applyBorder="1" applyAlignment="1">
      <alignment vertical="center"/>
    </xf>
    <xf numFmtId="167" fontId="49" fillId="0" borderId="184" xfId="10" applyNumberFormat="1" applyFont="1" applyFill="1" applyBorder="1" applyAlignment="1">
      <alignment horizontal="center" vertical="center"/>
    </xf>
    <xf numFmtId="0" fontId="49" fillId="0" borderId="184" xfId="10" applyFont="1" applyFill="1" applyBorder="1" applyAlignment="1">
      <alignment vertical="center" wrapText="1"/>
    </xf>
    <xf numFmtId="0" fontId="49" fillId="0" borderId="184" xfId="12" applyFont="1" applyFill="1" applyBorder="1" applyAlignment="1">
      <alignment vertical="center" wrapText="1"/>
    </xf>
    <xf numFmtId="0" fontId="49" fillId="0" borderId="184" xfId="2" applyFont="1" applyFill="1" applyBorder="1" applyAlignment="1">
      <alignment vertical="center" wrapText="1"/>
    </xf>
    <xf numFmtId="0" fontId="49" fillId="7" borderId="184" xfId="12" applyFont="1" applyFill="1" applyBorder="1" applyAlignment="1">
      <alignment vertical="center"/>
    </xf>
    <xf numFmtId="0" fontId="49" fillId="0" borderId="184" xfId="12" applyFont="1" applyFill="1" applyBorder="1" applyAlignment="1">
      <alignment horizontal="center" vertical="center"/>
    </xf>
    <xf numFmtId="0" fontId="20" fillId="0" borderId="162" xfId="0" quotePrefix="1" applyFont="1" applyBorder="1" applyAlignment="1">
      <alignment horizontal="left" vertical="center"/>
    </xf>
    <xf numFmtId="0" fontId="20" fillId="0" borderId="162" xfId="0" applyFont="1" applyFill="1" applyBorder="1" applyAlignment="1">
      <alignment vertical="center"/>
    </xf>
    <xf numFmtId="0" fontId="12" fillId="0" borderId="185" xfId="0" applyFont="1" applyFill="1" applyBorder="1" applyAlignment="1">
      <alignment horizontal="center" vertical="center"/>
    </xf>
    <xf numFmtId="0" fontId="12" fillId="0" borderId="186" xfId="0" applyFont="1" applyFill="1" applyBorder="1" applyAlignment="1">
      <alignment vertical="center"/>
    </xf>
    <xf numFmtId="0" fontId="20" fillId="0" borderId="187" xfId="0" quotePrefix="1" applyFont="1" applyBorder="1" applyAlignment="1">
      <alignment horizontal="center" vertical="center"/>
    </xf>
    <xf numFmtId="0" fontId="20" fillId="0" borderId="187" xfId="0" applyFont="1" applyBorder="1" applyAlignment="1">
      <alignment vertical="center"/>
    </xf>
    <xf numFmtId="0" fontId="43" fillId="0" borderId="0" xfId="0" applyFont="1" applyAlignment="1">
      <alignment horizontal="center"/>
    </xf>
    <xf numFmtId="169" fontId="1" fillId="0" borderId="180" xfId="4" applyNumberFormat="1" applyFont="1" applyBorder="1" applyAlignment="1">
      <alignment horizontal="center" vertical="center"/>
    </xf>
    <xf numFmtId="165" fontId="0" fillId="0" borderId="180" xfId="4" applyNumberFormat="1" applyFont="1" applyBorder="1" applyAlignment="1">
      <alignment horizontal="left" vertical="center" wrapText="1"/>
    </xf>
    <xf numFmtId="165" fontId="0" fillId="0" borderId="180" xfId="4" applyNumberFormat="1" applyFont="1" applyBorder="1" applyAlignment="1">
      <alignment vertical="center"/>
    </xf>
    <xf numFmtId="165" fontId="0" fillId="0" borderId="180" xfId="4" applyNumberFormat="1" applyFont="1" applyBorder="1" applyAlignment="1">
      <alignment horizontal="right" vertical="center"/>
    </xf>
    <xf numFmtId="0" fontId="15" fillId="0" borderId="89" xfId="0" quotePrefix="1" applyFont="1" applyFill="1" applyBorder="1" applyAlignment="1">
      <alignment horizontal="center"/>
    </xf>
    <xf numFmtId="0" fontId="12" fillId="0" borderId="98" xfId="0" applyFont="1" applyFill="1" applyBorder="1" applyAlignment="1">
      <alignment vertical="center"/>
    </xf>
    <xf numFmtId="0" fontId="12" fillId="0" borderId="100" xfId="0" quotePrefix="1" applyFont="1" applyBorder="1" applyAlignment="1">
      <alignment horizontal="center" vertical="center"/>
    </xf>
    <xf numFmtId="0" fontId="12" fillId="0" borderId="100" xfId="0" applyFont="1" applyFill="1" applyBorder="1" applyAlignment="1">
      <alignment vertical="center"/>
    </xf>
    <xf numFmtId="0" fontId="12" fillId="0" borderId="100" xfId="0" applyFont="1" applyBorder="1" applyAlignment="1">
      <alignment horizontal="left" vertical="center"/>
    </xf>
    <xf numFmtId="166" fontId="12" fillId="0" borderId="100" xfId="0" applyNumberFormat="1" applyFont="1" applyBorder="1" applyAlignment="1">
      <alignment horizontal="right" vertical="center"/>
    </xf>
    <xf numFmtId="0" fontId="12" fillId="0" borderId="100" xfId="0" applyFont="1" applyBorder="1" applyAlignment="1">
      <alignment horizontal="center" vertical="center"/>
    </xf>
    <xf numFmtId="166" fontId="12" fillId="0" borderId="100" xfId="0" applyNumberFormat="1" applyFont="1" applyFill="1" applyBorder="1" applyAlignment="1">
      <alignment horizontal="left" vertical="center"/>
    </xf>
    <xf numFmtId="0" fontId="12" fillId="0" borderId="100" xfId="0" applyFont="1" applyFill="1" applyBorder="1" applyAlignment="1">
      <alignment horizontal="left" vertical="center"/>
    </xf>
    <xf numFmtId="0" fontId="20" fillId="0" borderId="165" xfId="0" quotePrefix="1" applyFont="1" applyBorder="1" applyAlignment="1">
      <alignment horizontal="center" vertical="center"/>
    </xf>
    <xf numFmtId="0" fontId="20" fillId="0" borderId="165" xfId="0" quotePrefix="1" applyFont="1" applyBorder="1" applyAlignment="1">
      <alignment horizontal="left" vertical="center"/>
    </xf>
    <xf numFmtId="0" fontId="20" fillId="0" borderId="165" xfId="0" applyFont="1" applyBorder="1" applyAlignment="1">
      <alignment vertical="center"/>
    </xf>
    <xf numFmtId="0" fontId="43" fillId="0" borderId="187" xfId="0" applyFont="1" applyBorder="1" applyAlignment="1">
      <alignment horizontal="center"/>
    </xf>
    <xf numFmtId="0" fontId="20" fillId="0" borderId="187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20" fillId="0" borderId="0" xfId="0" quotePrefix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41" fontId="15" fillId="0" borderId="82" xfId="0" applyNumberFormat="1" applyFont="1" applyBorder="1"/>
    <xf numFmtId="0" fontId="20" fillId="0" borderId="102" xfId="0" applyFont="1" applyFill="1" applyBorder="1"/>
    <xf numFmtId="0" fontId="2" fillId="0" borderId="188" xfId="0" applyFont="1" applyFill="1" applyBorder="1"/>
    <xf numFmtId="0" fontId="15" fillId="0" borderId="182" xfId="0" applyFont="1" applyFill="1" applyBorder="1" applyAlignment="1">
      <alignment horizontal="center"/>
    </xf>
    <xf numFmtId="0" fontId="20" fillId="0" borderId="162" xfId="0" applyFont="1" applyBorder="1" applyAlignment="1">
      <alignment horizontal="center" vertical="center" wrapText="1"/>
    </xf>
    <xf numFmtId="0" fontId="38" fillId="2" borderId="0" xfId="0" applyFont="1" applyFill="1"/>
    <xf numFmtId="0" fontId="2" fillId="0" borderId="90" xfId="3" applyFont="1" applyFill="1" applyBorder="1" applyAlignment="1">
      <alignment vertical="center"/>
    </xf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30" fillId="6" borderId="182" xfId="0" applyFont="1" applyFill="1" applyBorder="1" applyAlignment="1">
      <alignment horizontal="center"/>
    </xf>
    <xf numFmtId="0" fontId="15" fillId="0" borderId="22" xfId="2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69" fontId="2" fillId="2" borderId="90" xfId="2" quotePrefix="1" applyNumberFormat="1" applyFont="1" applyFill="1" applyBorder="1" applyAlignment="1">
      <alignment horizontal="center" vertical="center"/>
    </xf>
    <xf numFmtId="0" fontId="2" fillId="2" borderId="90" xfId="2" applyFont="1" applyFill="1" applyBorder="1" applyAlignment="1">
      <alignment vertical="center"/>
    </xf>
    <xf numFmtId="0" fontId="2" fillId="2" borderId="90" xfId="2" applyFont="1" applyFill="1" applyBorder="1" applyAlignment="1">
      <alignment horizontal="center" vertical="center"/>
    </xf>
    <xf numFmtId="0" fontId="2" fillId="2" borderId="90" xfId="3" applyFont="1" applyFill="1" applyBorder="1" applyAlignment="1">
      <alignment vertical="center" wrapText="1"/>
    </xf>
    <xf numFmtId="166" fontId="2" fillId="2" borderId="90" xfId="3" applyNumberFormat="1" applyFont="1" applyFill="1" applyBorder="1" applyAlignment="1">
      <alignment horizontal="right" vertical="center" wrapText="1"/>
    </xf>
    <xf numFmtId="14" fontId="35" fillId="2" borderId="90" xfId="0" applyNumberFormat="1" applyFont="1" applyFill="1" applyBorder="1" applyAlignment="1">
      <alignment horizontal="center"/>
    </xf>
    <xf numFmtId="0" fontId="2" fillId="2" borderId="90" xfId="3" applyFont="1" applyFill="1" applyBorder="1" applyAlignment="1">
      <alignment horizontal="center" vertical="center" wrapText="1"/>
    </xf>
    <xf numFmtId="0" fontId="2" fillId="2" borderId="90" xfId="2" applyFont="1" applyFill="1" applyBorder="1" applyAlignment="1">
      <alignment horizontal="center"/>
    </xf>
    <xf numFmtId="0" fontId="2" fillId="2" borderId="91" xfId="2" applyFont="1" applyFill="1" applyBorder="1" applyAlignment="1">
      <alignment horizontal="left" vertical="center"/>
    </xf>
    <xf numFmtId="0" fontId="2" fillId="2" borderId="89" xfId="2" quotePrefix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 wrapText="1"/>
    </xf>
    <xf numFmtId="166" fontId="2" fillId="0" borderId="0" xfId="3" applyNumberFormat="1" applyFont="1" applyFill="1" applyBorder="1" applyAlignment="1">
      <alignment horizontal="right" vertical="center" wrapText="1"/>
    </xf>
    <xf numFmtId="14" fontId="35" fillId="0" borderId="0" xfId="0" applyNumberFormat="1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left" vertical="center"/>
    </xf>
    <xf numFmtId="0" fontId="35" fillId="2" borderId="120" xfId="0" quotePrefix="1" applyNumberFormat="1" applyFont="1" applyFill="1" applyBorder="1" applyAlignment="1">
      <alignment horizontal="center"/>
    </xf>
    <xf numFmtId="0" fontId="15" fillId="0" borderId="169" xfId="0" applyFont="1" applyFill="1" applyBorder="1" applyAlignment="1">
      <alignment vertical="center"/>
    </xf>
    <xf numFmtId="0" fontId="15" fillId="0" borderId="22" xfId="2" applyFont="1" applyFill="1" applyBorder="1" applyAlignment="1">
      <alignment textRotation="255" wrapText="1"/>
    </xf>
    <xf numFmtId="0" fontId="15" fillId="0" borderId="22" xfId="2" applyFont="1" applyFill="1" applyBorder="1" applyAlignment="1">
      <alignment vertical="center" wrapText="1"/>
    </xf>
    <xf numFmtId="166" fontId="15" fillId="0" borderId="22" xfId="2" applyNumberFormat="1" applyFont="1" applyFill="1" applyBorder="1" applyAlignment="1">
      <alignment vertical="center" wrapText="1"/>
    </xf>
    <xf numFmtId="0" fontId="15" fillId="0" borderId="67" xfId="0" applyFont="1" applyFill="1" applyBorder="1" applyAlignment="1">
      <alignment vertical="center" wrapText="1"/>
    </xf>
    <xf numFmtId="0" fontId="6" fillId="0" borderId="82" xfId="2" applyFont="1" applyFill="1" applyBorder="1" applyAlignment="1">
      <alignment vertical="center" wrapText="1"/>
    </xf>
    <xf numFmtId="0" fontId="15" fillId="0" borderId="82" xfId="2" applyFont="1" applyFill="1" applyBorder="1" applyAlignment="1">
      <alignment vertical="center" wrapText="1"/>
    </xf>
    <xf numFmtId="0" fontId="15" fillId="0" borderId="67" xfId="2" applyFont="1" applyFill="1" applyBorder="1" applyAlignment="1">
      <alignment vertical="center" wrapText="1"/>
    </xf>
    <xf numFmtId="0" fontId="15" fillId="0" borderId="66" xfId="2" applyFont="1" applyFill="1" applyBorder="1" applyAlignment="1">
      <alignment vertical="center" wrapText="1"/>
    </xf>
    <xf numFmtId="49" fontId="15" fillId="0" borderId="22" xfId="2" applyNumberFormat="1" applyFont="1" applyFill="1" applyBorder="1" applyAlignment="1">
      <alignment vertical="center" wrapText="1"/>
    </xf>
    <xf numFmtId="0" fontId="15" fillId="0" borderId="169" xfId="2" applyFont="1" applyFill="1" applyBorder="1" applyAlignment="1">
      <alignment vertical="center" wrapText="1"/>
    </xf>
    <xf numFmtId="0" fontId="0" fillId="0" borderId="0" xfId="0" pivotButton="1"/>
    <xf numFmtId="0" fontId="0" fillId="0" borderId="19" xfId="0" applyNumberFormat="1" applyBorder="1" applyAlignment="1">
      <alignment horizontal="center"/>
    </xf>
    <xf numFmtId="0" fontId="0" fillId="6" borderId="182" xfId="0" applyFill="1" applyBorder="1"/>
    <xf numFmtId="0" fontId="0" fillId="6" borderId="177" xfId="0" applyFill="1" applyBorder="1" applyAlignment="1">
      <alignment horizontal="center"/>
    </xf>
    <xf numFmtId="0" fontId="30" fillId="8" borderId="182" xfId="0" applyNumberFormat="1" applyFont="1" applyFill="1" applyBorder="1" applyAlignment="1">
      <alignment horizontal="center"/>
    </xf>
    <xf numFmtId="0" fontId="8" fillId="0" borderId="163" xfId="0" applyFont="1" applyFill="1" applyBorder="1" applyAlignment="1">
      <alignment horizontal="left" vertical="center"/>
    </xf>
    <xf numFmtId="0" fontId="8" fillId="0" borderId="164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23" fillId="6" borderId="60" xfId="0" applyFont="1" applyFill="1" applyBorder="1" applyAlignment="1">
      <alignment horizontal="center" vertical="center"/>
    </xf>
    <xf numFmtId="0" fontId="0" fillId="6" borderId="175" xfId="0" applyFill="1" applyBorder="1" applyAlignment="1">
      <alignment horizontal="center" vertical="center"/>
    </xf>
    <xf numFmtId="0" fontId="23" fillId="6" borderId="72" xfId="0" applyFont="1" applyFill="1" applyBorder="1" applyAlignment="1">
      <alignment horizontal="center" vertical="center"/>
    </xf>
    <xf numFmtId="0" fontId="0" fillId="6" borderId="176" xfId="0" applyFill="1" applyBorder="1" applyAlignment="1">
      <alignment horizontal="center" vertical="center"/>
    </xf>
    <xf numFmtId="0" fontId="23" fillId="6" borderId="177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0" fontId="23" fillId="6" borderId="75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30" fillId="6" borderId="177" xfId="0" applyFont="1" applyFill="1" applyBorder="1" applyAlignment="1">
      <alignment horizontal="center" vertical="center"/>
    </xf>
    <xf numFmtId="0" fontId="30" fillId="6" borderId="173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6" borderId="182" xfId="0" applyFont="1" applyFill="1" applyBorder="1" applyAlignment="1">
      <alignment horizontal="center" vertical="center"/>
    </xf>
    <xf numFmtId="0" fontId="30" fillId="6" borderId="18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5" fillId="0" borderId="70" xfId="2" applyFont="1" applyFill="1" applyBorder="1" applyAlignment="1">
      <alignment horizontal="center" vertical="center" wrapText="1"/>
    </xf>
    <xf numFmtId="0" fontId="15" fillId="0" borderId="67" xfId="2" applyFont="1" applyFill="1" applyBorder="1" applyAlignment="1">
      <alignment horizontal="center" vertical="center" wrapText="1"/>
    </xf>
    <xf numFmtId="0" fontId="15" fillId="0" borderId="71" xfId="2" applyFont="1" applyFill="1" applyBorder="1" applyAlignment="1">
      <alignment horizontal="center" vertical="center" wrapText="1"/>
    </xf>
    <xf numFmtId="0" fontId="15" fillId="0" borderId="16" xfId="2" applyFont="1" applyFill="1" applyBorder="1" applyAlignment="1">
      <alignment horizontal="center" vertical="center" wrapText="1"/>
    </xf>
    <xf numFmtId="0" fontId="15" fillId="0" borderId="22" xfId="2" applyFont="1" applyFill="1" applyBorder="1" applyAlignment="1">
      <alignment horizontal="center" vertical="center" wrapText="1"/>
    </xf>
    <xf numFmtId="0" fontId="15" fillId="0" borderId="17" xfId="2" applyFont="1" applyFill="1" applyBorder="1" applyAlignment="1">
      <alignment horizontal="center" vertical="center" wrapText="1"/>
    </xf>
    <xf numFmtId="166" fontId="15" fillId="0" borderId="22" xfId="2" applyNumberFormat="1" applyFont="1" applyFill="1" applyBorder="1" applyAlignment="1">
      <alignment horizontal="center" vertical="center" wrapText="1"/>
    </xf>
    <xf numFmtId="166" fontId="15" fillId="0" borderId="17" xfId="2" applyNumberFormat="1" applyFont="1" applyFill="1" applyBorder="1" applyAlignment="1">
      <alignment horizontal="center" vertical="center" wrapText="1"/>
    </xf>
    <xf numFmtId="0" fontId="15" fillId="0" borderId="66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0" fontId="15" fillId="0" borderId="107" xfId="2" applyFont="1" applyFill="1" applyBorder="1" applyAlignment="1">
      <alignment horizontal="center" vertical="center" wrapText="1"/>
    </xf>
    <xf numFmtId="0" fontId="15" fillId="0" borderId="169" xfId="2" applyFont="1" applyFill="1" applyBorder="1" applyAlignment="1">
      <alignment horizontal="center" vertical="center" wrapText="1"/>
    </xf>
    <xf numFmtId="0" fontId="15" fillId="0" borderId="168" xfId="2" applyFont="1" applyFill="1" applyBorder="1" applyAlignment="1">
      <alignment horizontal="center" vertical="center" wrapText="1"/>
    </xf>
    <xf numFmtId="0" fontId="15" fillId="0" borderId="82" xfId="2" applyFont="1" applyFill="1" applyBorder="1" applyAlignment="1">
      <alignment horizontal="center" vertical="center" wrapText="1"/>
    </xf>
    <xf numFmtId="0" fontId="15" fillId="0" borderId="170" xfId="2" applyFont="1" applyFill="1" applyBorder="1" applyAlignment="1">
      <alignment horizontal="center" vertical="center" wrapText="1"/>
    </xf>
    <xf numFmtId="0" fontId="15" fillId="0" borderId="22" xfId="2" applyFont="1" applyFill="1" applyBorder="1" applyAlignment="1">
      <alignment horizontal="center" textRotation="255" wrapText="1"/>
    </xf>
    <xf numFmtId="0" fontId="15" fillId="0" borderId="17" xfId="2" applyFont="1" applyFill="1" applyBorder="1" applyAlignment="1">
      <alignment horizontal="center" textRotation="255" wrapText="1"/>
    </xf>
    <xf numFmtId="0" fontId="15" fillId="0" borderId="68" xfId="0" applyFont="1" applyFill="1" applyBorder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6" fillId="0" borderId="82" xfId="2" applyFont="1" applyFill="1" applyBorder="1" applyAlignment="1">
      <alignment horizontal="center" vertical="center" wrapText="1"/>
    </xf>
    <xf numFmtId="0" fontId="6" fillId="0" borderId="170" xfId="2" applyFont="1" applyFill="1" applyBorder="1" applyAlignment="1">
      <alignment horizontal="center" vertical="center" wrapText="1"/>
    </xf>
    <xf numFmtId="49" fontId="15" fillId="0" borderId="22" xfId="2" applyNumberFormat="1" applyFont="1" applyFill="1" applyBorder="1" applyAlignment="1">
      <alignment horizontal="center" vertical="center" wrapText="1"/>
    </xf>
    <xf numFmtId="49" fontId="15" fillId="0" borderId="17" xfId="2" applyNumberFormat="1" applyFont="1" applyFill="1" applyBorder="1" applyAlignment="1">
      <alignment horizontal="center" vertical="center" wrapText="1"/>
    </xf>
    <xf numFmtId="0" fontId="25" fillId="0" borderId="128" xfId="2" applyFont="1" applyFill="1" applyBorder="1" applyAlignment="1">
      <alignment horizontal="center" vertical="center" wrapText="1"/>
    </xf>
    <xf numFmtId="0" fontId="25" fillId="0" borderId="23" xfId="2" applyFont="1" applyFill="1" applyBorder="1" applyAlignment="1">
      <alignment horizontal="center" vertical="center" wrapText="1"/>
    </xf>
    <xf numFmtId="0" fontId="25" fillId="0" borderId="142" xfId="2" applyFont="1" applyFill="1" applyBorder="1" applyAlignment="1">
      <alignment horizontal="center" vertical="center" wrapText="1"/>
    </xf>
    <xf numFmtId="0" fontId="25" fillId="0" borderId="127" xfId="2" applyFont="1" applyFill="1" applyBorder="1" applyAlignment="1">
      <alignment horizontal="center" vertical="center" wrapText="1"/>
    </xf>
    <xf numFmtId="0" fontId="25" fillId="0" borderId="13" xfId="2" applyFont="1" applyFill="1" applyBorder="1" applyAlignment="1">
      <alignment horizontal="center" vertical="center" wrapText="1"/>
    </xf>
    <xf numFmtId="0" fontId="25" fillId="0" borderId="141" xfId="2" applyFont="1" applyFill="1" applyBorder="1" applyAlignment="1">
      <alignment horizontal="center" vertical="center" wrapText="1"/>
    </xf>
    <xf numFmtId="0" fontId="25" fillId="0" borderId="129" xfId="2" applyFont="1" applyFill="1" applyBorder="1" applyAlignment="1">
      <alignment horizontal="center" vertical="center" wrapText="1"/>
    </xf>
    <xf numFmtId="0" fontId="25" fillId="0" borderId="74" xfId="2" applyFont="1" applyFill="1" applyBorder="1" applyAlignment="1">
      <alignment horizontal="center" vertical="center" wrapText="1"/>
    </xf>
    <xf numFmtId="0" fontId="25" fillId="0" borderId="143" xfId="2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5" fillId="0" borderId="125" xfId="2" applyFont="1" applyFill="1" applyBorder="1" applyAlignment="1">
      <alignment horizontal="center" vertical="center" wrapText="1"/>
    </xf>
    <xf numFmtId="0" fontId="25" fillId="0" borderId="132" xfId="2" applyFont="1" applyFill="1" applyBorder="1" applyAlignment="1">
      <alignment horizontal="center" vertical="center" wrapText="1"/>
    </xf>
    <xf numFmtId="0" fontId="25" fillId="0" borderId="139" xfId="2" applyFont="1" applyFill="1" applyBorder="1" applyAlignment="1">
      <alignment horizontal="center" vertical="center" wrapText="1"/>
    </xf>
    <xf numFmtId="0" fontId="25" fillId="0" borderId="126" xfId="2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vertical="center" wrapText="1"/>
    </xf>
    <xf numFmtId="0" fontId="25" fillId="0" borderId="140" xfId="2" applyFont="1" applyFill="1" applyBorder="1" applyAlignment="1">
      <alignment horizontal="center" vertical="center" wrapText="1"/>
    </xf>
    <xf numFmtId="0" fontId="15" fillId="0" borderId="130" xfId="0" applyFont="1" applyFill="1" applyBorder="1" applyAlignment="1">
      <alignment horizontal="center"/>
    </xf>
    <xf numFmtId="0" fontId="15" fillId="0" borderId="131" xfId="0" applyFont="1" applyFill="1" applyBorder="1" applyAlignment="1">
      <alignment horizontal="center"/>
    </xf>
    <xf numFmtId="0" fontId="20" fillId="0" borderId="142" xfId="0" applyFont="1" applyFill="1" applyBorder="1"/>
    <xf numFmtId="0" fontId="25" fillId="0" borderId="133" xfId="2" applyFont="1" applyFill="1" applyBorder="1" applyAlignment="1">
      <alignment horizontal="center" vertical="center" wrapText="1"/>
    </xf>
    <xf numFmtId="0" fontId="20" fillId="0" borderId="144" xfId="0" applyFont="1" applyFill="1" applyBorder="1"/>
    <xf numFmtId="0" fontId="25" fillId="0" borderId="115" xfId="2" applyFont="1" applyFill="1" applyBorder="1" applyAlignment="1">
      <alignment horizontal="center" vertical="center" wrapText="1"/>
    </xf>
    <xf numFmtId="0" fontId="14" fillId="0" borderId="115" xfId="0" applyFont="1" applyFill="1" applyBorder="1" applyAlignment="1">
      <alignment horizontal="center"/>
    </xf>
    <xf numFmtId="0" fontId="0" fillId="0" borderId="115" xfId="0" applyFill="1" applyBorder="1"/>
    <xf numFmtId="0" fontId="0" fillId="0" borderId="19" xfId="0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5" fillId="0" borderId="19" xfId="0" applyFont="1" applyBorder="1" applyAlignment="1">
      <alignment horizontal="center" vertical="center" shrinkToFi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54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164" fontId="5" fillId="0" borderId="154" xfId="5" applyNumberFormat="1" applyFont="1" applyFill="1" applyBorder="1" applyAlignment="1">
      <alignment horizontal="center" vertical="center" wrapText="1"/>
    </xf>
    <xf numFmtId="164" fontId="5" fillId="0" borderId="12" xfId="5" applyNumberFormat="1" applyFont="1" applyFill="1" applyBorder="1" applyAlignment="1">
      <alignment horizontal="center" vertical="center"/>
    </xf>
    <xf numFmtId="0" fontId="5" fillId="0" borderId="154" xfId="2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/>
    </xf>
    <xf numFmtId="166" fontId="5" fillId="0" borderId="154" xfId="2" applyNumberFormat="1" applyFont="1" applyFill="1" applyBorder="1" applyAlignment="1">
      <alignment horizontal="center" vertical="center" wrapText="1"/>
    </xf>
    <xf numFmtId="166" fontId="5" fillId="0" borderId="12" xfId="2" applyNumberFormat="1" applyFont="1" applyFill="1" applyBorder="1" applyAlignment="1">
      <alignment horizontal="center" vertical="center"/>
    </xf>
    <xf numFmtId="166" fontId="5" fillId="0" borderId="154" xfId="2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/>
    </xf>
    <xf numFmtId="0" fontId="21" fillId="0" borderId="0" xfId="11" applyFont="1" applyFill="1" applyAlignment="1">
      <alignment horizontal="center" vertical="center"/>
    </xf>
    <xf numFmtId="0" fontId="32" fillId="0" borderId="0" xfId="11" applyFont="1" applyFill="1" applyAlignment="1">
      <alignment horizontal="center" vertical="center"/>
    </xf>
    <xf numFmtId="0" fontId="47" fillId="0" borderId="0" xfId="11" applyFont="1" applyFill="1" applyAlignment="1">
      <alignment horizontal="center" vertical="center"/>
    </xf>
    <xf numFmtId="0" fontId="37" fillId="0" borderId="159" xfId="10" applyFont="1" applyFill="1" applyBorder="1" applyAlignment="1">
      <alignment horizontal="center" vertical="center"/>
    </xf>
    <xf numFmtId="0" fontId="20" fillId="0" borderId="100" xfId="11" applyFont="1" applyFill="1" applyBorder="1" applyAlignment="1">
      <alignment horizontal="left" vertical="center" wrapText="1"/>
    </xf>
    <xf numFmtId="0" fontId="20" fillId="7" borderId="98" xfId="11" applyFont="1" applyFill="1" applyBorder="1" applyAlignment="1">
      <alignment horizontal="left" vertical="center" wrapText="1"/>
    </xf>
    <xf numFmtId="0" fontId="20" fillId="7" borderId="121" xfId="11" applyFont="1" applyFill="1" applyBorder="1" applyAlignment="1">
      <alignment horizontal="left" vertical="center" wrapText="1"/>
    </xf>
    <xf numFmtId="0" fontId="20" fillId="7" borderId="122" xfId="11" applyFont="1" applyFill="1" applyBorder="1" applyAlignment="1">
      <alignment horizontal="left" vertical="center" wrapText="1"/>
    </xf>
    <xf numFmtId="0" fontId="37" fillId="0" borderId="0" xfId="11" applyFont="1" applyFill="1" applyAlignment="1">
      <alignment horizontal="center" vertic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Comma" xfId="4" builtinId="3"/>
    <cellStyle name="Comma [0]" xfId="1" builtinId="6"/>
    <cellStyle name="Currency [0]" xfId="5" builtinId="7"/>
    <cellStyle name="Normal" xfId="0" builtinId="0"/>
    <cellStyle name="Normal 2 10" xfId="17"/>
    <cellStyle name="Normal 2 2" xfId="11"/>
    <cellStyle name="Normal 2 5" xfId="15"/>
    <cellStyle name="Normal 2 6" xfId="14"/>
    <cellStyle name="Normal 2 7" xfId="13"/>
    <cellStyle name="Normal 2 8" xfId="16"/>
    <cellStyle name="Normal_20102013" xfId="12"/>
    <cellStyle name="Normal_Sheet1" xfId="2"/>
    <cellStyle name="Normal_Sheet13" xfId="7"/>
    <cellStyle name="Normal_Sheet2" xfId="3"/>
    <cellStyle name="Normal_Sheet4" xfId="10"/>
    <cellStyle name="Normal_Sheet4_1" xfId="8"/>
    <cellStyle name="Normal_Sheet8" xfId="9"/>
    <cellStyle name="Percent" xfId="6" builtinId="5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9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worksheet" Target="worksheets/sheet1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chartsheet" Target="chartsheets/sheet8.xml"/><Relationship Id="rId2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1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13.xml"/><Relationship Id="rId28" Type="http://schemas.openxmlformats.org/officeDocument/2006/relationships/worksheet" Target="worksheets/sheet18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chartsheet" Target="chartsheets/sheet10.xml"/><Relationship Id="rId27" Type="http://schemas.openxmlformats.org/officeDocument/2006/relationships/worksheet" Target="worksheets/sheet17.xml"/><Relationship Id="rId30" Type="http://schemas.openxmlformats.org/officeDocument/2006/relationships/worksheet" Target="worksheets/sheet2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GRAFIK KARYAWAN OPERASIONAL DAN NON OPERASIONAL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v>Orang</c:v>
          </c:tx>
          <c:spPr>
            <a:solidFill>
              <a:schemeClr val="bg1">
                <a:lumMod val="65000"/>
              </a:schemeClr>
            </a:solidFill>
          </c:spPr>
          <c:dPt>
            <c:idx val="1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E1-451E-9BEF-D5E0C90CC4CC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showPercent val="1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'JENIS KELAMIN'!$P$27:$P$28</c:f>
              <c:strCache>
                <c:ptCount val="2"/>
                <c:pt idx="0">
                  <c:v>NON OPERASIONAL</c:v>
                </c:pt>
                <c:pt idx="1">
                  <c:v>OPERASIONAL</c:v>
                </c:pt>
              </c:strCache>
            </c:strRef>
          </c:cat>
          <c:val>
            <c:numRef>
              <c:f>'JENIS KELAMIN'!$Q$27:$Q$28</c:f>
              <c:numCache>
                <c:formatCode>General</c:formatCode>
                <c:ptCount val="2"/>
                <c:pt idx="0">
                  <c:v>59</c:v>
                </c:pt>
                <c:pt idx="1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EC-49AF-BB8F-0AB358064587}"/>
            </c:ext>
          </c:extLst>
        </c:ser>
        <c:ser>
          <c:idx val="1"/>
          <c:order val="1"/>
          <c:tx>
            <c:v>Persen (%)</c:v>
          </c:tx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'JENIS KELAMIN'!$P$27:$P$28</c:f>
              <c:strCache>
                <c:ptCount val="2"/>
                <c:pt idx="0">
                  <c:v>NON OPERASIONAL</c:v>
                </c:pt>
                <c:pt idx="1">
                  <c:v>OPERASIONAL</c:v>
                </c:pt>
              </c:strCache>
            </c:strRef>
          </c:cat>
          <c:val>
            <c:numRef>
              <c:f>'JENIS KELAMIN'!$R$27:$R$28</c:f>
              <c:numCache>
                <c:formatCode>0</c:formatCode>
                <c:ptCount val="2"/>
                <c:pt idx="0">
                  <c:v>49.579831932773111</c:v>
                </c:pt>
                <c:pt idx="1">
                  <c:v>50.420168067226889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EC-49AF-BB8F-0AB358064587}"/>
            </c:ext>
          </c:extLst>
        </c:ser>
        <c:dLbls>
          <c:showPercent val="1"/>
        </c:dLbls>
        <c:firstSliceAng val="0"/>
      </c:pieChart>
    </c:plotArea>
    <c:legend>
      <c:legendPos val="t"/>
    </c:legend>
    <c:plotVisOnly val="1"/>
    <c:dispBlanksAs val="zero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</a:t>
            </a:r>
            <a:r>
              <a:rPr lang="en-US" baseline="0"/>
              <a:t> KARYAWAN TETAP DAN TIDAK TETAP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Orang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STATUS!$B$10:$B$11</c:f>
              <c:strCache>
                <c:ptCount val="2"/>
                <c:pt idx="0">
                  <c:v>TETAP</c:v>
                </c:pt>
                <c:pt idx="1">
                  <c:v>TDK TETAP</c:v>
                </c:pt>
              </c:strCache>
            </c:strRef>
          </c:cat>
          <c:val>
            <c:numRef>
              <c:f>STATUS!$C$10:$C$11</c:f>
              <c:numCache>
                <c:formatCode>General</c:formatCode>
                <c:ptCount val="2"/>
                <c:pt idx="0">
                  <c:v>119</c:v>
                </c:pt>
                <c:pt idx="1">
                  <c:v>130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D2-4E95-B258-477AAB200952}"/>
            </c:ext>
          </c:extLst>
        </c:ser>
        <c:axId val="76913280"/>
        <c:axId val="76935552"/>
      </c:barChart>
      <c:catAx>
        <c:axId val="76913280"/>
        <c:scaling>
          <c:orientation val="minMax"/>
        </c:scaling>
        <c:axPos val="b"/>
        <c:numFmt formatCode="General" sourceLinked="0"/>
        <c:majorTickMark val="none"/>
        <c:tickLblPos val="nextTo"/>
        <c:crossAx val="76935552"/>
        <c:crosses val="autoZero"/>
        <c:auto val="1"/>
        <c:lblAlgn val="ctr"/>
        <c:lblOffset val="100"/>
      </c:catAx>
      <c:valAx>
        <c:axId val="7693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ORANG</a:t>
                </a:r>
              </a:p>
            </c:rich>
          </c:tx>
        </c:title>
        <c:numFmt formatCode="General" sourceLinked="1"/>
        <c:majorTickMark val="none"/>
        <c:tickLblPos val="nextTo"/>
        <c:crossAx val="769132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Komposisi</a:t>
            </a:r>
            <a:r>
              <a:rPr lang="en-US" baseline="0"/>
              <a:t> karyawan kontrak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Jumlah</c:v>
          </c:tx>
          <c:cat>
            <c:strRef>
              <c:f>'KARYAWAN KONTRAK'!$E$3:$E$6</c:f>
              <c:strCache>
                <c:ptCount val="4"/>
                <c:pt idx="0">
                  <c:v>SATPAM </c:v>
                </c:pt>
                <c:pt idx="1">
                  <c:v>DRIVER </c:v>
                </c:pt>
                <c:pt idx="2">
                  <c:v>PUL TOL</c:v>
                </c:pt>
                <c:pt idx="3">
                  <c:v>AMBULANS</c:v>
                </c:pt>
              </c:strCache>
            </c:strRef>
          </c:cat>
          <c:val>
            <c:numRef>
              <c:f>'KARYAWAN KONTRAK'!$F$3:$F$6</c:f>
              <c:numCache>
                <c:formatCode>General</c:formatCode>
                <c:ptCount val="4"/>
                <c:pt idx="0">
                  <c:v>25</c:v>
                </c:pt>
                <c:pt idx="1">
                  <c:v>10</c:v>
                </c:pt>
                <c:pt idx="2">
                  <c:v>46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19-4A40-A9F1-ADBD582DF0D8}"/>
            </c:ext>
          </c:extLst>
        </c:ser>
        <c:ser>
          <c:idx val="1"/>
          <c:order val="1"/>
          <c:tx>
            <c:v>Persen</c:v>
          </c:tx>
          <c:cat>
            <c:strRef>
              <c:f>'KARYAWAN KONTRAK'!$E$3:$E$6</c:f>
              <c:strCache>
                <c:ptCount val="4"/>
                <c:pt idx="0">
                  <c:v>SATPAM </c:v>
                </c:pt>
                <c:pt idx="1">
                  <c:v>DRIVER </c:v>
                </c:pt>
                <c:pt idx="2">
                  <c:v>PUL TOL</c:v>
                </c:pt>
                <c:pt idx="3">
                  <c:v>AMBULANS</c:v>
                </c:pt>
              </c:strCache>
            </c:strRef>
          </c:cat>
          <c:val>
            <c:numRef>
              <c:f>'KARYAWAN KONTRAK'!$G$3:$G$6</c:f>
              <c:numCache>
                <c:formatCode>0%</c:formatCode>
                <c:ptCount val="4"/>
                <c:pt idx="0">
                  <c:v>0.29069767441860467</c:v>
                </c:pt>
                <c:pt idx="1">
                  <c:v>0.11627906976744186</c:v>
                </c:pt>
                <c:pt idx="2">
                  <c:v>0.53488372093023251</c:v>
                </c:pt>
                <c:pt idx="3">
                  <c:v>5.8139534883720929E-2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19-4A40-A9F1-ADBD582DF0D8}"/>
            </c:ext>
          </c:extLst>
        </c:ser>
        <c:axId val="77036160"/>
        <c:axId val="86872448"/>
      </c:barChart>
      <c:catAx>
        <c:axId val="77036160"/>
        <c:scaling>
          <c:orientation val="minMax"/>
        </c:scaling>
        <c:axPos val="b"/>
        <c:numFmt formatCode="General" sourceLinked="0"/>
        <c:majorTickMark val="none"/>
        <c:tickLblPos val="nextTo"/>
        <c:crossAx val="86872448"/>
        <c:crosses val="autoZero"/>
        <c:auto val="1"/>
        <c:lblAlgn val="ctr"/>
        <c:lblOffset val="100"/>
      </c:catAx>
      <c:valAx>
        <c:axId val="86872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7036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GRAFIK KARYAWAN PER DEPARTEMEN</a:t>
            </a:r>
            <a:endParaRPr lang="en-US"/>
          </a:p>
        </c:rich>
      </c:tx>
      <c:layout>
        <c:manualLayout>
          <c:xMode val="edge"/>
          <c:yMode val="edge"/>
          <c:x val="0.29932024691471892"/>
          <c:y val="1.210401831169594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Orang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'JENIS KELAMIN'!$B$32:$B$34</c:f>
              <c:strCache>
                <c:ptCount val="3"/>
                <c:pt idx="0">
                  <c:v>DEPARTEMEN OPERATION</c:v>
                </c:pt>
                <c:pt idx="1">
                  <c:v>DEPARTEMEN HR &amp; GA</c:v>
                </c:pt>
                <c:pt idx="2">
                  <c:v>DEPARTEMEN FINANCE</c:v>
                </c:pt>
              </c:strCache>
            </c:strRef>
          </c:cat>
          <c:val>
            <c:numRef>
              <c:f>'JENIS KELAMIN'!$C$32:$C$34</c:f>
              <c:numCache>
                <c:formatCode>General</c:formatCode>
                <c:ptCount val="3"/>
                <c:pt idx="0">
                  <c:v>82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BB-48C2-8933-8AF16DAD0D42}"/>
            </c:ext>
          </c:extLst>
        </c:ser>
        <c:ser>
          <c:idx val="1"/>
          <c:order val="1"/>
          <c:tx>
            <c:v>Persentase</c:v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'JENIS KELAMIN'!$B$32:$B$34</c:f>
              <c:strCache>
                <c:ptCount val="3"/>
                <c:pt idx="0">
                  <c:v>DEPARTEMEN OPERATION</c:v>
                </c:pt>
                <c:pt idx="1">
                  <c:v>DEPARTEMEN HR &amp; GA</c:v>
                </c:pt>
                <c:pt idx="2">
                  <c:v>DEPARTEMEN FINANCE</c:v>
                </c:pt>
              </c:strCache>
            </c:strRef>
          </c:cat>
          <c:val>
            <c:numRef>
              <c:f>'JENIS KELAMIN'!$D$32:$D$34</c:f>
              <c:numCache>
                <c:formatCode>_(* #,##0_);_(* \(#,##0\);_(* "-"_);_(@_)</c:formatCode>
                <c:ptCount val="3"/>
                <c:pt idx="0">
                  <c:v>68.907563025210081</c:v>
                </c:pt>
                <c:pt idx="1">
                  <c:v>22.689075630252102</c:v>
                </c:pt>
                <c:pt idx="2">
                  <c:v>8.4033613445378155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BB-48C2-8933-8AF16DAD0D42}"/>
            </c:ext>
          </c:extLst>
        </c:ser>
        <c:axId val="68864256"/>
        <c:axId val="68870144"/>
      </c:barChart>
      <c:catAx>
        <c:axId val="68864256"/>
        <c:scaling>
          <c:orientation val="minMax"/>
        </c:scaling>
        <c:axPos val="b"/>
        <c:numFmt formatCode="General" sourceLinked="0"/>
        <c:majorTickMark val="none"/>
        <c:tickLblPos val="nextTo"/>
        <c:crossAx val="68870144"/>
        <c:crosses val="autoZero"/>
        <c:auto val="1"/>
        <c:lblAlgn val="ctr"/>
        <c:lblOffset val="100"/>
      </c:catAx>
      <c:valAx>
        <c:axId val="68870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JUMLAH</a:t>
                </a:r>
              </a:p>
            </c:rich>
          </c:tx>
          <c:layout>
            <c:manualLayout>
              <c:xMode val="edge"/>
              <c:yMode val="edge"/>
              <c:x val="3.8839164288644992E-2"/>
              <c:y val="0.4206894525076128"/>
            </c:manualLayout>
          </c:layout>
        </c:title>
        <c:numFmt formatCode="General" sourceLinked="1"/>
        <c:majorTickMark val="none"/>
        <c:tickLblPos val="nextTo"/>
        <c:crossAx val="68864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GRAFIK KARYAWAN PER SEKSI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Orang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'JENIS KELAMIN'!$B$15:$B$28</c:f>
              <c:strCache>
                <c:ptCount val="14"/>
                <c:pt idx="0">
                  <c:v>DEPUTY GM HR &amp; GA</c:v>
                </c:pt>
                <c:pt idx="1">
                  <c:v>SEKSI HR &amp; ADM</c:v>
                </c:pt>
                <c:pt idx="2">
                  <c:v>SEKSI LOGISTIC</c:v>
                </c:pt>
                <c:pt idx="3">
                  <c:v>SEKSI COM. DEV PROGRAM</c:v>
                </c:pt>
                <c:pt idx="4">
                  <c:v>DEPUTY GM FINANCE</c:v>
                </c:pt>
                <c:pt idx="5">
                  <c:v>SEKSI TAX ACCOUNTING</c:v>
                </c:pt>
                <c:pt idx="6">
                  <c:v>SEKSI BUDGETING</c:v>
                </c:pt>
                <c:pt idx="7">
                  <c:v>DEPUTY GM OPERATION</c:v>
                </c:pt>
                <c:pt idx="8">
                  <c:v>SEKSI TOLL COLLECTION MAN</c:v>
                </c:pt>
                <c:pt idx="9">
                  <c:v>SEKSI MAINTENANCE ADM</c:v>
                </c:pt>
                <c:pt idx="10">
                  <c:v>SEKSI MAINTENACE EXECUTION</c:v>
                </c:pt>
                <c:pt idx="11">
                  <c:v>SEKSI TRAFFIC MANAGEMENT</c:v>
                </c:pt>
                <c:pt idx="12">
                  <c:v>GERBANG TOL MANYARAN</c:v>
                </c:pt>
                <c:pt idx="13">
                  <c:v>GERBANG TOL MUKTIHARJO</c:v>
                </c:pt>
              </c:strCache>
            </c:strRef>
          </c:cat>
          <c:val>
            <c:numRef>
              <c:f>'JENIS KELAMIN'!$C$15:$C$28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26</c:v>
                </c:pt>
                <c:pt idx="12">
                  <c:v>14</c:v>
                </c:pt>
                <c:pt idx="1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55-48DF-B7E5-315B545BF15D}"/>
            </c:ext>
          </c:extLst>
        </c:ser>
        <c:ser>
          <c:idx val="1"/>
          <c:order val="1"/>
          <c:tx>
            <c:v>% Persen</c:v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'JENIS KELAMIN'!$B$15:$B$28</c:f>
              <c:strCache>
                <c:ptCount val="14"/>
                <c:pt idx="0">
                  <c:v>DEPUTY GM HR &amp; GA</c:v>
                </c:pt>
                <c:pt idx="1">
                  <c:v>SEKSI HR &amp; ADM</c:v>
                </c:pt>
                <c:pt idx="2">
                  <c:v>SEKSI LOGISTIC</c:v>
                </c:pt>
                <c:pt idx="3">
                  <c:v>SEKSI COM. DEV PROGRAM</c:v>
                </c:pt>
                <c:pt idx="4">
                  <c:v>DEPUTY GM FINANCE</c:v>
                </c:pt>
                <c:pt idx="5">
                  <c:v>SEKSI TAX ACCOUNTING</c:v>
                </c:pt>
                <c:pt idx="6">
                  <c:v>SEKSI BUDGETING</c:v>
                </c:pt>
                <c:pt idx="7">
                  <c:v>DEPUTY GM OPERATION</c:v>
                </c:pt>
                <c:pt idx="8">
                  <c:v>SEKSI TOLL COLLECTION MAN</c:v>
                </c:pt>
                <c:pt idx="9">
                  <c:v>SEKSI MAINTENANCE ADM</c:v>
                </c:pt>
                <c:pt idx="10">
                  <c:v>SEKSI MAINTENACE EXECUTION</c:v>
                </c:pt>
                <c:pt idx="11">
                  <c:v>SEKSI TRAFFIC MANAGEMENT</c:v>
                </c:pt>
                <c:pt idx="12">
                  <c:v>GERBANG TOL MANYARAN</c:v>
                </c:pt>
                <c:pt idx="13">
                  <c:v>GERBANG TOL MUKTIHARJO</c:v>
                </c:pt>
              </c:strCache>
            </c:strRef>
          </c:cat>
          <c:val>
            <c:numRef>
              <c:f>'JENIS KELAMIN'!$D$15:$D$28</c:f>
              <c:numCache>
                <c:formatCode>_(* #,##0_);_(* \(#,##0\);_(* "-"_);_(@_)</c:formatCode>
                <c:ptCount val="14"/>
                <c:pt idx="0">
                  <c:v>0.84033613445378152</c:v>
                </c:pt>
                <c:pt idx="1">
                  <c:v>8.4033613445378155</c:v>
                </c:pt>
                <c:pt idx="2">
                  <c:v>6.7226890756302522</c:v>
                </c:pt>
                <c:pt idx="3">
                  <c:v>5.8823529411764701</c:v>
                </c:pt>
                <c:pt idx="4">
                  <c:v>0.84033613445378152</c:v>
                </c:pt>
                <c:pt idx="5">
                  <c:v>3.3613445378151261</c:v>
                </c:pt>
                <c:pt idx="6">
                  <c:v>4.2016806722689077</c:v>
                </c:pt>
                <c:pt idx="7">
                  <c:v>0</c:v>
                </c:pt>
                <c:pt idx="8">
                  <c:v>5.0420168067226889</c:v>
                </c:pt>
                <c:pt idx="9">
                  <c:v>2.5210084033613445</c:v>
                </c:pt>
                <c:pt idx="10">
                  <c:v>2.5210084033613445</c:v>
                </c:pt>
                <c:pt idx="11">
                  <c:v>21.84873949579832</c:v>
                </c:pt>
                <c:pt idx="12">
                  <c:v>11.76470588235294</c:v>
                </c:pt>
                <c:pt idx="13">
                  <c:v>23.52941176470588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55-48DF-B7E5-315B545BF15D}"/>
            </c:ext>
          </c:extLst>
        </c:ser>
        <c:axId val="75245824"/>
        <c:axId val="75255808"/>
      </c:barChart>
      <c:catAx>
        <c:axId val="75245824"/>
        <c:scaling>
          <c:orientation val="minMax"/>
        </c:scaling>
        <c:axPos val="b"/>
        <c:numFmt formatCode="General" sourceLinked="0"/>
        <c:majorTickMark val="none"/>
        <c:tickLblPos val="nextTo"/>
        <c:crossAx val="75255808"/>
        <c:crosses val="autoZero"/>
        <c:auto val="1"/>
        <c:lblAlgn val="ctr"/>
        <c:lblOffset val="100"/>
      </c:catAx>
      <c:valAx>
        <c:axId val="75255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JUMLAH</a:t>
                </a:r>
              </a:p>
            </c:rich>
          </c:tx>
        </c:title>
        <c:numFmt formatCode="General" sourceLinked="1"/>
        <c:majorTickMark val="none"/>
        <c:tickLblPos val="nextTo"/>
        <c:crossAx val="7524582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</c:spPr>
    </c:plotArea>
    <c:plotVisOnly val="1"/>
    <c:dispBlanksAs val="gap"/>
  </c:chart>
  <c:spPr>
    <a:noFill/>
    <a:ln>
      <a:solidFill>
        <a:schemeClr val="tx1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800"/>
            </a:pPr>
            <a:r>
              <a:rPr lang="en-US" sz="1800" baseline="0"/>
              <a:t>GRAFIK KARYAWAN GERBANG MUKTIHARJO</a:t>
            </a:r>
            <a:endParaRPr lang="en-US" sz="1800"/>
          </a:p>
        </c:rich>
      </c:tx>
      <c:layout>
        <c:manualLayout>
          <c:xMode val="edge"/>
          <c:yMode val="edge"/>
          <c:x val="0.31508635500945209"/>
          <c:y val="1.572286797764138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Orang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'JENIS KELAMIN'!$G$38:$G$42</c:f>
              <c:strCache>
                <c:ptCount val="5"/>
                <c:pt idx="0">
                  <c:v>KEPALA GERBANG TOL MUKTIHARJO</c:v>
                </c:pt>
                <c:pt idx="1">
                  <c:v>KEPALA SHIFT PENGUMPULAN TOL</c:v>
                </c:pt>
                <c:pt idx="2">
                  <c:v>STAF GERBANG TOL</c:v>
                </c:pt>
                <c:pt idx="3">
                  <c:v>PENGUMPUL TOL PRIA</c:v>
                </c:pt>
                <c:pt idx="4">
                  <c:v>PENGUMPUL TOL WANITA</c:v>
                </c:pt>
              </c:strCache>
            </c:strRef>
          </c:cat>
          <c:val>
            <c:numRef>
              <c:f>'JENIS KELAMIN'!$H$38:$H$42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22-4D00-B18D-9E58680D1779}"/>
            </c:ext>
          </c:extLst>
        </c:ser>
        <c:ser>
          <c:idx val="1"/>
          <c:order val="1"/>
          <c:tx>
            <c:v>% Persen</c:v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'JENIS KELAMIN'!$G$38:$G$42</c:f>
              <c:strCache>
                <c:ptCount val="5"/>
                <c:pt idx="0">
                  <c:v>KEPALA GERBANG TOL MUKTIHARJO</c:v>
                </c:pt>
                <c:pt idx="1">
                  <c:v>KEPALA SHIFT PENGUMPULAN TOL</c:v>
                </c:pt>
                <c:pt idx="2">
                  <c:v>STAF GERBANG TOL</c:v>
                </c:pt>
                <c:pt idx="3">
                  <c:v>PENGUMPUL TOL PRIA</c:v>
                </c:pt>
                <c:pt idx="4">
                  <c:v>PENGUMPUL TOL WANITA</c:v>
                </c:pt>
              </c:strCache>
            </c:strRef>
          </c:cat>
          <c:val>
            <c:numRef>
              <c:f>'JENIS KELAMIN'!$I$38:$I$42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17.857142857142858</c:v>
                </c:pt>
                <c:pt idx="2">
                  <c:v>3.5714285714285712</c:v>
                </c:pt>
                <c:pt idx="3">
                  <c:v>71.428571428571431</c:v>
                </c:pt>
                <c:pt idx="4">
                  <c:v>7.1428571428571423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22-4D00-B18D-9E58680D1779}"/>
            </c:ext>
          </c:extLst>
        </c:ser>
        <c:axId val="75394432"/>
        <c:axId val="75412608"/>
      </c:barChart>
      <c:catAx>
        <c:axId val="7539443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5412608"/>
        <c:crosses val="autoZero"/>
        <c:auto val="1"/>
        <c:lblAlgn val="ctr"/>
        <c:lblOffset val="100"/>
      </c:catAx>
      <c:valAx>
        <c:axId val="7541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JUMLAH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539443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  <c:spPr>
        <a:noFill/>
      </c:spPr>
    </c:plotArea>
    <c:plotVisOnly val="1"/>
    <c:dispBlanksAs val="gap"/>
  </c:chart>
  <c:spPr>
    <a:noFill/>
    <a:ln>
      <a:solidFill>
        <a:schemeClr val="tx1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lang="en-US" sz="1800"/>
            </a:pPr>
            <a:r>
              <a:rPr lang="en-US" sz="1800"/>
              <a:t>GRAFIK</a:t>
            </a:r>
            <a:r>
              <a:rPr lang="en-US" sz="1800" baseline="0"/>
              <a:t> </a:t>
            </a:r>
            <a:r>
              <a:rPr lang="en-US" sz="1800"/>
              <a:t>KARYAWAN GERBANG MANYARAN</a:t>
            </a:r>
            <a:r>
              <a:rPr lang="en-US" sz="1800" baseline="0"/>
              <a:t> </a:t>
            </a:r>
            <a:endParaRPr lang="en-US" sz="1800"/>
          </a:p>
        </c:rich>
      </c:tx>
      <c:layout>
        <c:manualLayout>
          <c:xMode val="edge"/>
          <c:yMode val="edge"/>
          <c:x val="0.29546990489063174"/>
          <c:y val="1.435300409387163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Orang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'JENIS KELAMIN'!$B$38:$B$42</c:f>
              <c:strCache>
                <c:ptCount val="5"/>
                <c:pt idx="0">
                  <c:v>KEPALA GERBANG TOL MANYARAN</c:v>
                </c:pt>
                <c:pt idx="1">
                  <c:v>KEPALA SHIFT PENGUMPULAN TOL</c:v>
                </c:pt>
                <c:pt idx="2">
                  <c:v>STAF USAHA GERBANG TOL</c:v>
                </c:pt>
                <c:pt idx="3">
                  <c:v>PENGUMPUL TOL PRIA</c:v>
                </c:pt>
                <c:pt idx="4">
                  <c:v>PENGUMPUL TOL WANITA</c:v>
                </c:pt>
              </c:strCache>
            </c:strRef>
          </c:cat>
          <c:val>
            <c:numRef>
              <c:f>'JENIS KELAMIN'!$C$38:$C$42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8C-4AD1-9540-8CBA53B18318}"/>
            </c:ext>
          </c:extLst>
        </c:ser>
        <c:ser>
          <c:idx val="1"/>
          <c:order val="1"/>
          <c:tx>
            <c:v>% Person</c:v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'JENIS KELAMIN'!$B$38:$B$42</c:f>
              <c:strCache>
                <c:ptCount val="5"/>
                <c:pt idx="0">
                  <c:v>KEPALA GERBANG TOL MANYARAN</c:v>
                </c:pt>
                <c:pt idx="1">
                  <c:v>KEPALA SHIFT PENGUMPULAN TOL</c:v>
                </c:pt>
                <c:pt idx="2">
                  <c:v>STAF USAHA GERBANG TOL</c:v>
                </c:pt>
                <c:pt idx="3">
                  <c:v>PENGUMPUL TOL PRIA</c:v>
                </c:pt>
                <c:pt idx="4">
                  <c:v>PENGUMPUL TOL WANITA</c:v>
                </c:pt>
              </c:strCache>
            </c:strRef>
          </c:cat>
          <c:val>
            <c:numRef>
              <c:f>'JENIS KELAMIN'!$D$38:$D$42</c:f>
              <c:numCache>
                <c:formatCode>_(* #,##0_);_(* \(#,##0\);_(* "-"_);_(@_)</c:formatCode>
                <c:ptCount val="5"/>
                <c:pt idx="0">
                  <c:v>7.1428571428571423</c:v>
                </c:pt>
                <c:pt idx="1">
                  <c:v>78.571428571428569</c:v>
                </c:pt>
                <c:pt idx="2">
                  <c:v>14.285714285714285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8C-4AD1-9540-8CBA53B18318}"/>
            </c:ext>
          </c:extLst>
        </c:ser>
        <c:axId val="76430720"/>
        <c:axId val="76473472"/>
      </c:barChart>
      <c:catAx>
        <c:axId val="76430720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473472"/>
        <c:crosses val="autoZero"/>
        <c:auto val="1"/>
        <c:lblAlgn val="ctr"/>
        <c:lblOffset val="100"/>
      </c:catAx>
      <c:valAx>
        <c:axId val="7647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JUMLAH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4307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  <c:spPr>
        <a:noFill/>
      </c:spPr>
    </c:plotArea>
    <c:plotVisOnly val="1"/>
    <c:dispBlanksAs val="gap"/>
  </c:chart>
  <c:spPr>
    <a:noFill/>
    <a:ln>
      <a:solidFill>
        <a:schemeClr val="tx1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</a:t>
            </a:r>
            <a:r>
              <a:rPr lang="en-US" baseline="0"/>
              <a:t> </a:t>
            </a:r>
            <a:r>
              <a:rPr lang="en-US"/>
              <a:t>PENDIDIKAN</a:t>
            </a:r>
            <a:r>
              <a:rPr lang="en-US" baseline="0"/>
              <a:t> KARYAWAN YANG DIMILIKI</a:t>
            </a:r>
            <a:endParaRPr lang="en-US"/>
          </a:p>
        </c:rich>
      </c:tx>
      <c:layout>
        <c:manualLayout>
          <c:xMode val="edge"/>
          <c:yMode val="edge"/>
          <c:x val="0.30928293247841482"/>
          <c:y val="1.21039862452896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Orang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GRADE!$C$33:$C$37</c:f>
              <c:strCache>
                <c:ptCount val="5"/>
                <c:pt idx="0">
                  <c:v>S2</c:v>
                </c:pt>
                <c:pt idx="1">
                  <c:v>S1</c:v>
                </c:pt>
                <c:pt idx="2">
                  <c:v>D3</c:v>
                </c:pt>
                <c:pt idx="3">
                  <c:v>SLTA</c:v>
                </c:pt>
                <c:pt idx="4">
                  <c:v>SLTP</c:v>
                </c:pt>
              </c:strCache>
            </c:strRef>
          </c:cat>
          <c:val>
            <c:numRef>
              <c:f>GRADE!$D$33:$D$37</c:f>
              <c:numCache>
                <c:formatCode>General</c:formatCode>
                <c:ptCount val="5"/>
                <c:pt idx="0">
                  <c:v>2</c:v>
                </c:pt>
                <c:pt idx="1">
                  <c:v>61</c:v>
                </c:pt>
                <c:pt idx="2">
                  <c:v>2</c:v>
                </c:pt>
                <c:pt idx="3">
                  <c:v>52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008-4ABC-BBA1-6680948C85DF}"/>
            </c:ext>
          </c:extLst>
        </c:ser>
        <c:gapWidth val="95"/>
        <c:axId val="76621312"/>
        <c:axId val="76622848"/>
      </c:barChart>
      <c:catAx>
        <c:axId val="76621312"/>
        <c:scaling>
          <c:orientation val="minMax"/>
        </c:scaling>
        <c:axPos val="b"/>
        <c:numFmt formatCode="General" sourceLinked="0"/>
        <c:majorTickMark val="none"/>
        <c:tickLblPos val="nextTo"/>
        <c:crossAx val="76622848"/>
        <c:crosses val="autoZero"/>
        <c:auto val="1"/>
        <c:lblAlgn val="ctr"/>
        <c:lblOffset val="100"/>
      </c:catAx>
      <c:valAx>
        <c:axId val="766228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621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</a:t>
            </a:r>
            <a:r>
              <a:rPr lang="en-US" baseline="0"/>
              <a:t> JENIS KELAMIN KARYAWAN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'JENIS KELAMIN'!$B$8</c:f>
              <c:strCache>
                <c:ptCount val="1"/>
                <c:pt idx="0">
                  <c:v>PEREMPUAN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val>
            <c:numRef>
              <c:f>'JENIS KELAMIN'!$C$8:$D$8</c:f>
              <c:numCache>
                <c:formatCode>_(* #,##0_);_(* \(#,##0\);_(* "-"_);_(@_)</c:formatCode>
                <c:ptCount val="2"/>
                <c:pt idx="0" formatCode="General">
                  <c:v>23</c:v>
                </c:pt>
                <c:pt idx="1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CB-43F5-9473-EC15EFEF8B6E}"/>
            </c:ext>
          </c:extLst>
        </c:ser>
        <c:ser>
          <c:idx val="1"/>
          <c:order val="1"/>
          <c:tx>
            <c:strRef>
              <c:f>'JENIS KELAMIN'!$B$9</c:f>
              <c:strCache>
                <c:ptCount val="1"/>
                <c:pt idx="0">
                  <c:v>LAKI - LAKI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val>
            <c:numRef>
              <c:f>'JENIS KELAMIN'!$C$9:$D$9</c:f>
              <c:numCache>
                <c:formatCode>_(* #,##0_);_(* \(#,##0\);_(* "-"_);_(@_)</c:formatCode>
                <c:ptCount val="2"/>
                <c:pt idx="0" formatCode="General">
                  <c:v>96</c:v>
                </c:pt>
                <c:pt idx="1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CB-43F5-9473-EC15EFEF8B6E}"/>
            </c:ext>
          </c:extLst>
        </c:ser>
        <c:axId val="76650752"/>
        <c:axId val="76681216"/>
      </c:barChart>
      <c:catAx>
        <c:axId val="766507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681216"/>
        <c:crosses val="autoZero"/>
        <c:auto val="1"/>
        <c:lblAlgn val="ctr"/>
        <c:lblOffset val="100"/>
      </c:catAx>
      <c:valAx>
        <c:axId val="76681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JUMLAH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65075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</c:spPr>
    </c:plotArea>
    <c:plotVisOnly val="1"/>
    <c:dispBlanksAs val="gap"/>
  </c:chart>
  <c:spPr>
    <a:noFill/>
    <a:ln>
      <a:solidFill>
        <a:schemeClr val="tx1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</a:t>
            </a:r>
            <a:r>
              <a:rPr lang="en-US" baseline="0"/>
              <a:t> AGAMA KARYAWAN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Orang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STATUS!$B$27:$B$31</c:f>
              <c:strCache>
                <c:ptCount val="5"/>
                <c:pt idx="0">
                  <c:v>ISLAM</c:v>
                </c:pt>
                <c:pt idx="1">
                  <c:v>KATHOLIK</c:v>
                </c:pt>
                <c:pt idx="2">
                  <c:v>KRISTEN</c:v>
                </c:pt>
                <c:pt idx="3">
                  <c:v>HINDU</c:v>
                </c:pt>
                <c:pt idx="4">
                  <c:v>BUDHA</c:v>
                </c:pt>
              </c:strCache>
            </c:strRef>
          </c:cat>
          <c:val>
            <c:numRef>
              <c:f>STATUS!$C$27:$C$31</c:f>
              <c:numCache>
                <c:formatCode>General</c:formatCode>
                <c:ptCount val="5"/>
                <c:pt idx="0">
                  <c:v>106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E77-4FC9-BD3C-A31230DB9597}"/>
            </c:ext>
          </c:extLst>
        </c:ser>
        <c:axId val="65798528"/>
        <c:axId val="65800064"/>
      </c:barChart>
      <c:catAx>
        <c:axId val="65798528"/>
        <c:scaling>
          <c:orientation val="minMax"/>
        </c:scaling>
        <c:axPos val="b"/>
        <c:numFmt formatCode="General" sourceLinked="0"/>
        <c:majorTickMark val="none"/>
        <c:tickLblPos val="nextTo"/>
        <c:crossAx val="65800064"/>
        <c:crosses val="autoZero"/>
        <c:auto val="1"/>
        <c:lblAlgn val="ctr"/>
        <c:lblOffset val="100"/>
      </c:catAx>
      <c:valAx>
        <c:axId val="65800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Orang</a:t>
                </a:r>
              </a:p>
            </c:rich>
          </c:tx>
        </c:title>
        <c:numFmt formatCode="General" sourceLinked="1"/>
        <c:majorTickMark val="none"/>
        <c:tickLblPos val="nextTo"/>
        <c:crossAx val="65798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 USIA KARYAWAN</a:t>
            </a:r>
          </a:p>
        </c:rich>
      </c:tx>
      <c:layout>
        <c:manualLayout>
          <c:xMode val="edge"/>
          <c:yMode val="edge"/>
          <c:x val="0.35910117694786514"/>
          <c:y val="1.210401831169594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Orang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STATUS!$B$35:$B$38</c:f>
              <c:strCache>
                <c:ptCount val="4"/>
                <c:pt idx="0">
                  <c:v>18 S/D 30</c:v>
                </c:pt>
                <c:pt idx="1">
                  <c:v>31 S/D 45</c:v>
                </c:pt>
                <c:pt idx="2">
                  <c:v>46 S/D 54</c:v>
                </c:pt>
                <c:pt idx="3">
                  <c:v>&gt; 55</c:v>
                </c:pt>
              </c:strCache>
            </c:strRef>
          </c:cat>
          <c:val>
            <c:numRef>
              <c:f>STATUS!$C$35:$C$38</c:f>
              <c:numCache>
                <c:formatCode>General</c:formatCode>
                <c:ptCount val="4"/>
                <c:pt idx="0">
                  <c:v>2</c:v>
                </c:pt>
                <c:pt idx="1">
                  <c:v>59</c:v>
                </c:pt>
                <c:pt idx="2">
                  <c:v>57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49-412A-A928-3C340E33A083}"/>
            </c:ext>
          </c:extLst>
        </c:ser>
        <c:axId val="65830272"/>
        <c:axId val="65844352"/>
      </c:barChart>
      <c:catAx>
        <c:axId val="65830272"/>
        <c:scaling>
          <c:orientation val="minMax"/>
        </c:scaling>
        <c:axPos val="b"/>
        <c:numFmt formatCode="General" sourceLinked="0"/>
        <c:majorTickMark val="none"/>
        <c:tickLblPos val="nextTo"/>
        <c:crossAx val="65844352"/>
        <c:crosses val="autoZero"/>
        <c:auto val="1"/>
        <c:lblAlgn val="ctr"/>
        <c:lblOffset val="100"/>
      </c:catAx>
      <c:valAx>
        <c:axId val="65844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ORANG</a:t>
                </a:r>
              </a:p>
            </c:rich>
          </c:tx>
        </c:title>
        <c:numFmt formatCode="General" sourceLinked="1"/>
        <c:majorTickMark val="none"/>
        <c:tickLblPos val="nextTo"/>
        <c:crossAx val="65830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1.2" right="1.2" top="0.75" bottom="0.75" header="0.3" footer="0.3"/>
  <pageSetup paperSize="5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1.2" right="1.2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1.2" right="1.2" top="0.75" bottom="0.75" header="0.3" footer="0.3"/>
  <pageSetup paperSize="5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1.2" right="1.2" top="0.75" bottom="0.75" header="0.3" footer="0.3"/>
  <pageSetup paperSize="5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1.2" right="1.2" top="0.75" bottom="0.75" header="0.3" footer="0.3"/>
  <pageSetup paperSize="5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1.2" right="1.2" top="0.75" bottom="0.75" header="0.3" footer="0.3"/>
  <pageSetup paperSize="5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1.2" right="1.2" top="0.75" bottom="0.75" header="0.3" footer="0.3"/>
  <pageSetup paperSize="5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1.2" right="1.2" top="0.75" bottom="0.75" header="0.3" footer="0.3"/>
  <pageSetup paperSize="5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1.2" right="1.2" top="0.75" bottom="0.75" header="0.3" footer="0.3"/>
  <pageSetup paperSize="5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1.2" right="1.2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493782" cy="629301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0477500" cy="627289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9</xdr:row>
      <xdr:rowOff>9525</xdr:rowOff>
    </xdr:from>
    <xdr:to>
      <xdr:col>10</xdr:col>
      <xdr:colOff>428625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493782" cy="629301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499912" cy="629770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499912" cy="629770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477500" cy="627289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477500" cy="627289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477500" cy="627289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477500" cy="627289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477500" cy="627289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R UTILIZATION" refreshedDate="43199.694413310186" createdVersion="6" refreshedVersion="6" minRefreshableVersion="3" recordCount="119">
  <cacheSource type="worksheet">
    <worksheetSource ref="A5:T124" sheet="Pivot tabel"/>
  </cacheSource>
  <cacheFields count="22">
    <cacheField name="NO" numFmtId="0">
      <sharedItems containsSemiMixedTypes="0" containsString="0" containsNumber="1" containsInteger="1" minValue="1" maxValue="119"/>
    </cacheField>
    <cacheField name="NPP" numFmtId="169">
      <sharedItems containsSemiMixedTypes="0" containsString="0" containsNumber="1" containsInteger="1" minValue="2215" maxValue="10453"/>
    </cacheField>
    <cacheField name="NAMA" numFmtId="0">
      <sharedItems/>
    </cacheField>
    <cacheField name="GRADE" numFmtId="0">
      <sharedItems containsMixedTypes="1" containsNumber="1" containsInteger="1" minValue="5" maxValue="5" count="13">
        <s v="E.3"/>
        <s v="1.C"/>
        <s v="2.C"/>
        <s v="4.C"/>
        <n v="5"/>
        <s v="M"/>
        <s v="3.C"/>
        <s v="O2.C"/>
        <s v="O2.B"/>
        <s v="O3.A"/>
        <s v="O3.B"/>
        <s v="O3.D"/>
        <s v="O1.B"/>
      </sharedItems>
    </cacheField>
    <cacheField name="JABATAN" numFmtId="0">
      <sharedItems/>
    </cacheField>
    <cacheField name="STATUS KARY." numFmtId="0">
      <sharedItems/>
    </cacheField>
    <cacheField name="STATUS" numFmtId="0">
      <sharedItems/>
    </cacheField>
    <cacheField name="DI&#10;MI&#10;LI&#10;KI" numFmtId="0">
      <sharedItems containsSemiMixedTypes="0" containsString="0" containsNumber="1" containsInteger="1" minValue="0" maxValue="5"/>
    </cacheField>
    <cacheField name="DI&#10;TANG&#10;GUNG" numFmtId="0">
      <sharedItems containsSemiMixedTypes="0" containsString="0" containsNumber="1" containsInteger="1" minValue="0" maxValue="3"/>
    </cacheField>
    <cacheField name="L/P" numFmtId="0">
      <sharedItems/>
    </cacheField>
    <cacheField name="LAHIR" numFmtId="166">
      <sharedItems containsSemiMixedTypes="0" containsNonDate="0" containsDate="1" containsString="0" minDate="1962-03-11T00:00:00" maxDate="1988-08-29T00:00:00"/>
    </cacheField>
    <cacheField name="USIA" numFmtId="14">
      <sharedItems/>
    </cacheField>
    <cacheField name="USIA BULAT" numFmtId="14">
      <sharedItems count="22">
        <s v="45"/>
        <s v="54"/>
        <s v="43"/>
        <s v="47"/>
        <s v="52"/>
        <s v="42"/>
        <s v="44"/>
        <s v="50"/>
        <s v="39"/>
        <s v="53"/>
        <s v="56"/>
        <s v="55"/>
        <s v="49"/>
        <s v="51"/>
        <s v="41"/>
        <s v="30"/>
        <s v="48"/>
        <s v="46"/>
        <s v="37"/>
        <s v="38"/>
        <s v="46'"/>
        <s v="40"/>
      </sharedItems>
    </cacheField>
    <cacheField name="TANGGAL&#10;MULAI&#10;BEKERJA" numFmtId="166">
      <sharedItems containsSemiMixedTypes="0" containsNonDate="0" containsDate="1" containsString="0" minDate="1983-07-04T00:00:00" maxDate="2012-07-03T00:00:00"/>
    </cacheField>
    <cacheField name="MASA KERJA" numFmtId="14">
      <sharedItems/>
    </cacheField>
    <cacheField name="TAHUN PENSIUN" numFmtId="166">
      <sharedItems containsSemiMixedTypes="0" containsNonDate="0" containsDate="1" containsString="0" minDate="2018-03-11T00:00:00" maxDate="2044-08-29T00:00:00" count="118">
        <d v="2028-12-17T00:00:00"/>
        <d v="2020-07-14T00:00:00"/>
        <d v="2031-08-22T00:00:00"/>
        <d v="2027-04-17T00:00:00"/>
        <d v="2022-04-24T00:00:00"/>
        <d v="2032-08-06T00:00:00"/>
        <d v="2022-01-10T00:00:00"/>
        <d v="2020-02-12T00:00:00"/>
        <d v="2030-10-16T00:00:00"/>
        <d v="2024-07-19T00:00:00"/>
        <d v="2035-05-07T00:00:00"/>
        <d v="2021-06-01T00:00:00"/>
        <d v="2018-07-05T00:00:00"/>
        <d v="2019-09-09T00:00:00"/>
        <d v="2018-07-15T00:00:00"/>
        <d v="2022-04-23T00:00:00"/>
        <d v="2025-06-02T00:00:00"/>
        <d v="2023-03-24T00:00:00"/>
        <d v="2019-11-24T00:00:00"/>
        <d v="2031-09-16T00:00:00"/>
        <d v="2020-01-18T00:00:00"/>
        <d v="2019-07-27T00:00:00"/>
        <d v="2023-09-19T00:00:00"/>
        <d v="2020-11-17T00:00:00"/>
        <d v="2030-09-11T00:00:00"/>
        <d v="2033-07-17T00:00:00"/>
        <d v="2031-11-09T00:00:00"/>
        <d v="2027-08-13T00:00:00"/>
        <d v="2023-12-19T00:00:00"/>
        <d v="2019-01-27T00:00:00"/>
        <d v="2019-05-18T00:00:00"/>
        <d v="2031-08-09T00:00:00"/>
        <d v="2032-11-08T00:00:00"/>
        <d v="2021-05-22T00:00:00"/>
        <d v="2022-09-30T00:00:00"/>
        <d v="2027-05-15T00:00:00"/>
        <d v="2029-07-13T00:00:00"/>
        <d v="2044-07-29T00:00:00"/>
        <d v="2030-12-30T00:00:00"/>
        <d v="2032-02-09T00:00:00"/>
        <d v="2031-07-20T00:00:00"/>
        <d v="2027-06-03T00:00:00"/>
        <d v="2019-03-05T00:00:00"/>
        <d v="2023-07-22T00:00:00"/>
        <d v="2024-12-31T00:00:00"/>
        <d v="2044-08-28T00:00:00"/>
        <d v="2022-12-01T00:00:00"/>
        <d v="2022-12-10T00:00:00"/>
        <d v="2031-02-07T00:00:00"/>
        <d v="2026-07-09T00:00:00"/>
        <d v="2032-09-23T00:00:00"/>
        <d v="2026-02-17T00:00:00"/>
        <d v="2020-06-23T00:00:00"/>
        <d v="2029-03-15T00:00:00"/>
        <d v="2030-03-27T00:00:00"/>
        <d v="2028-04-21T00:00:00"/>
        <d v="2020-07-03T00:00:00"/>
        <d v="2019-02-27T00:00:00"/>
        <d v="2028-09-19T00:00:00"/>
        <d v="2028-12-11T00:00:00"/>
        <d v="2026-03-03T00:00:00"/>
        <d v="2020-06-01T00:00:00"/>
        <d v="2020-04-02T00:00:00"/>
        <d v="2025-01-12T00:00:00"/>
        <d v="2032-01-07T00:00:00"/>
        <d v="2018-03-11T00:00:00"/>
        <d v="2021-05-03T00:00:00"/>
        <d v="2023-06-07T00:00:00"/>
        <d v="2027-01-29T00:00:00"/>
        <d v="2029-06-03T00:00:00"/>
        <d v="2032-06-04T00:00:00"/>
        <d v="2030-03-02T00:00:00"/>
        <d v="2037-09-12T00:00:00"/>
        <d v="2034-11-22T00:00:00"/>
        <d v="2035-08-12T00:00:00"/>
        <d v="2026-05-14T00:00:00"/>
        <d v="2022-10-10T00:00:00"/>
        <d v="2028-08-17T00:00:00"/>
        <d v="2019-09-19T00:00:00"/>
        <d v="2026-08-23T00:00:00"/>
        <d v="2032-01-12T00:00:00"/>
        <d v="2028-03-05T00:00:00"/>
        <d v="2035-07-27T00:00:00"/>
        <d v="2031-05-15T00:00:00"/>
        <d v="2031-07-24T00:00:00"/>
        <d v="2031-07-03T00:00:00"/>
        <d v="2035-03-06T00:00:00"/>
        <d v="2031-10-19T00:00:00"/>
        <d v="2035-01-20T00:00:00"/>
        <d v="2032-04-03T00:00:00"/>
        <d v="2020-03-03T00:00:00"/>
        <d v="2022-05-09T00:00:00"/>
        <d v="2028-03-07T00:00:00"/>
        <d v="2023-12-05T00:00:00"/>
        <d v="2027-06-29T00:00:00"/>
        <d v="2021-08-01T00:00:00"/>
        <d v="2019-07-04T00:00:00"/>
        <d v="2019-12-14T00:00:00"/>
        <d v="2024-09-11T00:00:00"/>
        <d v="2023-06-04T00:00:00"/>
        <d v="2023-05-26T00:00:00"/>
        <d v="2026-04-14T00:00:00"/>
        <d v="2027-09-26T00:00:00"/>
        <d v="2027-04-24T00:00:00"/>
        <d v="2025-08-12T00:00:00"/>
        <d v="2028-03-01T00:00:00"/>
        <d v="2028-09-26T00:00:00"/>
        <d v="2029-11-22T00:00:00"/>
        <d v="2029-03-01T00:00:00"/>
        <d v="2027-09-29T00:00:00"/>
        <d v="2032-07-28T00:00:00"/>
        <d v="2029-12-20T00:00:00"/>
        <d v="2029-08-28T00:00:00"/>
        <d v="2034-04-19T00:00:00"/>
        <d v="2032-09-08T00:00:00"/>
        <d v="2032-12-10T00:00:00"/>
        <d v="2029-02-20T00:00:00"/>
        <d v="2031-11-30T00:00:00"/>
      </sharedItems>
      <fieldGroup par="21" base="15">
        <rangePr groupBy="months" startDate="2018-03-11T00:00:00" endDate="2044-08-29T00:00:00"/>
        <groupItems count="14">
          <s v="&lt;3/1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44"/>
        </groupItems>
      </fieldGroup>
    </cacheField>
    <cacheField name="AGM" numFmtId="0">
      <sharedItems/>
    </cacheField>
    <cacheField name="PENDIDIKAN DIAKUI" numFmtId="0">
      <sharedItems/>
    </cacheField>
    <cacheField name="PENDIDIKAN DIMILIKI" numFmtId="0">
      <sharedItems/>
    </cacheField>
    <cacheField name="GOL DARAH" numFmtId="0">
      <sharedItems containsMixedTypes="1" containsNumber="1" containsInteger="1" minValue="0" maxValue="0"/>
    </cacheField>
    <cacheField name="Quarters" numFmtId="0" databaseField="0">
      <fieldGroup base="15">
        <rangePr groupBy="quarters" startDate="2018-03-11T00:00:00" endDate="2044-08-29T00:00:00"/>
        <groupItems count="6">
          <s v="&lt;3/11/2018"/>
          <s v="Qtr1"/>
          <s v="Qtr2"/>
          <s v="Qtr3"/>
          <s v="Qtr4"/>
          <s v="&gt;8/29/2044"/>
        </groupItems>
      </fieldGroup>
    </cacheField>
    <cacheField name="Years" numFmtId="0" databaseField="0">
      <fieldGroup base="15">
        <rangePr groupBy="years" startDate="2018-03-11T00:00:00" endDate="2044-08-29T00:00:00"/>
        <groupItems count="29">
          <s v="&lt;3/11/2018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&gt;8/29/204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n v="1"/>
    <n v="10313"/>
    <s v="JOHANNES MANCELLY"/>
    <x v="0"/>
    <s v="General Manager"/>
    <s v="T"/>
    <s v="K"/>
    <n v="2"/>
    <n v="2"/>
    <s v="L"/>
    <d v="1972-12-17T00:00:00"/>
    <s v="45.3"/>
    <x v="0"/>
    <d v="2003-10-06T00:00:00"/>
    <s v="14.6"/>
    <x v="0"/>
    <s v="K"/>
    <s v="S1"/>
    <s v="S2"/>
    <s v="A"/>
  </r>
  <r>
    <n v="2"/>
    <n v="4067"/>
    <s v="ZAIMIL"/>
    <x v="1"/>
    <s v="Deputy GM Human Resources &amp; General Affair"/>
    <s v="T"/>
    <s v="K"/>
    <n v="2"/>
    <n v="1"/>
    <s v="L"/>
    <d v="1964-07-14T00:00:00"/>
    <s v="53.8"/>
    <x v="1"/>
    <d v="1986-12-15T00:00:00"/>
    <s v="31.3"/>
    <x v="1"/>
    <s v="I"/>
    <s v="S1"/>
    <s v="S1"/>
    <s v="B"/>
  </r>
  <r>
    <n v="3"/>
    <n v="9550"/>
    <s v="AGUS BUDIYANA"/>
    <x v="2"/>
    <s v="HR &amp; Administration Manager"/>
    <s v="T"/>
    <s v="K"/>
    <n v="1"/>
    <n v="1"/>
    <s v="L"/>
    <d v="1975-08-22T00:00:00"/>
    <s v="42.7"/>
    <x v="2"/>
    <d v="1998-01-13T00:00:00"/>
    <s v="20.2"/>
    <x v="2"/>
    <s v="I"/>
    <s v="S1"/>
    <s v="S1"/>
    <s v="O"/>
  </r>
  <r>
    <n v="4"/>
    <n v="8260"/>
    <s v="JUMADI"/>
    <x v="3"/>
    <s v="Senior Officer HR Data and Administration"/>
    <s v="T"/>
    <s v="K"/>
    <n v="2"/>
    <n v="2"/>
    <s v="L"/>
    <d v="1971-04-17T00:00:00"/>
    <s v="46.11"/>
    <x v="3"/>
    <d v="1995-12-01T00:00:00"/>
    <s v="22.4"/>
    <x v="3"/>
    <s v="I"/>
    <s v="SMA"/>
    <s v="SLTA"/>
    <s v="O"/>
  </r>
  <r>
    <n v="5"/>
    <n v="4998"/>
    <s v="AGNES YUDHI ASTUTI"/>
    <x v="3"/>
    <s v="Senior Officer  Human Resources Utilization"/>
    <s v="T"/>
    <s v="K"/>
    <n v="1"/>
    <n v="1"/>
    <s v="P"/>
    <d v="1966-04-24T00:00:00"/>
    <s v="51.11"/>
    <x v="4"/>
    <d v="1988-05-06T00:00:00"/>
    <s v="29.11"/>
    <x v="4"/>
    <s v="I"/>
    <s v="SMEA"/>
    <s v="S1"/>
    <s v="O"/>
  </r>
  <r>
    <n v="6"/>
    <n v="8346"/>
    <s v="RONNI ERMAWAN"/>
    <x v="3"/>
    <s v="Senior Officer Domesticity and Work Utillities"/>
    <s v="T"/>
    <s v="K"/>
    <n v="2"/>
    <n v="2"/>
    <s v="L"/>
    <d v="1976-08-06T00:00:00"/>
    <s v="41.8"/>
    <x v="5"/>
    <d v="1995-12-19T00:00:00"/>
    <s v="22.3"/>
    <x v="5"/>
    <s v="I"/>
    <s v="SMEA"/>
    <s v="S1"/>
    <s v="B"/>
  </r>
  <r>
    <n v="7"/>
    <n v="7063"/>
    <s v="MUJI SETIYANTO"/>
    <x v="3"/>
    <s v="Senior Officer Compensation &amp; Welfare"/>
    <s v="T"/>
    <s v="K"/>
    <n v="3"/>
    <n v="3"/>
    <s v="L"/>
    <d v="1966-01-10T00:00:00"/>
    <s v="52.2"/>
    <x v="4"/>
    <d v="1992-07-13T00:00:00"/>
    <s v="25.8"/>
    <x v="6"/>
    <s v="I"/>
    <s v="SMA"/>
    <s v="S1"/>
    <s v="O"/>
  </r>
  <r>
    <n v="8"/>
    <n v="4630"/>
    <s v="SUHARTONO"/>
    <x v="3"/>
    <s v="Senior Officer Health and Safety"/>
    <s v="T"/>
    <s v="K"/>
    <n v="2"/>
    <n v="1"/>
    <s v="L"/>
    <d v="1964-02-12T00:00:00"/>
    <s v="54.1"/>
    <x v="1"/>
    <d v="1987-09-05T00:00:00"/>
    <s v="30.7"/>
    <x v="7"/>
    <s v="I"/>
    <s v="SPK"/>
    <s v="S1"/>
    <s v="O"/>
  </r>
  <r>
    <n v="9"/>
    <n v="7843"/>
    <s v="RIYONO"/>
    <x v="3"/>
    <s v="Senior Officer  Public Relations"/>
    <s v="T"/>
    <s v="K"/>
    <n v="2"/>
    <n v="2"/>
    <s v="L"/>
    <d v="1974-10-16T00:00:00"/>
    <s v="43.5"/>
    <x v="6"/>
    <d v="1995-01-02T00:00:00"/>
    <s v="23.3"/>
    <x v="8"/>
    <s v="I"/>
    <s v="STM"/>
    <s v="S1"/>
    <s v="O"/>
  </r>
  <r>
    <n v="10"/>
    <n v="4640"/>
    <s v="CHRISTINA RETNO YULIATI"/>
    <x v="3"/>
    <s v="General Manager Secretary"/>
    <s v="T"/>
    <s v="J"/>
    <n v="2"/>
    <n v="2"/>
    <s v="L"/>
    <d v="1968-07-19T00:00:00"/>
    <s v="49.8"/>
    <x v="7"/>
    <d v="1987-09-05T00:00:00"/>
    <s v="30.7"/>
    <x v="9"/>
    <s v="I"/>
    <s v="SMA"/>
    <s v="S1"/>
    <s v="O"/>
  </r>
  <r>
    <n v="11"/>
    <n v="9520"/>
    <s v="INDRIYANI HARTANTI"/>
    <x v="4"/>
    <s v="Data Processing Officer"/>
    <s v="T"/>
    <s v="K"/>
    <n v="2"/>
    <n v="2"/>
    <s v="P"/>
    <d v="1979-05-07T00:00:00"/>
    <s v="38.11"/>
    <x v="8"/>
    <d v="1998-01-12T00:00:00"/>
    <s v="20.2"/>
    <x v="10"/>
    <s v="I"/>
    <s v="SMA"/>
    <s v="S1"/>
    <s v="O"/>
  </r>
  <r>
    <n v="12"/>
    <n v="6894"/>
    <s v="SUGIYANTO"/>
    <x v="5"/>
    <s v="General Manager Driver"/>
    <s v="T"/>
    <s v="K"/>
    <n v="2"/>
    <n v="1"/>
    <s v="L"/>
    <d v="1965-06-01T00:00:00"/>
    <s v="52.10"/>
    <x v="9"/>
    <d v="1991-11-01T00:00:00"/>
    <s v="26.5"/>
    <x v="11"/>
    <s v="I"/>
    <s v="SMP"/>
    <s v="SLTP"/>
    <s v="O"/>
  </r>
  <r>
    <n v="13"/>
    <n v="2217"/>
    <s v="SUNARSO"/>
    <x v="2"/>
    <s v="Logistic Manager"/>
    <s v="T"/>
    <s v="K"/>
    <n v="4"/>
    <n v="1"/>
    <s v="L"/>
    <d v="1962-07-05T00:00:00"/>
    <s v="55.9"/>
    <x v="10"/>
    <d v="1983-07-04T00:00:00"/>
    <s v="34.9"/>
    <x v="12"/>
    <s v="I"/>
    <s v="S1"/>
    <s v="S1"/>
    <s v="O"/>
  </r>
  <r>
    <n v="14"/>
    <n v="2215"/>
    <s v="BUDI WARDHANA"/>
    <x v="3"/>
    <s v="Senior Officer Goods Utilization &amp; Inventory"/>
    <s v="T"/>
    <s v="K"/>
    <n v="2"/>
    <n v="2"/>
    <s v="L"/>
    <d v="1963-09-09T00:00:00"/>
    <s v="54.7"/>
    <x v="11"/>
    <d v="1983-07-04T00:00:00"/>
    <s v="34.9"/>
    <x v="13"/>
    <s v="I"/>
    <s v="SMA"/>
    <s v="SLTA"/>
    <s v="O"/>
  </r>
  <r>
    <n v="15"/>
    <n v="2218"/>
    <s v="TUTI IRIANI"/>
    <x v="3"/>
    <s v="Senior Officer Goods Procurement"/>
    <s v="T"/>
    <s v="J"/>
    <n v="2"/>
    <n v="2"/>
    <s v="P"/>
    <d v="1962-07-15T00:00:00"/>
    <s v="55.8"/>
    <x v="10"/>
    <d v="1983-07-04T00:00:00"/>
    <s v="34.9"/>
    <x v="14"/>
    <s v="I"/>
    <s v="SMA"/>
    <s v="SLTA"/>
    <s v="B"/>
  </r>
  <r>
    <n v="16"/>
    <n v="3870"/>
    <s v="SUSILO ANGGRAINI"/>
    <x v="3"/>
    <s v="Senior Officer Goods Procurement"/>
    <s v="T"/>
    <s v="J"/>
    <n v="1"/>
    <n v="1"/>
    <s v="P"/>
    <d v="1966-04-23T00:00:00"/>
    <s v="51.11"/>
    <x v="4"/>
    <d v="1986-11-01T00:00:00"/>
    <s v="31.5"/>
    <x v="15"/>
    <s v="I"/>
    <s v="SMA"/>
    <s v="SLTA"/>
    <s v="A"/>
  </r>
  <r>
    <n v="17"/>
    <n v="6480"/>
    <s v="YUNI BUDI KUSWORO"/>
    <x v="3"/>
    <s v="Senior Officer Goods Procurement"/>
    <s v="T"/>
    <s v="K"/>
    <n v="2"/>
    <n v="2"/>
    <s v="L"/>
    <d v="1969-06-02T00:00:00"/>
    <s v="48.10"/>
    <x v="12"/>
    <d v="1990-12-19T00:00:00"/>
    <s v="27.3"/>
    <x v="16"/>
    <s v="I"/>
    <s v="SMA"/>
    <s v="SLTA"/>
    <s v="-"/>
  </r>
  <r>
    <n v="18"/>
    <n v="4678"/>
    <s v="MARTINI"/>
    <x v="3"/>
    <s v="Senior Officer Goods Utilization &amp; Inventory"/>
    <s v="T"/>
    <s v="K"/>
    <n v="2"/>
    <n v="2"/>
    <s v="P"/>
    <d v="1967-03-24T00:00:00"/>
    <s v="51.0"/>
    <x v="13"/>
    <d v="1987-09-05T00:00:00"/>
    <s v="30.7"/>
    <x v="17"/>
    <s v="I"/>
    <s v="SMEA"/>
    <s v="SLTA"/>
    <s v="O"/>
  </r>
  <r>
    <n v="19"/>
    <n v="6813"/>
    <s v="SRI MULYONO"/>
    <x v="3"/>
    <s v="Senior Officer Services Procurement"/>
    <s v="T"/>
    <s v="K"/>
    <n v="2"/>
    <n v="1"/>
    <s v="L"/>
    <d v="1963-11-24T00:00:00"/>
    <s v="54.4"/>
    <x v="1"/>
    <d v="1991-10-16T00:00:00"/>
    <s v="26.5"/>
    <x v="18"/>
    <s v="I"/>
    <s v="SMA"/>
    <s v="S1"/>
    <s v="A"/>
  </r>
  <r>
    <n v="20"/>
    <n v="9287"/>
    <s v="HIDAYAT"/>
    <x v="4"/>
    <s v="Data Processing Officer"/>
    <s v="T"/>
    <s v="K"/>
    <n v="3"/>
    <n v="3"/>
    <s v="L"/>
    <d v="1975-09-16T00:00:00"/>
    <s v="42.6"/>
    <x v="2"/>
    <d v="1997-09-18T00:00:00"/>
    <s v="20.6"/>
    <x v="19"/>
    <s v="I"/>
    <s v="MAN"/>
    <s v="SLTA"/>
    <s v="O"/>
  </r>
  <r>
    <n v="21"/>
    <n v="4666"/>
    <s v="AJI SUPRIOHADI"/>
    <x v="2"/>
    <s v="Community Development Program Manager"/>
    <s v="T"/>
    <s v="K"/>
    <n v="3"/>
    <n v="1"/>
    <s v="L"/>
    <d v="1964-01-18T00:00:00"/>
    <s v="54.2"/>
    <x v="1"/>
    <d v="1987-09-05T00:00:00"/>
    <s v="30.7"/>
    <x v="20"/>
    <s v="I"/>
    <s v="S1"/>
    <s v="S1"/>
    <s v="B"/>
  </r>
  <r>
    <n v="22"/>
    <n v="4627"/>
    <s v="SLAMET SANTOSO"/>
    <x v="3"/>
    <s v="Senior Officer Community Development"/>
    <s v="T"/>
    <s v="K"/>
    <n v="3"/>
    <n v="3"/>
    <s v="L"/>
    <d v="1963-07-27T00:00:00"/>
    <s v="54.8"/>
    <x v="11"/>
    <d v="1987-09-05T00:00:00"/>
    <s v="30.7"/>
    <x v="21"/>
    <s v="I"/>
    <s v="SMA"/>
    <s v="S1"/>
    <s v="O"/>
  </r>
  <r>
    <n v="23"/>
    <n v="4641"/>
    <s v="RINI MARDIANI"/>
    <x v="3"/>
    <s v="Senior Officer Administration &amp; Financial Report"/>
    <s v="T"/>
    <s v="K"/>
    <n v="3"/>
    <n v="3"/>
    <s v="P"/>
    <d v="1967-09-19T00:00:00"/>
    <s v="50.6"/>
    <x v="13"/>
    <d v="1987-09-05T00:00:00"/>
    <s v="30.7"/>
    <x v="22"/>
    <s v="I"/>
    <s v="SMA"/>
    <s v="S1"/>
    <s v="A"/>
  </r>
  <r>
    <n v="24"/>
    <n v="4776"/>
    <s v="EDI HASTAYOGA"/>
    <x v="3"/>
    <s v="Senior Officer Business Development"/>
    <s v="T"/>
    <s v="K"/>
    <n v="3"/>
    <n v="1"/>
    <s v="L"/>
    <d v="1964-11-17T00:00:00"/>
    <s v="53.4"/>
    <x v="9"/>
    <d v="1987-12-01T00:00:00"/>
    <s v="30.4"/>
    <x v="23"/>
    <s v="I"/>
    <s v="SPK"/>
    <s v="S1"/>
    <s v="A"/>
  </r>
  <r>
    <n v="25"/>
    <n v="9540"/>
    <s v="WAHYU EKO PURNOMO"/>
    <x v="4"/>
    <s v="Data Processing Officer"/>
    <s v="T"/>
    <s v="K"/>
    <n v="2"/>
    <n v="2"/>
    <s v="L"/>
    <d v="1974-09-11T00:00:00"/>
    <s v="43.6"/>
    <x v="6"/>
    <d v="1998-01-12T00:00:00"/>
    <s v="20.2"/>
    <x v="24"/>
    <s v="I"/>
    <s v="SMA"/>
    <s v="SLTA"/>
    <s v="A "/>
  </r>
  <r>
    <n v="26"/>
    <n v="9902"/>
    <s v="SAAT DUDIN TAFTAYANI"/>
    <x v="4"/>
    <s v="Data Processing Officer"/>
    <s v="T"/>
    <s v="K"/>
    <n v="2"/>
    <n v="2"/>
    <s v="L"/>
    <d v="1977-07-17T00:00:00"/>
    <s v="40.8"/>
    <x v="14"/>
    <d v="1999-12-20T00:00:00"/>
    <s v="18.3"/>
    <x v="25"/>
    <s v="I"/>
    <s v="SMA"/>
    <s v="SLTA"/>
    <s v="-"/>
  </r>
  <r>
    <n v="27"/>
    <n v="9521"/>
    <s v="DUGI LESTARI"/>
    <x v="4"/>
    <s v="Data Processing Officer"/>
    <s v="T"/>
    <s v="K"/>
    <n v="0"/>
    <n v="0"/>
    <s v="P"/>
    <d v="1975-11-09T00:00:00"/>
    <s v="42.5"/>
    <x v="2"/>
    <d v="1998-01-12T00:00:00"/>
    <s v="20.2"/>
    <x v="26"/>
    <s v="I"/>
    <s v="SMEA"/>
    <s v="SLTA"/>
    <s v="O"/>
  </r>
  <r>
    <n v="28"/>
    <n v="6527"/>
    <s v="AGUS PRIYANTO"/>
    <x v="1"/>
    <s v="Deputy General Manager Finance"/>
    <s v="T"/>
    <s v="K"/>
    <n v="3"/>
    <n v="3"/>
    <s v="L"/>
    <d v="1971-08-13T00:00:00"/>
    <s v="46.7"/>
    <x v="3"/>
    <d v="1991-02-20T00:00:00"/>
    <s v="27.1"/>
    <x v="27"/>
    <s v="I"/>
    <s v="S1"/>
    <s v="S1"/>
    <s v="O"/>
  </r>
  <r>
    <n v="29"/>
    <n v="4190"/>
    <s v="TRI MULYANI"/>
    <x v="2"/>
    <s v="Budgeting Manager"/>
    <s v="T"/>
    <s v="J"/>
    <n v="2"/>
    <n v="2"/>
    <s v="P"/>
    <d v="1967-12-19T00:00:00"/>
    <s v="50.3"/>
    <x v="7"/>
    <d v="1987-04-13T00:00:00"/>
    <s v="30.11"/>
    <x v="28"/>
    <s v="I"/>
    <s v="S1"/>
    <s v="S1"/>
    <s v="AB"/>
  </r>
  <r>
    <n v="30"/>
    <n v="2231"/>
    <s v="CECILIA KUSMIYATI"/>
    <x v="3"/>
    <s v="Assistant Treasurer"/>
    <s v="T"/>
    <s v="J"/>
    <n v="3"/>
    <n v="3"/>
    <s v="P"/>
    <d v="1963-01-27T00:00:00"/>
    <s v="55.2"/>
    <x v="11"/>
    <d v="1983-07-04T00:00:00"/>
    <s v="34.9"/>
    <x v="29"/>
    <s v="K"/>
    <s v="SMEA"/>
    <s v="SLTA"/>
    <s v="O"/>
  </r>
  <r>
    <n v="31"/>
    <n v="3388"/>
    <s v="AMINAH"/>
    <x v="3"/>
    <s v="Senior Officer Preparation &amp; Budgetary Control"/>
    <s v="T"/>
    <s v="K"/>
    <n v="3"/>
    <n v="3"/>
    <s v="P"/>
    <d v="1963-05-18T00:00:00"/>
    <s v="54.10"/>
    <x v="11"/>
    <d v="1986-03-01T00:00:00"/>
    <s v="32.1"/>
    <x v="30"/>
    <s v="I"/>
    <s v="SMA"/>
    <s v="S1"/>
    <s v="B"/>
  </r>
  <r>
    <n v="32"/>
    <n v="7622"/>
    <s v="R.HUSNI AGUS DRAJAT R"/>
    <x v="3"/>
    <s v="Senior Officer Revenue Controlling"/>
    <s v="T"/>
    <s v="K"/>
    <n v="2"/>
    <n v="2"/>
    <s v="L"/>
    <d v="1975-08-09T00:00:00"/>
    <s v="42.8"/>
    <x v="2"/>
    <d v="1994-11-10T00:00:00"/>
    <s v="23.4"/>
    <x v="31"/>
    <s v="I"/>
    <s v="SMA"/>
    <s v="S1"/>
    <s v="O"/>
  </r>
  <r>
    <n v="33"/>
    <n v="9516"/>
    <s v="CHATARINA CAHYANING T"/>
    <x v="4"/>
    <s v="Data Processing Officer"/>
    <s v="T"/>
    <s v="TK"/>
    <n v="0"/>
    <n v="0"/>
    <s v="P"/>
    <d v="1976-11-08T00:00:00"/>
    <s v="41.5"/>
    <x v="5"/>
    <d v="1998-01-12T00:00:00"/>
    <s v="20.2"/>
    <x v="32"/>
    <s v="I"/>
    <s v="SLTA"/>
    <s v="S1"/>
    <s v="O"/>
  </r>
  <r>
    <n v="34"/>
    <n v="5039"/>
    <s v="HADI MAKMURARTO"/>
    <x v="2"/>
    <s v="Tax &amp; Accounting Manager"/>
    <s v="T"/>
    <s v="K"/>
    <n v="2"/>
    <n v="2"/>
    <s v="L"/>
    <d v="1965-05-22T00:00:00"/>
    <s v="52.10"/>
    <x v="9"/>
    <d v="1988-09-01T00:00:00"/>
    <s v="29.7"/>
    <x v="33"/>
    <s v="I"/>
    <s v="S1"/>
    <s v="S1"/>
    <s v="-"/>
  </r>
  <r>
    <n v="35"/>
    <n v="3382"/>
    <s v="MURDIYATI"/>
    <x v="3"/>
    <s v="Senior Officer Debts &amp; Taxation"/>
    <s v="T"/>
    <s v="K"/>
    <n v="1"/>
    <n v="1"/>
    <s v="P"/>
    <d v="1966-09-30T00:00:00"/>
    <s v="51.6"/>
    <x v="4"/>
    <d v="1986-01-27T00:00:00"/>
    <s v="32.2"/>
    <x v="34"/>
    <s v="I"/>
    <s v="SMEA"/>
    <s v="SLTA"/>
    <s v="A"/>
  </r>
  <r>
    <n v="36"/>
    <n v="7447"/>
    <s v="SLAMET RIADI"/>
    <x v="3"/>
    <s v="Senior Officer General Ledger &amp; reporting"/>
    <s v="T"/>
    <s v="K"/>
    <n v="2"/>
    <n v="2"/>
    <s v="L"/>
    <d v="1971-05-15T00:00:00"/>
    <s v="46.10"/>
    <x v="3"/>
    <d v="1994-07-18T00:00:00"/>
    <s v="23.8"/>
    <x v="35"/>
    <s v="I"/>
    <s v="SMA"/>
    <s v="S1"/>
    <s v="O"/>
  </r>
  <r>
    <n v="37"/>
    <n v="8674"/>
    <s v="BUDI SANTOSO"/>
    <x v="4"/>
    <s v="Data Processing Officer"/>
    <s v="T"/>
    <s v="K"/>
    <n v="2"/>
    <n v="2"/>
    <s v="L"/>
    <d v="1973-07-13T00:00:00"/>
    <s v="44.8"/>
    <x v="0"/>
    <d v="1996-06-12T00:00:00"/>
    <s v="21.9"/>
    <x v="36"/>
    <s v="I"/>
    <s v="SMEA"/>
    <s v="S1"/>
    <s v="B"/>
  </r>
  <r>
    <n v="38"/>
    <n v="10428"/>
    <s v="RIFKA ARYANSYACH PARAMITA"/>
    <x v="2"/>
    <s v="Maintenance Administration Manager"/>
    <s v="T"/>
    <s v="K"/>
    <n v="1"/>
    <n v="1"/>
    <s v="P"/>
    <d v="1988-07-29T00:00:00"/>
    <s v="29.8"/>
    <x v="15"/>
    <d v="2012-07-02T00:00:00"/>
    <s v="5.9"/>
    <x v="37"/>
    <s v="I"/>
    <s v="S1"/>
    <s v="S1"/>
    <n v="0"/>
  </r>
  <r>
    <n v="39"/>
    <n v="7692"/>
    <s v="MOHAMAD HADI SUPENO"/>
    <x v="3"/>
    <s v="Senior Officer Maintenance Data Management"/>
    <s v="T"/>
    <s v="K"/>
    <n v="2"/>
    <n v="2"/>
    <s v="L"/>
    <d v="1974-12-30T00:00:00"/>
    <s v="43.3"/>
    <x v="2"/>
    <d v="1994-11-10T00:00:00"/>
    <s v="23.4"/>
    <x v="38"/>
    <s v="I"/>
    <s v="STM"/>
    <s v="S1"/>
    <s v="O"/>
  </r>
  <r>
    <n v="40"/>
    <n v="9538"/>
    <s v="NYOMAN WINAYA"/>
    <x v="4"/>
    <s v="Data Processing Officer"/>
    <s v="T"/>
    <s v="K"/>
    <n v="2"/>
    <n v="2"/>
    <s v="L"/>
    <d v="1976-02-09T00:00:00"/>
    <s v="42.2"/>
    <x v="2"/>
    <d v="1998-01-12T00:00:00"/>
    <s v="20.2"/>
    <x v="39"/>
    <s v="H"/>
    <s v="SMA"/>
    <s v="S1"/>
    <s v="O "/>
  </r>
  <r>
    <n v="41"/>
    <n v="9024"/>
    <s v="BUDI IDRIAL"/>
    <x v="6"/>
    <s v="Assistan Maintenance Execution Manager"/>
    <s v="T"/>
    <s v="K"/>
    <n v="2"/>
    <n v="2"/>
    <s v="L"/>
    <d v="1975-07-20T00:00:00"/>
    <s v="42.8"/>
    <x v="2"/>
    <d v="1996-09-17T00:00:00"/>
    <s v="21.6"/>
    <x v="40"/>
    <s v="I"/>
    <s v="S1"/>
    <s v="S1"/>
    <s v="O"/>
  </r>
  <r>
    <n v="42"/>
    <n v="8205"/>
    <s v="SURYO SUBONO"/>
    <x v="3"/>
    <s v="Senior Officer Road, Bridge, Environment Eng"/>
    <s v="T"/>
    <s v="K"/>
    <n v="3"/>
    <n v="3"/>
    <s v="L"/>
    <d v="1971-06-03T00:00:00"/>
    <s v="46.10"/>
    <x v="3"/>
    <d v="1995-09-15T00:00:00"/>
    <s v="22.6"/>
    <x v="41"/>
    <s v="I"/>
    <s v="SMA"/>
    <s v="S1"/>
    <s v="A "/>
  </r>
  <r>
    <n v="43"/>
    <n v="4658"/>
    <s v="BAMBANG SUTIYONO"/>
    <x v="3"/>
    <s v="Senior Officer Building Engineering"/>
    <s v="T"/>
    <s v="K"/>
    <n v="2"/>
    <n v="2"/>
    <s v="L"/>
    <d v="1963-03-05T00:00:00"/>
    <s v="55.1"/>
    <x v="11"/>
    <d v="1987-09-05T00:00:00"/>
    <s v="30.7"/>
    <x v="42"/>
    <s v="I"/>
    <s v="STM"/>
    <s v="S1"/>
    <s v="B"/>
  </r>
  <r>
    <n v="44"/>
    <n v="5159"/>
    <s v="NINIK SURYAWATI"/>
    <x v="3"/>
    <s v="Senior Officer Road Complementary Fac Build Eng"/>
    <s v="T"/>
    <s v="J"/>
    <n v="2"/>
    <n v="2"/>
    <s v="P"/>
    <d v="1967-07-22T00:00:00"/>
    <s v="50.8"/>
    <x v="13"/>
    <d v="1988-09-01T00:00:00"/>
    <s v="29.7"/>
    <x v="43"/>
    <s v="I"/>
    <s v="SMEA"/>
    <s v="SLTA"/>
    <s v="B"/>
  </r>
  <r>
    <n v="45"/>
    <n v="7489"/>
    <s v="ABDOEL MOEIS BOEDIJONO"/>
    <x v="4"/>
    <s v="Data Processing Officer"/>
    <s v="T"/>
    <s v="K"/>
    <n v="2"/>
    <n v="2"/>
    <s v="L"/>
    <d v="1968-12-31T00:00:00"/>
    <s v="49.3"/>
    <x v="12"/>
    <d v="1994-10-01T00:00:00"/>
    <s v="23.6"/>
    <x v="44"/>
    <s v="I"/>
    <s v="STM"/>
    <s v="S1"/>
    <s v="O"/>
  </r>
  <r>
    <n v="46"/>
    <n v="10453"/>
    <s v="ALVIN ANDITUAHTA SINGARIMBUN"/>
    <x v="2"/>
    <s v="Toll Collection Management Manager"/>
    <s v="T"/>
    <s v="K"/>
    <n v="0"/>
    <n v="0"/>
    <s v="L"/>
    <d v="1988-08-28T00:00:00"/>
    <s v="29.7"/>
    <x v="15"/>
    <d v="2012-07-02T00:00:00"/>
    <s v="5.9"/>
    <x v="45"/>
    <s v="P"/>
    <s v="S1"/>
    <s v="S1"/>
    <s v="-"/>
  </r>
  <r>
    <n v="47"/>
    <n v="4413"/>
    <s v="ERMAWATI"/>
    <x v="3"/>
    <s v="Senior Officer Prog, Evaluation &amp; Data Reporting"/>
    <s v="T"/>
    <s v="K"/>
    <n v="2"/>
    <n v="2"/>
    <s v="P"/>
    <d v="1966-12-01T00:00:00"/>
    <s v="51.4"/>
    <x v="13"/>
    <d v="1987-04-09T00:00:00"/>
    <s v="31.0"/>
    <x v="46"/>
    <s v="I"/>
    <s v="SMA"/>
    <s v="S1"/>
    <s v="AB"/>
  </r>
  <r>
    <n v="48"/>
    <n v="4572"/>
    <s v="MARGONO"/>
    <x v="3"/>
    <s v="Senior Officer Toll Collection Facility"/>
    <s v="T"/>
    <s v="D"/>
    <n v="3"/>
    <n v="1"/>
    <s v="L"/>
    <d v="1966-12-10T00:00:00"/>
    <s v="51.3"/>
    <x v="13"/>
    <d v="1987-08-03T00:00:00"/>
    <s v="30.8"/>
    <x v="47"/>
    <s v="I"/>
    <s v="SMA"/>
    <s v="S1"/>
    <s v="B"/>
  </r>
  <r>
    <n v="49"/>
    <n v="9530"/>
    <s v="BUDI HERMAWAN"/>
    <x v="3"/>
    <s v="Senior Officer Electric Facility and Elec. Mechanical"/>
    <s v="T"/>
    <s v="K"/>
    <n v="3"/>
    <n v="3"/>
    <s v="L"/>
    <d v="1975-02-07T00:00:00"/>
    <s v="43.2"/>
    <x v="2"/>
    <d v="1998-01-12T00:00:00"/>
    <s v="20.2"/>
    <x v="48"/>
    <s v="I"/>
    <s v="SMA"/>
    <s v="S1"/>
    <s v="B"/>
  </r>
  <r>
    <n v="50"/>
    <n v="7578"/>
    <s v="JUWADI"/>
    <x v="4"/>
    <s v="Teknisi Madya Listrik Dan Mekanikal "/>
    <s v="T"/>
    <s v="K"/>
    <n v="2"/>
    <n v="2"/>
    <s v="L"/>
    <d v="1970-07-09T00:00:00"/>
    <s v="47.9"/>
    <x v="16"/>
    <d v="1994-10-03T00:00:00"/>
    <s v="23.6"/>
    <x v="49"/>
    <s v="I"/>
    <s v="STM"/>
    <s v="SLTA"/>
    <s v="B"/>
  </r>
  <r>
    <n v="51"/>
    <n v="9514"/>
    <s v="TITIK AMBARWATI"/>
    <x v="4"/>
    <s v="Adm. Officer"/>
    <s v="T"/>
    <s v="K"/>
    <n v="3"/>
    <n v="3"/>
    <s v="P"/>
    <d v="1976-09-23T00:00:00"/>
    <s v="41.6"/>
    <x v="5"/>
    <d v="1998-01-12T00:00:00"/>
    <s v="20.2"/>
    <x v="50"/>
    <s v="I"/>
    <s v="SMA"/>
    <s v="S1"/>
    <s v="-"/>
  </r>
  <r>
    <n v="52"/>
    <n v="7667"/>
    <s v="MANYUK IRWAN DANUS"/>
    <x v="2"/>
    <s v="Traffic Management Manager"/>
    <s v="T"/>
    <s v="K"/>
    <n v="2"/>
    <n v="2"/>
    <s v="L"/>
    <d v="1970-02-17T00:00:00"/>
    <s v="48.1"/>
    <x v="16"/>
    <d v="1994-11-10T00:00:00"/>
    <s v="23.4"/>
    <x v="51"/>
    <s v="I"/>
    <s v="S1"/>
    <s v="S1"/>
    <s v="O"/>
  </r>
  <r>
    <n v="53"/>
    <n v="4652"/>
    <s v="EKO JUNAEDI MARYANTO"/>
    <x v="3"/>
    <s v="Senior Officer Securing Asset"/>
    <s v="T"/>
    <s v="K"/>
    <n v="4"/>
    <n v="3"/>
    <s v="L"/>
    <d v="1964-06-23T00:00:00"/>
    <s v="53.9"/>
    <x v="1"/>
    <d v="1987-09-05T00:00:00"/>
    <s v="30.7"/>
    <x v="52"/>
    <s v="I"/>
    <s v="STM"/>
    <s v="S1"/>
    <s v="-"/>
  </r>
  <r>
    <n v="54"/>
    <n v="8256"/>
    <s v="YOSEPH TUAHNA RASKITA"/>
    <x v="3"/>
    <s v="Senior Officer Traffic Service"/>
    <s v="T"/>
    <s v="K"/>
    <n v="1"/>
    <n v="1"/>
    <s v="L"/>
    <d v="1973-03-15T00:00:00"/>
    <s v="45.0"/>
    <x v="0"/>
    <d v="1995-11-20T00:00:00"/>
    <s v="22.4"/>
    <x v="53"/>
    <s v="P"/>
    <s v="SMA"/>
    <s v="D3"/>
    <s v="B"/>
  </r>
  <r>
    <n v="55"/>
    <n v="7688"/>
    <s v="YOSEP RUSWITO"/>
    <x v="3"/>
    <s v="Senior Officer Traffic Reporting &amp; Controlling"/>
    <s v="T"/>
    <s v="K"/>
    <n v="2"/>
    <n v="2"/>
    <s v="L"/>
    <d v="1974-03-27T00:00:00"/>
    <s v="44.0"/>
    <x v="6"/>
    <d v="1994-11-10T00:00:00"/>
    <s v="23.4"/>
    <x v="54"/>
    <s v="K"/>
    <s v="STM"/>
    <s v="S1"/>
    <s v="B"/>
  </r>
  <r>
    <n v="56"/>
    <n v="8973"/>
    <s v="HERI KARTONO"/>
    <x v="4"/>
    <s v="Data Processing Officer"/>
    <s v="T"/>
    <s v="K"/>
    <n v="1"/>
    <n v="1"/>
    <s v="L"/>
    <d v="1972-04-21T00:00:00"/>
    <s v="45.11"/>
    <x v="17"/>
    <d v="1996-09-17T00:00:00"/>
    <s v="21.6"/>
    <x v="55"/>
    <s v="I"/>
    <s v="SMA"/>
    <s v="S1"/>
    <s v="-"/>
  </r>
  <r>
    <n v="57"/>
    <n v="4625"/>
    <s v="SUPRIYO"/>
    <x v="7"/>
    <s v="Kepala Shift Layanan Jalan Tol"/>
    <s v="T"/>
    <s v="K"/>
    <n v="2"/>
    <n v="2"/>
    <s v="L"/>
    <d v="1964-07-03T00:00:00"/>
    <s v="53.9"/>
    <x v="1"/>
    <d v="1987-09-05T00:00:00"/>
    <s v="30.7"/>
    <x v="56"/>
    <s v="I"/>
    <s v="SMA"/>
    <s v="SLTA"/>
    <s v="O"/>
  </r>
  <r>
    <n v="58"/>
    <n v="4673"/>
    <s v="MURTIONO"/>
    <x v="7"/>
    <s v="Kepala Shift Layanan Jalan Tol"/>
    <s v="T"/>
    <s v="K"/>
    <n v="3"/>
    <n v="2"/>
    <s v="L"/>
    <d v="1963-02-27T00:00:00"/>
    <s v="55.1"/>
    <x v="11"/>
    <d v="1987-09-05T00:00:00"/>
    <s v="30.7"/>
    <x v="57"/>
    <s v="I"/>
    <s v="SMA"/>
    <s v="SLTA"/>
    <s v="B"/>
  </r>
  <r>
    <n v="59"/>
    <n v="8261"/>
    <s v="DIDIK WAHYUDI"/>
    <x v="7"/>
    <s v="Kepala Shift Layanan Jalan Tol"/>
    <s v="T"/>
    <s v="K"/>
    <n v="2"/>
    <n v="2"/>
    <s v="L"/>
    <d v="1972-09-19T00:00:00"/>
    <s v="45.6"/>
    <x v="17"/>
    <d v="1995-08-11T00:00:00"/>
    <s v="22.7"/>
    <x v="58"/>
    <s v="I"/>
    <s v="STM"/>
    <s v="S1"/>
    <s v="O"/>
  </r>
  <r>
    <n v="60"/>
    <n v="7606"/>
    <s v="TITO CHRISDIAN ANDRIANTO"/>
    <x v="7"/>
    <s v="Kepala Shift Layanan Jalan Tol"/>
    <s v="T"/>
    <s v="K"/>
    <n v="2"/>
    <n v="2"/>
    <s v="L"/>
    <d v="1972-12-11T00:00:00"/>
    <s v="45.3"/>
    <x v="0"/>
    <d v="1994-11-10T00:00:00"/>
    <s v="23.4"/>
    <x v="59"/>
    <s v="P"/>
    <s v="SMA"/>
    <s v="S1"/>
    <s v="O"/>
  </r>
  <r>
    <n v="61"/>
    <n v="7614"/>
    <s v="MOCH.LUTFI"/>
    <x v="7"/>
    <s v="Kepala Shift Layanan Jalan Tol"/>
    <s v="T"/>
    <s v="K"/>
    <n v="1"/>
    <n v="1"/>
    <s v="L"/>
    <d v="1970-03-03T00:00:00"/>
    <s v="48.1"/>
    <x v="16"/>
    <d v="1994-11-10T00:00:00"/>
    <s v="23.4"/>
    <x v="60"/>
    <s v="I"/>
    <s v="SMA"/>
    <s v="SLTA"/>
    <s v="O"/>
  </r>
  <r>
    <n v="62"/>
    <n v="4624"/>
    <s v="TRISNO PURWANTO"/>
    <x v="8"/>
    <s v="Petugas Informasi dan Komunikasi "/>
    <s v="T"/>
    <s v="K"/>
    <n v="3"/>
    <n v="2"/>
    <s v="L"/>
    <d v="1964-06-01T00:00:00"/>
    <s v="53.10"/>
    <x v="9"/>
    <d v="1987-09-05T00:00:00"/>
    <s v="30.7"/>
    <x v="61"/>
    <s v="I"/>
    <s v="SMA"/>
    <s v="S1"/>
    <s v="B"/>
  </r>
  <r>
    <n v="63"/>
    <n v="4661"/>
    <s v="PUTUT WAHYUDI"/>
    <x v="8"/>
    <s v="Petugas Informasi dan Komunikasi "/>
    <s v="T"/>
    <s v="K"/>
    <n v="2"/>
    <n v="2"/>
    <s v="L"/>
    <d v="1964-04-02T00:00:00"/>
    <s v="54.0"/>
    <x v="1"/>
    <d v="1987-09-05T00:00:00"/>
    <s v="30.7"/>
    <x v="62"/>
    <s v="I"/>
    <s v="STM"/>
    <s v="SLTA"/>
    <s v="A"/>
  </r>
  <r>
    <n v="64"/>
    <n v="7438"/>
    <s v="SLAMET WIBOWO"/>
    <x v="8"/>
    <s v="Petugas Informasi dan Komunikasi "/>
    <s v="T"/>
    <s v="K"/>
    <n v="3"/>
    <n v="3"/>
    <s v="L"/>
    <d v="1969-01-12T00:00:00"/>
    <s v="49.2"/>
    <x v="12"/>
    <d v="1994-06-15T00:00:00"/>
    <s v="23.9"/>
    <x v="63"/>
    <s v="I"/>
    <s v="SMA"/>
    <s v="SLTA"/>
    <s v="-"/>
  </r>
  <r>
    <n v="65"/>
    <n v="8415"/>
    <s v="AGUS BUDI SETIYO PRIYONO"/>
    <x v="8"/>
    <s v="Petugas Informasi dan Komunikasi "/>
    <s v="T"/>
    <s v="K"/>
    <n v="1"/>
    <n v="1"/>
    <s v="L"/>
    <d v="1976-01-07T00:00:00"/>
    <s v="42.3"/>
    <x v="5"/>
    <d v="1996-02-01T00:00:00"/>
    <s v="22.2"/>
    <x v="64"/>
    <s v="I"/>
    <s v="SMA"/>
    <s v="SLTA"/>
    <s v="B"/>
  </r>
  <r>
    <n v="66"/>
    <n v="2227"/>
    <s v="DARYANTO (MPP)"/>
    <x v="8"/>
    <s v="Petugas Informasi dan Komunikasi "/>
    <s v="T"/>
    <s v="K"/>
    <n v="3"/>
    <n v="1"/>
    <s v="L"/>
    <d v="1962-03-11T00:00:00"/>
    <s v="56.0"/>
    <x v="10"/>
    <d v="1983-07-04T00:00:00"/>
    <s v="34.9"/>
    <x v="65"/>
    <s v="I"/>
    <s v="SMA"/>
    <s v="S1"/>
    <s v="O"/>
  </r>
  <r>
    <n v="67"/>
    <n v="4676"/>
    <s v="SUDIRO"/>
    <x v="9"/>
    <s v="Petugas Utama Layanan Jalan Tol "/>
    <s v="T"/>
    <s v="K"/>
    <n v="2"/>
    <n v="1"/>
    <s v="L"/>
    <d v="1965-05-03T00:00:00"/>
    <s v="52.11"/>
    <x v="9"/>
    <d v="1987-09-05T00:00:00"/>
    <s v="30.7"/>
    <x v="66"/>
    <s v="I"/>
    <s v="SMA"/>
    <s v="S1"/>
    <s v="AB"/>
  </r>
  <r>
    <n v="68"/>
    <n v="4884"/>
    <s v="BUDIYONO"/>
    <x v="9"/>
    <s v="Petugas Utama Layanan Jalan Tol "/>
    <s v="T"/>
    <s v="K"/>
    <n v="4"/>
    <n v="2"/>
    <s v="L"/>
    <d v="1967-06-07T00:00:00"/>
    <s v="50.10"/>
    <x v="13"/>
    <d v="1988-04-02T00:00:00"/>
    <s v="30.0"/>
    <x v="67"/>
    <s v="I"/>
    <s v="SMA"/>
    <s v="SLTA"/>
    <s v="AB"/>
  </r>
  <r>
    <n v="69"/>
    <n v="5372"/>
    <s v="PARIJAN"/>
    <x v="9"/>
    <s v="Petugas Utama Layanan Jalan Tol "/>
    <s v="T"/>
    <s v="K"/>
    <n v="2"/>
    <n v="1"/>
    <s v="L"/>
    <d v="1965-06-01T00:00:00"/>
    <s v="52.10"/>
    <x v="9"/>
    <d v="1989-01-16T00:00:00"/>
    <s v="29.2"/>
    <x v="11"/>
    <s v="I"/>
    <s v="STM"/>
    <s v="SLTA"/>
    <s v="O"/>
  </r>
  <r>
    <n v="70"/>
    <n v="7404"/>
    <s v="DJOKO"/>
    <x v="9"/>
    <s v="Petugas Utama Layanan Jalan Tol "/>
    <s v="T"/>
    <s v="K"/>
    <n v="1"/>
    <n v="1"/>
    <s v="L"/>
    <d v="1971-01-29T00:00:00"/>
    <s v="47.2"/>
    <x v="3"/>
    <d v="1994-02-14T00:00:00"/>
    <s v="24.1"/>
    <x v="68"/>
    <s v="I"/>
    <s v="SMA"/>
    <s v="SLTA"/>
    <s v="O"/>
  </r>
  <r>
    <n v="71"/>
    <n v="8259"/>
    <s v="SUHARTO"/>
    <x v="9"/>
    <s v="Petugas Utama Layanan Jalan Tol "/>
    <s v="T"/>
    <s v="K"/>
    <n v="3"/>
    <n v="3"/>
    <s v="L"/>
    <d v="1972-06-03T00:00:00"/>
    <s v="45.10"/>
    <x v="17"/>
    <d v="1990-12-01T00:00:00"/>
    <s v="27.4"/>
    <x v="69"/>
    <s v="I"/>
    <s v="SMA"/>
    <s v="SLTA"/>
    <s v="-"/>
  </r>
  <r>
    <n v="72"/>
    <n v="8617"/>
    <s v="HARIYANTO"/>
    <x v="10"/>
    <s v="Petugas Madya Layanan Jalan Tol "/>
    <s v="T"/>
    <s v="K"/>
    <n v="2"/>
    <n v="2"/>
    <s v="L"/>
    <d v="1976-11-16T00:00:00"/>
    <s v="41.4"/>
    <x v="14"/>
    <d v="1996-08-12T00:00:00"/>
    <s v="21.7"/>
    <x v="70"/>
    <s v="I"/>
    <s v="SMEA"/>
    <s v="SLTA"/>
    <s v="A"/>
  </r>
  <r>
    <n v="73"/>
    <n v="9539"/>
    <s v="HADI PRASTOWO"/>
    <x v="10"/>
    <s v="Petugas Madya Layanan Jalan Tol "/>
    <s v="T"/>
    <s v="K"/>
    <n v="2"/>
    <n v="2"/>
    <s v="L"/>
    <d v="1974-03-02T00:00:00"/>
    <s v="44.1"/>
    <x v="6"/>
    <d v="1998-01-12T00:00:00"/>
    <s v="20.2"/>
    <x v="71"/>
    <s v="I"/>
    <s v="SMA"/>
    <s v="SLTA"/>
    <s v="-"/>
  </r>
  <r>
    <n v="74"/>
    <n v="9997"/>
    <s v="SUGENG ARIYANTO"/>
    <x v="10"/>
    <s v="Petugas Madya Layanan Jalan Tol "/>
    <s v="T"/>
    <s v="K"/>
    <n v="2"/>
    <n v="2"/>
    <s v="L"/>
    <d v="1981-09-12T00:00:00"/>
    <s v="36.6"/>
    <x v="18"/>
    <d v="2000-07-13T00:00:00"/>
    <s v="17.8"/>
    <x v="72"/>
    <s v="I"/>
    <s v="SMA"/>
    <s v="SLTA"/>
    <s v="-"/>
  </r>
  <r>
    <n v="75"/>
    <n v="10160"/>
    <s v="MARYADI"/>
    <x v="10"/>
    <s v="Petugas Madya Layanan Jalan Tol "/>
    <s v="T"/>
    <s v="K"/>
    <n v="2"/>
    <n v="2"/>
    <s v="L"/>
    <d v="1978-11-22T00:00:00"/>
    <s v="39.4"/>
    <x v="8"/>
    <d v="2001-04-16T00:00:00"/>
    <s v="16.11"/>
    <x v="73"/>
    <s v="I"/>
    <s v="SMA"/>
    <s v="SLTA"/>
    <s v="AB"/>
  </r>
  <r>
    <n v="76"/>
    <n v="10308"/>
    <s v="AGUS PRIYADI"/>
    <x v="10"/>
    <s v="Petugas Madya Layanan Jalan Tol "/>
    <s v="T"/>
    <s v="K"/>
    <n v="1"/>
    <n v="1"/>
    <s v="L"/>
    <d v="1979-08-12T00:00:00"/>
    <s v="38.7"/>
    <x v="19"/>
    <d v="2002-09-11T00:00:00"/>
    <s v="15.6"/>
    <x v="74"/>
    <s v="I"/>
    <s v="SMA"/>
    <s v="SLTA"/>
    <s v="-"/>
  </r>
  <r>
    <n v="77"/>
    <n v="4883"/>
    <s v="SUMENENG"/>
    <x v="11"/>
    <s v="Petugas Pratama Layanan Jalan Tol "/>
    <s v="T"/>
    <s v="K"/>
    <n v="3"/>
    <n v="3"/>
    <s v="L"/>
    <d v="1970-06-14T00:00:00"/>
    <s v="47.9"/>
    <x v="16"/>
    <d v="1988-04-02T00:00:00"/>
    <s v="30.0"/>
    <x v="75"/>
    <s v="I"/>
    <s v="SMP"/>
    <s v="SLTP"/>
    <s v="O"/>
  </r>
  <r>
    <n v="78"/>
    <n v="4664"/>
    <s v="KUSDIYONO"/>
    <x v="12"/>
    <s v="Kepala Gerbang Tol  Manyaran"/>
    <s v="T"/>
    <s v="K"/>
    <n v="5"/>
    <n v="3"/>
    <s v="L"/>
    <d v="1965-10-10T00:00:00"/>
    <s v="52.5"/>
    <x v="9"/>
    <d v="1987-09-05T00:00:00"/>
    <s v="30.7"/>
    <x v="76"/>
    <s v="I"/>
    <s v="SMA"/>
    <s v="SLTA"/>
    <s v="B"/>
  </r>
  <r>
    <n v="79"/>
    <n v="7693"/>
    <s v="AGOES SUMARSONO"/>
    <x v="8"/>
    <s v="Kepala Shift Pul. Tol GT. Manyaran"/>
    <s v="T"/>
    <s v="K"/>
    <n v="2"/>
    <n v="2"/>
    <s v="L"/>
    <d v="1972-08-17T00:00:00"/>
    <s v="45.7"/>
    <x v="20"/>
    <d v="1994-11-10T00:00:00"/>
    <s v="23.4"/>
    <x v="77"/>
    <s v="I"/>
    <s v="STM"/>
    <s v="S1"/>
    <s v="B"/>
  </r>
  <r>
    <n v="80"/>
    <n v="3766"/>
    <s v="ARI PRIBADI"/>
    <x v="8"/>
    <s v="Kepala Shift Pul. Tol GT. Manyaran"/>
    <s v="T"/>
    <s v="K"/>
    <n v="3"/>
    <n v="2"/>
    <s v="L"/>
    <d v="1963-09-19T00:00:00"/>
    <s v="54.6"/>
    <x v="11"/>
    <d v="1986-07-10T00:00:00"/>
    <s v="31.8"/>
    <x v="78"/>
    <s v="I"/>
    <s v="STM"/>
    <s v="S1"/>
    <s v="B"/>
  </r>
  <r>
    <n v="81"/>
    <n v="5883"/>
    <s v="ENI KUSRINI"/>
    <x v="8"/>
    <s v="Kepala Shift Pul. Tol GT. Manyaran"/>
    <s v="T"/>
    <s v="J"/>
    <n v="1"/>
    <n v="1"/>
    <s v="P"/>
    <d v="1970-08-23T00:00:00"/>
    <s v="47.7"/>
    <x v="16"/>
    <d v="1989-12-18T00:00:00"/>
    <s v="28.3"/>
    <x v="79"/>
    <s v="I"/>
    <s v="SMA"/>
    <s v="S2"/>
    <s v="O"/>
  </r>
  <r>
    <n v="82"/>
    <n v="7641"/>
    <s v="JANSEN JAYA ROLAS H"/>
    <x v="8"/>
    <s v="Kepala Shift Pul. Tol GT. Manyaran"/>
    <s v="T"/>
    <s v="K"/>
    <n v="2"/>
    <n v="2"/>
    <s v="L"/>
    <d v="1976-01-12T00:00:00"/>
    <s v="42.2"/>
    <x v="5"/>
    <d v="1994-11-10T00:00:00"/>
    <s v="23.4"/>
    <x v="80"/>
    <s v="I"/>
    <s v="SMA"/>
    <s v="S1"/>
    <s v="-"/>
  </r>
  <r>
    <n v="83"/>
    <n v="7502"/>
    <s v="MARYONO"/>
    <x v="8"/>
    <s v="Kepala Shift Pul. Tol GT. Manyaran"/>
    <s v="T"/>
    <s v="K"/>
    <n v="3"/>
    <n v="3"/>
    <s v="L"/>
    <d v="1973-03-05T00:00:00"/>
    <s v="45.1"/>
    <x v="0"/>
    <d v="1994-10-01T00:00:00"/>
    <s v="23.6"/>
    <x v="81"/>
    <s v="I"/>
    <s v="SMA"/>
    <s v="SLTA"/>
    <s v="-"/>
  </r>
  <r>
    <n v="84"/>
    <n v="9517"/>
    <s v="HERA SUSANTI"/>
    <x v="8"/>
    <s v="Kepala Shift Pul. Tol GT. Manyaran"/>
    <s v="T"/>
    <s v="K"/>
    <n v="1"/>
    <n v="1"/>
    <s v="P"/>
    <d v="1979-07-27T00:00:00"/>
    <s v="38.8"/>
    <x v="8"/>
    <d v="1998-01-12T00:00:00"/>
    <s v="20.2"/>
    <x v="82"/>
    <s v="I"/>
    <s v="SMA"/>
    <s v="SLTA"/>
    <s v="O"/>
  </r>
  <r>
    <n v="85"/>
    <n v="8745"/>
    <s v="SUDARMONO"/>
    <x v="8"/>
    <s v="Kepala Shift Pul. Tol GT. Manyaran"/>
    <s v="T"/>
    <s v="K"/>
    <n v="2"/>
    <n v="2"/>
    <s v="L"/>
    <d v="1975-05-15T00:00:00"/>
    <s v="42.10"/>
    <x v="2"/>
    <d v="1996-06-25T00:00:00"/>
    <s v="21.9"/>
    <x v="83"/>
    <s v="I"/>
    <s v="SMEA"/>
    <s v="S1"/>
    <s v="-"/>
  </r>
  <r>
    <n v="86"/>
    <n v="8265"/>
    <s v="YULI DWI ADIHARSONO"/>
    <x v="8"/>
    <s v="Kepala Shift Pul. Tol GT. Manyaran"/>
    <s v="T"/>
    <s v="K"/>
    <n v="2"/>
    <n v="2"/>
    <s v="L"/>
    <d v="1975-07-24T00:00:00"/>
    <s v="42.8"/>
    <x v="2"/>
    <d v="1995-12-14T00:00:00"/>
    <s v="22.3"/>
    <x v="84"/>
    <s v="I"/>
    <s v="SMA"/>
    <s v="SLTA"/>
    <s v="-"/>
  </r>
  <r>
    <n v="87"/>
    <n v="7870"/>
    <s v="HERY MURYANTO"/>
    <x v="8"/>
    <s v="Kepala Shift Pul. Tol GT. Manyaran"/>
    <s v="T"/>
    <s v="K"/>
    <n v="3"/>
    <n v="3"/>
    <s v="L"/>
    <d v="1975-07-03T00:00:00"/>
    <s v="42.9"/>
    <x v="2"/>
    <d v="1995-03-01T00:00:00"/>
    <s v="23.1"/>
    <x v="85"/>
    <s v="I"/>
    <s v="SMA"/>
    <s v="SLTA"/>
    <s v="-"/>
  </r>
  <r>
    <n v="88"/>
    <n v="9667"/>
    <s v="MULATO"/>
    <x v="8"/>
    <s v="Kepala Shift Pul. Tol GT. Manyaran"/>
    <s v="T"/>
    <s v="K"/>
    <n v="2"/>
    <n v="2"/>
    <s v="L"/>
    <d v="1979-03-06T00:00:00"/>
    <s v="39.1"/>
    <x v="21"/>
    <d v="1998-06-04T00:00:00"/>
    <s v="19.10"/>
    <x v="86"/>
    <s v="I"/>
    <s v="SMEA"/>
    <s v="S1"/>
    <s v="O"/>
  </r>
  <r>
    <n v="89"/>
    <n v="7682"/>
    <s v="PENDI SETYO NOGROHO"/>
    <x v="8"/>
    <s v="Kepala Shift Pul. Tol GT. Manyaran"/>
    <s v="T"/>
    <s v="K"/>
    <n v="1"/>
    <n v="1"/>
    <s v="L"/>
    <d v="1975-10-19T00:00:00"/>
    <s v="42.5"/>
    <x v="2"/>
    <d v="1994-11-10T00:00:00"/>
    <s v="23.4"/>
    <x v="87"/>
    <s v="I"/>
    <s v="STM"/>
    <s v="S1"/>
    <s v="AB"/>
  </r>
  <r>
    <n v="90"/>
    <n v="9522"/>
    <s v="MARDIANI SUSILOWATI R"/>
    <x v="4"/>
    <s v="Toll Gate Officer"/>
    <s v="T"/>
    <s v="K"/>
    <n v="2"/>
    <n v="2"/>
    <s v="P"/>
    <d v="1979-01-20T00:00:00"/>
    <s v="39.2"/>
    <x v="8"/>
    <d v="1998-01-12T00:00:00"/>
    <s v="20.2"/>
    <x v="88"/>
    <s v="I"/>
    <s v="SMEA"/>
    <s v="SLTA"/>
    <s v="A"/>
  </r>
  <r>
    <n v="91"/>
    <n v="9524"/>
    <s v="SRI HARTATI"/>
    <x v="4"/>
    <s v="Toll Gate Officer"/>
    <s v="T"/>
    <s v="K"/>
    <n v="2"/>
    <n v="2"/>
    <s v="P"/>
    <d v="1976-04-03T00:00:00"/>
    <s v="42.0"/>
    <x v="5"/>
    <d v="1998-01-12T00:00:00"/>
    <s v="20.2"/>
    <x v="89"/>
    <s v="I"/>
    <s v="SMA"/>
    <s v="D3"/>
    <s v="O "/>
  </r>
  <r>
    <n v="92"/>
    <n v="4626"/>
    <s v="ANDIT HARIS CAHYONO"/>
    <x v="7"/>
    <s v="Kepala Shift Pul. Tol GT. Muktiharjo"/>
    <s v="T"/>
    <s v="K"/>
    <n v="3"/>
    <n v="3"/>
    <s v="L"/>
    <d v="1964-03-03T00:00:00"/>
    <s v="54.1"/>
    <x v="1"/>
    <d v="1987-09-05T00:00:00"/>
    <s v="30.7"/>
    <x v="90"/>
    <s v="I"/>
    <s v="SMA"/>
    <s v="S1"/>
    <s v="O"/>
  </r>
  <r>
    <n v="93"/>
    <n v="4629"/>
    <s v="R.MARDI PRIYANTO"/>
    <x v="7"/>
    <s v="Kepala Shift Pul. Tol GT. Muktiharjo"/>
    <s v="T"/>
    <s v="K"/>
    <n v="2"/>
    <n v="2"/>
    <s v="L"/>
    <d v="1966-05-09T00:00:00"/>
    <s v="51.11"/>
    <x v="4"/>
    <d v="1987-09-05T00:00:00"/>
    <s v="30.7"/>
    <x v="91"/>
    <s v="K"/>
    <s v="SMEA"/>
    <s v="S1"/>
    <s v="O"/>
  </r>
  <r>
    <n v="94"/>
    <n v="7685"/>
    <s v="SISWANTO"/>
    <x v="7"/>
    <s v="Kepala Shift Pul. Tol GT. Muktiharjo"/>
    <s v="T"/>
    <s v="K"/>
    <n v="3"/>
    <n v="3"/>
    <s v="L"/>
    <d v="1972-03-07T00:00:00"/>
    <s v="46.1"/>
    <x v="17"/>
    <d v="1994-11-10T00:00:00"/>
    <s v="23.4"/>
    <x v="92"/>
    <s v="I"/>
    <s v="STM"/>
    <s v="S1"/>
    <s v="O"/>
  </r>
  <r>
    <n v="95"/>
    <n v="6005"/>
    <s v="SUHARYONO"/>
    <x v="7"/>
    <s v="Kepala Shift Pul. Tol GT. Muktiharjo"/>
    <s v="T"/>
    <s v="K"/>
    <n v="2"/>
    <n v="2"/>
    <s v="L"/>
    <d v="1967-12-05T00:00:00"/>
    <s v="50.4"/>
    <x v="7"/>
    <d v="1990-06-06T00:00:00"/>
    <s v="27.10"/>
    <x v="93"/>
    <s v="I"/>
    <s v="STM"/>
    <s v="SLTA"/>
    <s v="AB"/>
  </r>
  <r>
    <n v="96"/>
    <n v="7672"/>
    <s v="BUDI HARYAWAN"/>
    <x v="7"/>
    <s v="Kepala Shift Pul. Tol GT. Muktiharjo"/>
    <s v="T"/>
    <s v="K"/>
    <n v="2"/>
    <n v="2"/>
    <s v="L"/>
    <d v="1971-06-29T00:00:00"/>
    <s v="46.9"/>
    <x v="3"/>
    <d v="1994-11-10T00:00:00"/>
    <s v="23.4"/>
    <x v="94"/>
    <s v="I"/>
    <s v="SMA"/>
    <s v="S1"/>
    <s v="O"/>
  </r>
  <r>
    <n v="97"/>
    <n v="4638"/>
    <s v="SRI WINARTI"/>
    <x v="4"/>
    <s v="Toll Gate Officer"/>
    <s v="T"/>
    <s v="K"/>
    <n v="2"/>
    <n v="2"/>
    <s v="P"/>
    <d v="1965-08-01T00:00:00"/>
    <s v="52.8"/>
    <x v="9"/>
    <d v="1987-09-05T00:00:00"/>
    <s v="30.7"/>
    <x v="95"/>
    <s v="I"/>
    <s v="SMA"/>
    <s v="SLTA"/>
    <s v="AB"/>
  </r>
  <r>
    <n v="98"/>
    <n v="2971"/>
    <s v="SUKAMTA"/>
    <x v="9"/>
    <s v="Pengumpul Tol Utama GT. Muktiharjo"/>
    <s v="T"/>
    <s v="K"/>
    <n v="3"/>
    <n v="3"/>
    <s v="L"/>
    <d v="1963-07-04T00:00:00"/>
    <s v="54.9"/>
    <x v="11"/>
    <d v="1984-12-18T00:00:00"/>
    <s v="33.3"/>
    <x v="96"/>
    <s v="I"/>
    <s v="SMA"/>
    <s v="SLTA"/>
    <s v="B"/>
  </r>
  <r>
    <n v="99"/>
    <n v="4672"/>
    <s v="KUSMIN"/>
    <x v="9"/>
    <s v="Pengumpul Tol Utama GT. Muktiharjo"/>
    <s v="T"/>
    <s v="K"/>
    <n v="2"/>
    <n v="2"/>
    <s v="L"/>
    <d v="1963-12-14T00:00:00"/>
    <s v="54.3"/>
    <x v="1"/>
    <d v="1987-09-05T00:00:00"/>
    <s v="30.7"/>
    <x v="97"/>
    <s v="I"/>
    <s v="STM"/>
    <s v="SLTA"/>
    <s v="O"/>
  </r>
  <r>
    <n v="100"/>
    <n v="6031"/>
    <s v="SRI ARIYANI"/>
    <x v="9"/>
    <s v="Pengumpul Tol Utama GT. Muktiharjo"/>
    <s v="T"/>
    <s v="K"/>
    <n v="3"/>
    <n v="3"/>
    <s v="P"/>
    <d v="1968-09-11T00:00:00"/>
    <s v="49.6"/>
    <x v="7"/>
    <d v="1990-06-20T00:00:00"/>
    <s v="27.9"/>
    <x v="98"/>
    <s v="I"/>
    <s v="SMA"/>
    <s v="SLTA"/>
    <s v="A"/>
  </r>
  <r>
    <n v="101"/>
    <n v="6123"/>
    <s v="JUWANTO"/>
    <x v="9"/>
    <s v="Pengumpul Tol Utama GT. Muktiharjo"/>
    <s v="T"/>
    <s v="K"/>
    <n v="3"/>
    <n v="3"/>
    <s v="L"/>
    <d v="1967-06-04T00:00:00"/>
    <s v="50.10"/>
    <x v="13"/>
    <d v="1990-10-22T00:00:00"/>
    <s v="27.5"/>
    <x v="99"/>
    <s v="I"/>
    <s v="SMA"/>
    <s v="SLTA"/>
    <s v="A"/>
  </r>
  <r>
    <n v="102"/>
    <n v="6454"/>
    <s v="JON EFENDI"/>
    <x v="9"/>
    <s v="Pengumpul Tol Utama GT. Muktiharjo"/>
    <s v="T"/>
    <s v="K"/>
    <n v="1"/>
    <n v="1"/>
    <s v="L"/>
    <d v="1967-05-26T00:00:00"/>
    <s v="50.10"/>
    <x v="13"/>
    <d v="1990-12-17T00:00:00"/>
    <s v="27.3"/>
    <x v="100"/>
    <s v="P"/>
    <s v="STM"/>
    <s v="S1"/>
    <s v="A"/>
  </r>
  <r>
    <n v="103"/>
    <n v="7161"/>
    <s v="SUTOMO"/>
    <x v="9"/>
    <s v="Pengumpul Tol Utama GT. Muktiharjo"/>
    <s v="T"/>
    <s v="K"/>
    <n v="3"/>
    <n v="3"/>
    <s v="L"/>
    <d v="1970-04-14T00:00:00"/>
    <s v="47.11"/>
    <x v="16"/>
    <d v="1993-02-22T00:00:00"/>
    <s v="25.1"/>
    <x v="101"/>
    <s v="P"/>
    <s v="SMA"/>
    <s v="S1"/>
    <s v="AB"/>
  </r>
  <r>
    <n v="104"/>
    <n v="7196"/>
    <s v="ANNAS HIDAYAH ROFII"/>
    <x v="9"/>
    <s v="Pengumpul Tol Utama GT. Muktiharjo"/>
    <s v="T"/>
    <s v="K"/>
    <n v="2"/>
    <n v="2"/>
    <s v="L"/>
    <d v="1971-09-26T00:00:00"/>
    <s v="46.6"/>
    <x v="3"/>
    <d v="1993-03-01T00:00:00"/>
    <s v="25.1"/>
    <x v="102"/>
    <s v="I"/>
    <s v="SMA"/>
    <s v="S1"/>
    <s v="A"/>
  </r>
  <r>
    <n v="105"/>
    <n v="7237"/>
    <s v="ANJAR BUDIANTO"/>
    <x v="9"/>
    <s v="Pengumpul Tol Utama GT. Muktiharjo"/>
    <s v="T"/>
    <s v="K"/>
    <n v="1"/>
    <n v="1"/>
    <s v="L"/>
    <d v="1971-04-24T00:00:00"/>
    <s v="46.11"/>
    <x v="3"/>
    <d v="1993-03-06T00:00:00"/>
    <s v="25.1"/>
    <x v="103"/>
    <s v="K"/>
    <s v="SMA"/>
    <s v="SLTA"/>
    <s v="-"/>
  </r>
  <r>
    <n v="106"/>
    <n v="7483"/>
    <s v="SUTARTO"/>
    <x v="9"/>
    <s v="Pengumpul Tol Utama GT. Muktiharjo"/>
    <s v="T"/>
    <s v="K"/>
    <n v="0"/>
    <n v="0"/>
    <s v="L"/>
    <d v="1969-08-12T00:00:00"/>
    <s v="48.7"/>
    <x v="12"/>
    <d v="1994-09-13T00:00:00"/>
    <s v="23.6"/>
    <x v="104"/>
    <s v="I"/>
    <s v="SMA"/>
    <s v="SLTA"/>
    <s v="-"/>
  </r>
  <r>
    <n v="107"/>
    <n v="7500"/>
    <s v="MUSTAFID"/>
    <x v="9"/>
    <s v="Pengumpul Tol Utama GT. Muktiharjo"/>
    <s v="T"/>
    <s v="K"/>
    <n v="2"/>
    <n v="2"/>
    <s v="L"/>
    <d v="1972-05-01T00:00:00"/>
    <s v="45.11"/>
    <x v="17"/>
    <d v="1994-10-01T00:00:00"/>
    <s v="23.6"/>
    <x v="105"/>
    <s v="I"/>
    <s v="SMA"/>
    <s v="SLTA"/>
    <s v="O"/>
  </r>
  <r>
    <n v="108"/>
    <n v="7651"/>
    <s v="RICKY NELSON SIBARANI"/>
    <x v="9"/>
    <s v="Pengumpul Tol Utama GT. Muktiharjo"/>
    <s v="T"/>
    <s v="K"/>
    <n v="2"/>
    <n v="2"/>
    <s v="L"/>
    <d v="1972-09-26T00:00:00"/>
    <s v="45.6"/>
    <x v="17"/>
    <d v="1994-11-10T00:00:00"/>
    <s v="23.4"/>
    <x v="106"/>
    <s v="P"/>
    <s v="SMA"/>
    <s v="SLTA"/>
    <s v="AB"/>
  </r>
  <r>
    <n v="109"/>
    <n v="7824"/>
    <s v="PRIYANTO"/>
    <x v="9"/>
    <s v="Pengumpul Tol Utama GT. Muktiharjo"/>
    <s v="T"/>
    <s v="K"/>
    <n v="3"/>
    <n v="3"/>
    <s v="L"/>
    <d v="1973-11-22T00:00:00"/>
    <s v="44.4"/>
    <x v="6"/>
    <d v="1995-01-02T00:00:00"/>
    <s v="23.3"/>
    <x v="107"/>
    <s v="I"/>
    <s v="STM"/>
    <s v="SLTA"/>
    <s v="O"/>
  </r>
  <r>
    <n v="110"/>
    <n v="8195"/>
    <s v="SURIP KUNTADI"/>
    <x v="10"/>
    <s v="Pengumpul Tol Utama GT. Muktiharjo"/>
    <s v="T"/>
    <s v="K"/>
    <n v="3"/>
    <n v="3"/>
    <s v="L"/>
    <d v="1973-03-01T00:00:00"/>
    <s v="45.1"/>
    <x v="0"/>
    <d v="1995-09-14T00:00:00"/>
    <s v="22.6"/>
    <x v="108"/>
    <s v="I"/>
    <s v="STM"/>
    <s v="S1"/>
    <s v="B"/>
  </r>
  <r>
    <n v="111"/>
    <n v="8359"/>
    <s v="EDY SUPRIONO"/>
    <x v="9"/>
    <s v="Pengumpul Tol Utama GT. Muktiharjo"/>
    <s v="T"/>
    <s v="K"/>
    <n v="1"/>
    <n v="1"/>
    <s v="L"/>
    <d v="1971-09-29T00:00:00"/>
    <s v="46.6"/>
    <x v="3"/>
    <d v="1996-02-01T00:00:00"/>
    <s v="22.2"/>
    <x v="109"/>
    <s v="I"/>
    <s v="SMA"/>
    <s v="SLTA"/>
    <s v="A "/>
  </r>
  <r>
    <n v="112"/>
    <n v="8369"/>
    <s v="EKO BUDIONO"/>
    <x v="9"/>
    <s v="Pengumpul Tol Utama GT. Muktiharjo"/>
    <s v="T"/>
    <s v="K"/>
    <n v="1"/>
    <n v="1"/>
    <s v="L"/>
    <d v="1976-07-25T00:00:00"/>
    <s v="41.8"/>
    <x v="5"/>
    <d v="1996-01-04T00:00:00"/>
    <s v="22.3"/>
    <x v="110"/>
    <s v="I"/>
    <s v="SMA"/>
    <s v="SLTA"/>
    <s v="-"/>
  </r>
  <r>
    <n v="113"/>
    <n v="8741"/>
    <s v="RENO LILIK SUNARNO"/>
    <x v="10"/>
    <s v="Pengumpul Tol Utama GT. Muktiharjo"/>
    <s v="T"/>
    <s v="K"/>
    <n v="2"/>
    <n v="2"/>
    <s v="L"/>
    <d v="1973-12-20T00:00:00"/>
    <s v="44.3"/>
    <x v="6"/>
    <d v="1996-06-25T00:00:00"/>
    <s v="21.9"/>
    <x v="111"/>
    <s v="I"/>
    <s v="SMA"/>
    <s v="S1"/>
    <s v="O"/>
  </r>
  <r>
    <n v="114"/>
    <n v="9069"/>
    <s v="AGUS SENOPRATOMO"/>
    <x v="10"/>
    <s v="Pengumpul Tol Utama GT. Muktiharjo"/>
    <s v="T"/>
    <s v="K"/>
    <n v="2"/>
    <n v="1"/>
    <s v="L"/>
    <d v="1971-08-28T00:00:00"/>
    <s v="46.7"/>
    <x v="3"/>
    <d v="1996-09-27T00:00:00"/>
    <s v="21.6"/>
    <x v="112"/>
    <s v="I"/>
    <s v="STM"/>
    <s v="SLTA"/>
    <s v="AB"/>
  </r>
  <r>
    <n v="115"/>
    <n v="9523"/>
    <s v="PUJI WINARSIH"/>
    <x v="10"/>
    <s v="Pengumpul Tol Utama GT. Muktiharjo"/>
    <s v="T"/>
    <s v="K"/>
    <n v="2"/>
    <n v="2"/>
    <s v="P"/>
    <d v="1978-04-19T00:00:00"/>
    <s v="39.11"/>
    <x v="21"/>
    <d v="1998-01-12T00:00:00"/>
    <s v="20.2"/>
    <x v="113"/>
    <s v="I"/>
    <s v="SMA"/>
    <s v="SLTA"/>
    <s v="AB"/>
  </r>
  <r>
    <n v="116"/>
    <n v="9527"/>
    <s v="CORNELIUS SETYO PAMBUDI"/>
    <x v="10"/>
    <s v="Pengumpul Tol Utama GT. Muktiharjo"/>
    <s v="T"/>
    <s v="K"/>
    <n v="3"/>
    <n v="3"/>
    <s v="L"/>
    <d v="1976-09-08T00:00:00"/>
    <s v="41.7"/>
    <x v="5"/>
    <d v="1998-01-12T00:00:00"/>
    <s v="20.2"/>
    <x v="114"/>
    <s v="K"/>
    <s v="STM"/>
    <s v="SLTA"/>
    <s v="AB"/>
  </r>
  <r>
    <n v="117"/>
    <n v="9531"/>
    <s v="SOLEMAN LASNO"/>
    <x v="10"/>
    <s v="Pengumpul Tol Utama GT. Muktiharjo"/>
    <s v="T"/>
    <s v="K"/>
    <n v="2"/>
    <n v="2"/>
    <s v="L"/>
    <d v="1976-12-10T00:00:00"/>
    <s v="41.3"/>
    <x v="14"/>
    <d v="1998-01-12T00:00:00"/>
    <s v="20.2"/>
    <x v="115"/>
    <s v="I"/>
    <s v="SMA"/>
    <s v="SLTA"/>
    <s v="O "/>
  </r>
  <r>
    <n v="118"/>
    <n v="9535"/>
    <s v="AGUNG SULISTIYO"/>
    <x v="10"/>
    <s v="Pengumpul Tol Utama GT. Muktiharjo"/>
    <s v="T"/>
    <s v="K"/>
    <n v="2"/>
    <n v="2"/>
    <s v="L"/>
    <d v="1973-02-20T00:00:00"/>
    <s v="45.1"/>
    <x v="0"/>
    <d v="1998-01-12T00:00:00"/>
    <s v="20.2"/>
    <x v="116"/>
    <s v="I"/>
    <s v="SMA"/>
    <s v="SLTA"/>
    <s v="B "/>
  </r>
  <r>
    <n v="119"/>
    <n v="9543"/>
    <s v="DANANG NOVIANTO"/>
    <x v="10"/>
    <s v="Pengumpul Tol Utama GT. Muktiharjo"/>
    <s v="T"/>
    <s v="K"/>
    <n v="2"/>
    <n v="2"/>
    <s v="L"/>
    <d v="1975-11-30T00:00:00"/>
    <s v="42.4"/>
    <x v="5"/>
    <d v="1998-01-12T00:00:00"/>
    <s v="20.2"/>
    <x v="117"/>
    <s v="I"/>
    <s v="SMA"/>
    <s v="SLTA"/>
    <s v="A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18" firstHeaderRow="1" firstDataRow="2" firstDataCol="1"/>
  <pivotFields count="22">
    <pivotField subtotalTop="0" showAll="0"/>
    <pivotField numFmtId="169" subtotalTop="0" showAll="0"/>
    <pivotField subtotalTop="0" showAll="0"/>
    <pivotField axis="axisRow" subtotalTop="0" showAll="0">
      <items count="14">
        <item x="4"/>
        <item x="1"/>
        <item x="2"/>
        <item x="6"/>
        <item x="3"/>
        <item x="0"/>
        <item x="5"/>
        <item x="12"/>
        <item x="8"/>
        <item x="7"/>
        <item x="9"/>
        <item x="10"/>
        <item x="1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6" subtotalTop="0" showAll="0"/>
    <pivotField subtotalTop="0" showAll="0"/>
    <pivotField axis="axisCol" subtotalTop="0" showAll="0">
      <items count="23">
        <item x="15"/>
        <item x="18"/>
        <item x="19"/>
        <item x="8"/>
        <item x="21"/>
        <item x="14"/>
        <item x="5"/>
        <item x="2"/>
        <item x="6"/>
        <item x="0"/>
        <item x="17"/>
        <item x="20"/>
        <item x="3"/>
        <item x="16"/>
        <item x="12"/>
        <item x="7"/>
        <item x="13"/>
        <item x="4"/>
        <item x="9"/>
        <item x="1"/>
        <item x="11"/>
        <item x="10"/>
        <item t="default"/>
      </items>
    </pivotField>
    <pivotField numFmtId="166" subtotalTop="0" showAll="0"/>
    <pivotField subtotalTop="0" showAll="0"/>
    <pivotField numFmtId="16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showAll="0">
      <items count="3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 of Years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18" firstHeaderRow="1" firstDataRow="2" firstDataCol="1"/>
  <pivotFields count="22">
    <pivotField subtotalTop="0" showAll="0"/>
    <pivotField numFmtId="169" subtotalTop="0" showAll="0"/>
    <pivotField subtotalTop="0" showAll="0"/>
    <pivotField axis="axisRow" subtotalTop="0" showAll="0">
      <items count="14">
        <item x="4"/>
        <item x="1"/>
        <item x="2"/>
        <item x="6"/>
        <item x="3"/>
        <item x="0"/>
        <item x="5"/>
        <item x="12"/>
        <item x="8"/>
        <item x="7"/>
        <item x="9"/>
        <item x="10"/>
        <item x="1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6" subtotalTop="0" showAll="0"/>
    <pivotField subtotalTop="0" showAll="0"/>
    <pivotField dataField="1" subtotalTop="0" showAll="0">
      <items count="23">
        <item x="15"/>
        <item x="18"/>
        <item x="19"/>
        <item x="8"/>
        <item x="21"/>
        <item x="14"/>
        <item x="5"/>
        <item x="2"/>
        <item x="6"/>
        <item x="0"/>
        <item x="17"/>
        <item x="20"/>
        <item x="3"/>
        <item x="16"/>
        <item x="12"/>
        <item x="7"/>
        <item x="13"/>
        <item x="4"/>
        <item x="9"/>
        <item x="1"/>
        <item x="11"/>
        <item x="10"/>
        <item t="default"/>
      </items>
    </pivotField>
    <pivotField numFmtId="166" subtotalTop="0" showAll="0"/>
    <pivotField subtotalTop="0" showAll="0"/>
    <pivotField numFmtId="166" subtotalTop="0" showAll="0"/>
    <pivotField subtotalTop="0" showAll="0"/>
    <pivotField subtotalTop="0" showAll="0"/>
    <pivotField subtotalTop="0" showAll="0"/>
    <pivotField subtotalTop="0" showAll="0"/>
    <pivotField subtotalTop="0" showAll="0" defaultSubtotal="0"/>
    <pivotField axis="axisCol" subtotalTop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1"/>
  </colFields>
  <col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7"/>
    </i>
    <i t="grand">
      <x/>
    </i>
  </colItems>
  <dataFields count="1">
    <dataField name="Count of USIA BULA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2"/>
  <sheetViews>
    <sheetView topLeftCell="A7" workbookViewId="0">
      <selection activeCell="K47" sqref="K47"/>
    </sheetView>
  </sheetViews>
  <sheetFormatPr defaultRowHeight="15"/>
  <cols>
    <col min="1" max="2" width="6" style="28" customWidth="1"/>
    <col min="3" max="3" width="60.85546875" style="28" customWidth="1"/>
    <col min="4" max="4" width="10.42578125" style="28" customWidth="1"/>
    <col min="5" max="5" width="10" style="28" customWidth="1"/>
    <col min="6" max="6" width="8.7109375" style="28" customWidth="1"/>
    <col min="7" max="9" width="9.140625" style="28"/>
    <col min="10" max="10" width="13.5703125" style="28" customWidth="1"/>
    <col min="11" max="11" width="39.42578125" style="28" customWidth="1"/>
    <col min="12" max="16384" width="9.140625" style="28"/>
  </cols>
  <sheetData>
    <row r="1" spans="1:11" ht="18" customHeight="1">
      <c r="A1" s="936" t="s">
        <v>2453</v>
      </c>
      <c r="B1" s="936"/>
      <c r="C1" s="936"/>
      <c r="D1" s="936"/>
      <c r="E1" s="936"/>
      <c r="F1" s="936"/>
      <c r="G1" s="936"/>
      <c r="H1" s="936"/>
      <c r="I1" s="936"/>
      <c r="J1" s="936"/>
      <c r="K1" s="936"/>
    </row>
    <row r="2" spans="1:11" ht="18" customHeight="1">
      <c r="A2" s="936" t="s">
        <v>528</v>
      </c>
      <c r="B2" s="936"/>
      <c r="C2" s="936"/>
      <c r="D2" s="936"/>
      <c r="E2" s="936"/>
      <c r="F2" s="936"/>
      <c r="G2" s="936"/>
      <c r="H2" s="936"/>
      <c r="I2" s="936"/>
      <c r="J2" s="936"/>
      <c r="K2" s="936"/>
    </row>
    <row r="3" spans="1:11" ht="18" customHeight="1">
      <c r="A3" s="936" t="s">
        <v>2763</v>
      </c>
      <c r="B3" s="936"/>
      <c r="C3" s="936"/>
      <c r="D3" s="936"/>
      <c r="E3" s="936"/>
      <c r="F3" s="936"/>
      <c r="G3" s="936"/>
      <c r="H3" s="936"/>
      <c r="I3" s="936"/>
      <c r="J3" s="936"/>
      <c r="K3" s="936"/>
    </row>
    <row r="4" spans="1:11" ht="18" customHeight="1">
      <c r="A4" s="695"/>
      <c r="B4" s="695"/>
      <c r="C4" s="695"/>
      <c r="D4" s="695"/>
      <c r="E4" s="695"/>
      <c r="F4" s="695"/>
      <c r="G4" s="695"/>
      <c r="H4" s="695"/>
      <c r="I4" s="695"/>
      <c r="J4" s="695"/>
      <c r="K4" s="695"/>
    </row>
    <row r="5" spans="1:11" s="697" customFormat="1">
      <c r="A5" s="697" t="s">
        <v>2558</v>
      </c>
    </row>
    <row r="6" spans="1:11">
      <c r="A6" s="937" t="s">
        <v>1</v>
      </c>
      <c r="B6" s="692"/>
      <c r="C6" s="939" t="s">
        <v>5</v>
      </c>
      <c r="D6" s="941" t="s">
        <v>2454</v>
      </c>
      <c r="E6" s="942"/>
      <c r="F6" s="943"/>
      <c r="G6" s="941" t="s">
        <v>2458</v>
      </c>
      <c r="H6" s="942"/>
      <c r="I6" s="943"/>
      <c r="J6" s="937" t="s">
        <v>517</v>
      </c>
      <c r="K6" s="937" t="s">
        <v>2461</v>
      </c>
    </row>
    <row r="7" spans="1:11">
      <c r="A7" s="938"/>
      <c r="B7" s="693"/>
      <c r="C7" s="940"/>
      <c r="D7" s="678" t="s">
        <v>2455</v>
      </c>
      <c r="E7" s="678" t="s">
        <v>2456</v>
      </c>
      <c r="F7" s="679" t="s">
        <v>2457</v>
      </c>
      <c r="G7" s="678" t="s">
        <v>2459</v>
      </c>
      <c r="H7" s="678" t="s">
        <v>2460</v>
      </c>
      <c r="I7" s="678" t="s">
        <v>2456</v>
      </c>
      <c r="J7" s="938"/>
      <c r="K7" s="938"/>
    </row>
    <row r="8" spans="1:11">
      <c r="A8" s="690">
        <v>1</v>
      </c>
      <c r="B8" s="694"/>
      <c r="C8" s="691">
        <v>2</v>
      </c>
      <c r="D8" s="681">
        <v>3</v>
      </c>
      <c r="E8" s="681">
        <v>4</v>
      </c>
      <c r="F8" s="682" t="s">
        <v>2462</v>
      </c>
      <c r="G8" s="681">
        <v>6</v>
      </c>
      <c r="H8" s="681">
        <v>7</v>
      </c>
      <c r="I8" s="681" t="s">
        <v>2465</v>
      </c>
      <c r="J8" s="680" t="s">
        <v>2466</v>
      </c>
      <c r="K8" s="680">
        <v>10</v>
      </c>
    </row>
    <row r="9" spans="1:11">
      <c r="A9" s="698" t="s">
        <v>22</v>
      </c>
      <c r="B9" s="699" t="s">
        <v>635</v>
      </c>
      <c r="C9" s="699"/>
      <c r="D9" s="683">
        <v>1</v>
      </c>
      <c r="E9" s="683">
        <v>1</v>
      </c>
      <c r="F9" s="689">
        <f>E9-D9</f>
        <v>0</v>
      </c>
      <c r="G9" s="689">
        <v>0</v>
      </c>
      <c r="H9" s="689">
        <v>0</v>
      </c>
      <c r="I9" s="689">
        <v>0</v>
      </c>
      <c r="J9" s="685">
        <f>F9+I9</f>
        <v>0</v>
      </c>
      <c r="K9" s="684"/>
    </row>
    <row r="10" spans="1:11">
      <c r="A10" s="651" t="s">
        <v>17</v>
      </c>
      <c r="B10" s="700" t="s">
        <v>647</v>
      </c>
      <c r="C10" s="701"/>
      <c r="D10" s="685">
        <v>1</v>
      </c>
      <c r="E10" s="685">
        <v>1</v>
      </c>
      <c r="F10" s="685">
        <f>E10-D10</f>
        <v>0</v>
      </c>
      <c r="G10" s="685">
        <v>0</v>
      </c>
      <c r="H10" s="685">
        <v>0</v>
      </c>
      <c r="I10" s="685">
        <v>0</v>
      </c>
      <c r="J10" s="685">
        <f t="shared" ref="J10:J27" si="0">F10+I10</f>
        <v>0</v>
      </c>
      <c r="K10" s="686"/>
    </row>
    <row r="11" spans="1:11">
      <c r="A11" s="651" t="s">
        <v>131</v>
      </c>
      <c r="B11" s="702" t="s">
        <v>643</v>
      </c>
      <c r="C11" s="703"/>
      <c r="D11" s="651">
        <v>1</v>
      </c>
      <c r="E11" s="685">
        <v>1</v>
      </c>
      <c r="F11" s="685">
        <f t="shared" ref="F11:I75" si="1">E11-D11</f>
        <v>0</v>
      </c>
      <c r="G11" s="685">
        <v>0</v>
      </c>
      <c r="H11" s="685">
        <v>0</v>
      </c>
      <c r="I11" s="685">
        <v>0</v>
      </c>
      <c r="J11" s="685">
        <f t="shared" si="0"/>
        <v>0</v>
      </c>
      <c r="K11" s="686"/>
    </row>
    <row r="12" spans="1:11">
      <c r="A12" s="651"/>
      <c r="B12" s="704">
        <v>1</v>
      </c>
      <c r="C12" s="652" t="s">
        <v>649</v>
      </c>
      <c r="D12" s="651">
        <v>1</v>
      </c>
      <c r="E12" s="685">
        <v>1</v>
      </c>
      <c r="F12" s="685">
        <f t="shared" si="1"/>
        <v>0</v>
      </c>
      <c r="G12" s="685">
        <v>0</v>
      </c>
      <c r="H12" s="685">
        <v>0</v>
      </c>
      <c r="I12" s="685">
        <v>0</v>
      </c>
      <c r="J12" s="685">
        <f t="shared" si="0"/>
        <v>0</v>
      </c>
      <c r="K12" s="686"/>
    </row>
    <row r="13" spans="1:11">
      <c r="A13" s="651"/>
      <c r="B13" s="704">
        <f>B12+1</f>
        <v>2</v>
      </c>
      <c r="C13" s="652" t="s">
        <v>776</v>
      </c>
      <c r="D13" s="651">
        <v>1</v>
      </c>
      <c r="E13" s="685">
        <v>1</v>
      </c>
      <c r="F13" s="685">
        <f t="shared" si="1"/>
        <v>0</v>
      </c>
      <c r="G13" s="685">
        <v>0</v>
      </c>
      <c r="H13" s="685">
        <v>0</v>
      </c>
      <c r="I13" s="685">
        <v>0</v>
      </c>
      <c r="J13" s="685">
        <f t="shared" si="0"/>
        <v>0</v>
      </c>
      <c r="K13" s="686"/>
    </row>
    <row r="14" spans="1:11">
      <c r="A14" s="651"/>
      <c r="B14" s="704">
        <v>3</v>
      </c>
      <c r="C14" s="652" t="s">
        <v>2556</v>
      </c>
      <c r="D14" s="651">
        <v>1</v>
      </c>
      <c r="E14" s="685">
        <v>1</v>
      </c>
      <c r="F14" s="685">
        <f t="shared" ref="F14" si="2">E14-D14</f>
        <v>0</v>
      </c>
      <c r="G14" s="685">
        <v>0</v>
      </c>
      <c r="H14" s="685">
        <v>0</v>
      </c>
      <c r="I14" s="685">
        <v>0</v>
      </c>
      <c r="J14" s="685">
        <f t="shared" ref="J14" si="3">F14+I14</f>
        <v>0</v>
      </c>
      <c r="K14" s="765"/>
    </row>
    <row r="15" spans="1:11">
      <c r="A15" s="651"/>
      <c r="B15" s="653">
        <v>4</v>
      </c>
      <c r="C15" s="652" t="s">
        <v>637</v>
      </c>
      <c r="D15" s="651">
        <v>1</v>
      </c>
      <c r="E15" s="685">
        <v>1</v>
      </c>
      <c r="F15" s="685">
        <f t="shared" si="1"/>
        <v>0</v>
      </c>
      <c r="G15" s="685">
        <v>0</v>
      </c>
      <c r="H15" s="685">
        <v>0</v>
      </c>
      <c r="I15" s="685">
        <v>0</v>
      </c>
      <c r="J15" s="685">
        <f t="shared" si="0"/>
        <v>0</v>
      </c>
      <c r="K15" s="765"/>
    </row>
    <row r="16" spans="1:11">
      <c r="A16" s="651" t="s">
        <v>120</v>
      </c>
      <c r="B16" s="934" t="s">
        <v>777</v>
      </c>
      <c r="C16" s="935"/>
      <c r="D16" s="651">
        <v>1</v>
      </c>
      <c r="E16" s="685">
        <v>1</v>
      </c>
      <c r="F16" s="685">
        <f t="shared" si="1"/>
        <v>0</v>
      </c>
      <c r="G16" s="685">
        <v>0</v>
      </c>
      <c r="H16" s="685">
        <v>0</v>
      </c>
      <c r="I16" s="685">
        <v>0</v>
      </c>
      <c r="J16" s="685">
        <f t="shared" si="0"/>
        <v>0</v>
      </c>
      <c r="K16" s="686"/>
    </row>
    <row r="17" spans="1:11">
      <c r="A17" s="651"/>
      <c r="B17" s="653" t="s">
        <v>568</v>
      </c>
      <c r="C17" s="652" t="s">
        <v>775</v>
      </c>
      <c r="D17" s="651">
        <v>1</v>
      </c>
      <c r="E17" s="685">
        <v>1</v>
      </c>
      <c r="F17" s="685">
        <f t="shared" si="1"/>
        <v>0</v>
      </c>
      <c r="G17" s="685">
        <v>0</v>
      </c>
      <c r="H17" s="685">
        <v>0</v>
      </c>
      <c r="I17" s="685">
        <v>0</v>
      </c>
      <c r="J17" s="685">
        <f t="shared" si="0"/>
        <v>0</v>
      </c>
      <c r="K17" s="686"/>
    </row>
    <row r="18" spans="1:11">
      <c r="A18" s="651"/>
      <c r="B18" s="704">
        <f>B17+1</f>
        <v>2</v>
      </c>
      <c r="C18" s="652" t="s">
        <v>792</v>
      </c>
      <c r="D18" s="651">
        <v>1</v>
      </c>
      <c r="E18" s="685">
        <v>1</v>
      </c>
      <c r="F18" s="685">
        <f t="shared" si="1"/>
        <v>0</v>
      </c>
      <c r="G18" s="685">
        <v>0</v>
      </c>
      <c r="H18" s="685">
        <v>0</v>
      </c>
      <c r="I18" s="685">
        <v>0</v>
      </c>
      <c r="J18" s="685">
        <f t="shared" si="0"/>
        <v>0</v>
      </c>
      <c r="K18" s="686"/>
    </row>
    <row r="19" spans="1:11">
      <c r="A19" s="651"/>
      <c r="B19" s="704">
        <v>3</v>
      </c>
      <c r="C19" s="652" t="s">
        <v>638</v>
      </c>
      <c r="D19" s="651">
        <v>1</v>
      </c>
      <c r="E19" s="685">
        <v>1</v>
      </c>
      <c r="F19" s="685">
        <f t="shared" ref="F19" si="4">E19-D19</f>
        <v>0</v>
      </c>
      <c r="G19" s="685">
        <v>0</v>
      </c>
      <c r="H19" s="685">
        <v>0</v>
      </c>
      <c r="I19" s="685">
        <v>0</v>
      </c>
      <c r="J19" s="685">
        <f t="shared" ref="J19" si="5">F19+I19</f>
        <v>0</v>
      </c>
      <c r="K19" s="686"/>
    </row>
    <row r="20" spans="1:11">
      <c r="A20" s="651" t="s">
        <v>569</v>
      </c>
      <c r="B20" s="934" t="s">
        <v>770</v>
      </c>
      <c r="C20" s="935"/>
      <c r="D20" s="651">
        <v>1</v>
      </c>
      <c r="E20" s="685">
        <v>1</v>
      </c>
      <c r="F20" s="685">
        <f t="shared" si="1"/>
        <v>0</v>
      </c>
      <c r="G20" s="685">
        <v>0</v>
      </c>
      <c r="H20" s="685">
        <v>0</v>
      </c>
      <c r="I20" s="685">
        <v>0</v>
      </c>
      <c r="J20" s="685">
        <f t="shared" si="0"/>
        <v>0</v>
      </c>
      <c r="K20" s="686"/>
    </row>
    <row r="21" spans="1:11">
      <c r="A21" s="651" t="s">
        <v>131</v>
      </c>
      <c r="B21" s="934" t="s">
        <v>793</v>
      </c>
      <c r="C21" s="935"/>
      <c r="D21" s="651">
        <v>1</v>
      </c>
      <c r="E21" s="685">
        <v>1</v>
      </c>
      <c r="F21" s="685">
        <f t="shared" si="1"/>
        <v>0</v>
      </c>
      <c r="G21" s="685">
        <v>0</v>
      </c>
      <c r="H21" s="685">
        <v>0</v>
      </c>
      <c r="I21" s="685">
        <v>0</v>
      </c>
      <c r="J21" s="685">
        <f t="shared" si="0"/>
        <v>0</v>
      </c>
      <c r="K21" s="686"/>
    </row>
    <row r="22" spans="1:11">
      <c r="A22" s="651"/>
      <c r="B22" s="705" t="s">
        <v>568</v>
      </c>
      <c r="C22" s="656" t="s">
        <v>2463</v>
      </c>
      <c r="D22" s="651">
        <v>0</v>
      </c>
      <c r="E22" s="685">
        <v>0</v>
      </c>
      <c r="F22" s="685">
        <f t="shared" si="1"/>
        <v>0</v>
      </c>
      <c r="G22" s="685">
        <v>0</v>
      </c>
      <c r="H22" s="685">
        <v>0</v>
      </c>
      <c r="I22" s="685">
        <v>0</v>
      </c>
      <c r="J22" s="685">
        <f t="shared" si="0"/>
        <v>0</v>
      </c>
      <c r="K22" s="686"/>
    </row>
    <row r="23" spans="1:11">
      <c r="A23" s="651"/>
      <c r="B23" s="705" t="s">
        <v>572</v>
      </c>
      <c r="C23" s="652" t="s">
        <v>772</v>
      </c>
      <c r="D23" s="651">
        <v>1</v>
      </c>
      <c r="E23" s="685">
        <v>1</v>
      </c>
      <c r="F23" s="685">
        <f t="shared" si="1"/>
        <v>0</v>
      </c>
      <c r="G23" s="685">
        <v>0</v>
      </c>
      <c r="H23" s="685">
        <v>0</v>
      </c>
      <c r="I23" s="685">
        <v>0</v>
      </c>
      <c r="J23" s="685">
        <f t="shared" si="0"/>
        <v>0</v>
      </c>
      <c r="K23" s="686"/>
    </row>
    <row r="24" spans="1:11">
      <c r="A24" s="651"/>
      <c r="B24" s="705" t="s">
        <v>567</v>
      </c>
      <c r="C24" s="656" t="s">
        <v>771</v>
      </c>
      <c r="D24" s="651">
        <v>1</v>
      </c>
      <c r="E24" s="685">
        <v>1</v>
      </c>
      <c r="F24" s="685">
        <f t="shared" si="1"/>
        <v>0</v>
      </c>
      <c r="G24" s="685">
        <v>0</v>
      </c>
      <c r="H24" s="685">
        <v>0</v>
      </c>
      <c r="I24" s="685">
        <v>0</v>
      </c>
      <c r="J24" s="685">
        <f t="shared" si="0"/>
        <v>0</v>
      </c>
      <c r="K24" s="686"/>
    </row>
    <row r="25" spans="1:11">
      <c r="A25" s="651"/>
      <c r="B25" s="705" t="s">
        <v>573</v>
      </c>
      <c r="C25" s="656" t="s">
        <v>794</v>
      </c>
      <c r="D25" s="651">
        <v>1</v>
      </c>
      <c r="E25" s="685">
        <v>1</v>
      </c>
      <c r="F25" s="685">
        <f t="shared" si="1"/>
        <v>0</v>
      </c>
      <c r="G25" s="685">
        <v>0</v>
      </c>
      <c r="H25" s="685">
        <v>0</v>
      </c>
      <c r="I25" s="685">
        <v>0</v>
      </c>
      <c r="J25" s="685">
        <f t="shared" si="0"/>
        <v>0</v>
      </c>
      <c r="K25" s="686"/>
    </row>
    <row r="26" spans="1:11">
      <c r="A26" s="651"/>
      <c r="B26" s="705" t="s">
        <v>574</v>
      </c>
      <c r="C26" s="652" t="s">
        <v>795</v>
      </c>
      <c r="D26" s="651">
        <v>1</v>
      </c>
      <c r="E26" s="685">
        <v>1</v>
      </c>
      <c r="F26" s="685">
        <f t="shared" si="1"/>
        <v>0</v>
      </c>
      <c r="G26" s="685">
        <v>0</v>
      </c>
      <c r="H26" s="685">
        <v>0</v>
      </c>
      <c r="I26" s="685">
        <v>0</v>
      </c>
      <c r="J26" s="685">
        <f t="shared" si="0"/>
        <v>0</v>
      </c>
      <c r="K26" s="686"/>
    </row>
    <row r="27" spans="1:11">
      <c r="A27" s="651"/>
      <c r="B27" s="705" t="s">
        <v>581</v>
      </c>
      <c r="C27" s="652" t="s">
        <v>2422</v>
      </c>
      <c r="D27" s="651">
        <v>1</v>
      </c>
      <c r="E27" s="685">
        <v>1</v>
      </c>
      <c r="F27" s="685">
        <f t="shared" si="1"/>
        <v>0</v>
      </c>
      <c r="G27" s="685">
        <v>0</v>
      </c>
      <c r="H27" s="685">
        <v>0</v>
      </c>
      <c r="I27" s="685">
        <v>0</v>
      </c>
      <c r="J27" s="685">
        <f t="shared" si="0"/>
        <v>0</v>
      </c>
      <c r="K27" s="686"/>
    </row>
    <row r="28" spans="1:11">
      <c r="A28" s="651"/>
      <c r="B28" s="705" t="s">
        <v>693</v>
      </c>
      <c r="C28" s="652" t="s">
        <v>2464</v>
      </c>
      <c r="D28" s="651">
        <v>1</v>
      </c>
      <c r="E28" s="685">
        <v>1</v>
      </c>
      <c r="F28" s="685">
        <f t="shared" si="1"/>
        <v>0</v>
      </c>
      <c r="G28" s="685">
        <v>0</v>
      </c>
      <c r="H28" s="685">
        <v>0</v>
      </c>
      <c r="I28" s="685">
        <v>0</v>
      </c>
      <c r="J28" s="685">
        <f t="shared" ref="J28:J75" si="6">F28+I28</f>
        <v>0</v>
      </c>
      <c r="K28" s="686"/>
    </row>
    <row r="29" spans="1:11">
      <c r="A29" s="651"/>
      <c r="B29" s="705" t="s">
        <v>694</v>
      </c>
      <c r="C29" s="652" t="s">
        <v>638</v>
      </c>
      <c r="D29" s="651">
        <v>1</v>
      </c>
      <c r="E29" s="685">
        <v>1</v>
      </c>
      <c r="F29" s="685">
        <f t="shared" si="1"/>
        <v>0</v>
      </c>
      <c r="G29" s="685">
        <v>0</v>
      </c>
      <c r="H29" s="685">
        <v>0</v>
      </c>
      <c r="I29" s="685">
        <v>0</v>
      </c>
      <c r="J29" s="685">
        <f t="shared" si="6"/>
        <v>0</v>
      </c>
      <c r="K29" s="686"/>
    </row>
    <row r="30" spans="1:11">
      <c r="A30" s="651"/>
      <c r="B30" s="705" t="s">
        <v>695</v>
      </c>
      <c r="C30" s="652" t="s">
        <v>636</v>
      </c>
      <c r="D30" s="651">
        <v>1</v>
      </c>
      <c r="E30" s="685">
        <v>1</v>
      </c>
      <c r="F30" s="685">
        <f t="shared" si="1"/>
        <v>0</v>
      </c>
      <c r="G30" s="685">
        <v>0</v>
      </c>
      <c r="H30" s="685">
        <v>0</v>
      </c>
      <c r="I30" s="685">
        <v>0</v>
      </c>
      <c r="J30" s="685">
        <f t="shared" si="6"/>
        <v>0</v>
      </c>
      <c r="K30" s="686"/>
    </row>
    <row r="31" spans="1:11">
      <c r="A31" s="651"/>
      <c r="B31" s="705" t="s">
        <v>696</v>
      </c>
      <c r="C31" s="652" t="s">
        <v>639</v>
      </c>
      <c r="D31" s="651">
        <v>1</v>
      </c>
      <c r="E31" s="685">
        <v>1</v>
      </c>
      <c r="F31" s="685">
        <f t="shared" si="1"/>
        <v>0</v>
      </c>
      <c r="G31" s="685">
        <v>0</v>
      </c>
      <c r="H31" s="685">
        <v>0</v>
      </c>
      <c r="I31" s="685">
        <v>0</v>
      </c>
      <c r="J31" s="685">
        <f t="shared" si="6"/>
        <v>0</v>
      </c>
      <c r="K31" s="686"/>
    </row>
    <row r="32" spans="1:11">
      <c r="A32" s="651" t="s">
        <v>120</v>
      </c>
      <c r="B32" s="934" t="s">
        <v>640</v>
      </c>
      <c r="C32" s="935"/>
      <c r="D32" s="651">
        <v>1</v>
      </c>
      <c r="E32" s="685">
        <v>1</v>
      </c>
      <c r="F32" s="685">
        <f t="shared" si="1"/>
        <v>0</v>
      </c>
      <c r="G32" s="685">
        <v>0</v>
      </c>
      <c r="H32" s="685">
        <v>0</v>
      </c>
      <c r="I32" s="685">
        <v>0</v>
      </c>
      <c r="J32" s="685">
        <f t="shared" si="6"/>
        <v>0</v>
      </c>
      <c r="K32" s="686"/>
    </row>
    <row r="33" spans="1:11">
      <c r="A33" s="651"/>
      <c r="B33" s="704">
        <v>1</v>
      </c>
      <c r="C33" s="652" t="s">
        <v>641</v>
      </c>
      <c r="D33" s="651">
        <v>1</v>
      </c>
      <c r="E33" s="685">
        <v>3</v>
      </c>
      <c r="F33" s="685">
        <f>E33-D33</f>
        <v>2</v>
      </c>
      <c r="G33" s="685">
        <v>0</v>
      </c>
      <c r="H33" s="685">
        <v>0</v>
      </c>
      <c r="I33" s="685">
        <v>0</v>
      </c>
      <c r="J33" s="685">
        <f t="shared" si="6"/>
        <v>2</v>
      </c>
      <c r="K33" s="687" t="s">
        <v>2760</v>
      </c>
    </row>
    <row r="34" spans="1:11">
      <c r="A34" s="651"/>
      <c r="B34" s="704">
        <v>2</v>
      </c>
      <c r="C34" s="652" t="s">
        <v>773</v>
      </c>
      <c r="D34" s="651">
        <v>1</v>
      </c>
      <c r="E34" s="685">
        <v>2</v>
      </c>
      <c r="F34" s="685">
        <f t="shared" si="1"/>
        <v>1</v>
      </c>
      <c r="G34" s="685">
        <v>0</v>
      </c>
      <c r="H34" s="685">
        <v>0</v>
      </c>
      <c r="I34" s="685">
        <v>0</v>
      </c>
      <c r="J34" s="685">
        <f t="shared" si="6"/>
        <v>1</v>
      </c>
      <c r="K34" s="686" t="s">
        <v>2560</v>
      </c>
    </row>
    <row r="35" spans="1:11">
      <c r="A35" s="651"/>
      <c r="B35" s="704">
        <v>3</v>
      </c>
      <c r="C35" s="652" t="s">
        <v>2423</v>
      </c>
      <c r="D35" s="651">
        <v>1</v>
      </c>
      <c r="E35" s="685">
        <v>1</v>
      </c>
      <c r="F35" s="685">
        <f t="shared" si="1"/>
        <v>0</v>
      </c>
      <c r="G35" s="685">
        <v>0</v>
      </c>
      <c r="H35" s="685">
        <v>0</v>
      </c>
      <c r="I35" s="685">
        <v>0</v>
      </c>
      <c r="J35" s="685">
        <f t="shared" si="6"/>
        <v>0</v>
      </c>
      <c r="K35" s="686"/>
    </row>
    <row r="36" spans="1:11">
      <c r="A36" s="651"/>
      <c r="B36" s="704">
        <v>4</v>
      </c>
      <c r="C36" s="652" t="s">
        <v>638</v>
      </c>
      <c r="D36" s="651">
        <v>1</v>
      </c>
      <c r="E36" s="685">
        <v>1</v>
      </c>
      <c r="F36" s="685">
        <f t="shared" si="1"/>
        <v>0</v>
      </c>
      <c r="G36" s="685">
        <v>0</v>
      </c>
      <c r="H36" s="685">
        <v>0</v>
      </c>
      <c r="I36" s="685">
        <v>0</v>
      </c>
      <c r="J36" s="685">
        <f t="shared" si="6"/>
        <v>0</v>
      </c>
      <c r="K36" s="686"/>
    </row>
    <row r="37" spans="1:11">
      <c r="A37" s="651" t="s">
        <v>565</v>
      </c>
      <c r="B37" s="934" t="s">
        <v>796</v>
      </c>
      <c r="C37" s="935"/>
      <c r="D37" s="651">
        <v>1</v>
      </c>
      <c r="E37" s="685">
        <v>1</v>
      </c>
      <c r="F37" s="685">
        <f t="shared" si="1"/>
        <v>0</v>
      </c>
      <c r="G37" s="685">
        <v>0</v>
      </c>
      <c r="H37" s="685">
        <v>0</v>
      </c>
      <c r="I37" s="685">
        <v>0</v>
      </c>
      <c r="J37" s="685">
        <f t="shared" si="6"/>
        <v>0</v>
      </c>
      <c r="K37" s="686"/>
    </row>
    <row r="38" spans="1:11">
      <c r="A38" s="651"/>
      <c r="B38" s="557">
        <v>1</v>
      </c>
      <c r="C38" s="656" t="s">
        <v>642</v>
      </c>
      <c r="D38" s="651">
        <v>1</v>
      </c>
      <c r="E38" s="685">
        <v>1</v>
      </c>
      <c r="F38" s="685">
        <f t="shared" si="1"/>
        <v>0</v>
      </c>
      <c r="G38" s="685">
        <v>0</v>
      </c>
      <c r="H38" s="685">
        <v>0</v>
      </c>
      <c r="I38" s="685">
        <v>0</v>
      </c>
      <c r="J38" s="685">
        <f t="shared" si="6"/>
        <v>0</v>
      </c>
      <c r="K38" s="686"/>
    </row>
    <row r="39" spans="1:11">
      <c r="A39" s="651"/>
      <c r="B39" s="704">
        <v>2</v>
      </c>
      <c r="C39" s="652" t="s">
        <v>2424</v>
      </c>
      <c r="D39" s="651">
        <v>1</v>
      </c>
      <c r="E39" s="685">
        <v>2</v>
      </c>
      <c r="F39" s="685">
        <f t="shared" si="1"/>
        <v>1</v>
      </c>
      <c r="G39" s="685">
        <v>0</v>
      </c>
      <c r="H39" s="685">
        <v>0</v>
      </c>
      <c r="I39" s="685">
        <v>0</v>
      </c>
      <c r="J39" s="685">
        <f t="shared" si="6"/>
        <v>1</v>
      </c>
      <c r="K39" s="686" t="s">
        <v>2761</v>
      </c>
    </row>
    <row r="40" spans="1:11">
      <c r="A40" s="651"/>
      <c r="B40" s="704">
        <v>3</v>
      </c>
      <c r="C40" s="652" t="s">
        <v>2425</v>
      </c>
      <c r="D40" s="651">
        <v>1</v>
      </c>
      <c r="E40" s="685">
        <v>1</v>
      </c>
      <c r="F40" s="685">
        <f t="shared" si="1"/>
        <v>0</v>
      </c>
      <c r="G40" s="685">
        <v>0</v>
      </c>
      <c r="H40" s="685">
        <v>0</v>
      </c>
      <c r="I40" s="685">
        <v>0</v>
      </c>
      <c r="J40" s="685">
        <f t="shared" si="6"/>
        <v>0</v>
      </c>
      <c r="K40" s="686"/>
    </row>
    <row r="41" spans="1:11">
      <c r="A41" s="651"/>
      <c r="B41" s="862">
        <v>4</v>
      </c>
      <c r="C41" s="863" t="s">
        <v>638</v>
      </c>
      <c r="D41" s="651">
        <v>3</v>
      </c>
      <c r="E41" s="685">
        <v>3</v>
      </c>
      <c r="F41" s="685">
        <f t="shared" si="1"/>
        <v>0</v>
      </c>
      <c r="G41" s="685">
        <v>0</v>
      </c>
      <c r="H41" s="685">
        <v>0</v>
      </c>
      <c r="I41" s="685">
        <v>0</v>
      </c>
      <c r="J41" s="685">
        <f t="shared" ref="J41" si="7">F41+I41</f>
        <v>0</v>
      </c>
      <c r="K41" s="686" t="s">
        <v>2718</v>
      </c>
    </row>
    <row r="42" spans="1:11">
      <c r="A42" s="651" t="s">
        <v>27</v>
      </c>
      <c r="B42" s="701" t="s">
        <v>650</v>
      </c>
      <c r="C42" s="701"/>
      <c r="D42" s="651">
        <v>1</v>
      </c>
      <c r="E42" s="685">
        <v>0</v>
      </c>
      <c r="F42" s="685">
        <f t="shared" si="1"/>
        <v>-1</v>
      </c>
      <c r="G42" s="685">
        <v>0</v>
      </c>
      <c r="H42" s="685">
        <v>0</v>
      </c>
      <c r="I42" s="685">
        <v>0</v>
      </c>
      <c r="J42" s="685">
        <f t="shared" si="6"/>
        <v>-1</v>
      </c>
      <c r="K42" s="686" t="s">
        <v>2762</v>
      </c>
    </row>
    <row r="43" spans="1:11">
      <c r="A43" s="651" t="s">
        <v>131</v>
      </c>
      <c r="B43" s="700" t="s">
        <v>664</v>
      </c>
      <c r="C43" s="701"/>
      <c r="D43" s="706">
        <v>1</v>
      </c>
      <c r="E43" s="685">
        <v>1</v>
      </c>
      <c r="F43" s="685">
        <f t="shared" si="1"/>
        <v>0</v>
      </c>
      <c r="G43" s="685">
        <v>0</v>
      </c>
      <c r="H43" s="685">
        <v>0</v>
      </c>
      <c r="I43" s="685">
        <v>0</v>
      </c>
      <c r="J43" s="685">
        <f t="shared" si="6"/>
        <v>0</v>
      </c>
      <c r="K43" s="686"/>
    </row>
    <row r="44" spans="1:11">
      <c r="A44" s="651"/>
      <c r="B44" s="653" t="s">
        <v>568</v>
      </c>
      <c r="C44" s="652" t="s">
        <v>665</v>
      </c>
      <c r="D44" s="706">
        <v>1</v>
      </c>
      <c r="E44" s="685">
        <v>0</v>
      </c>
      <c r="F44" s="685">
        <f t="shared" si="1"/>
        <v>-1</v>
      </c>
      <c r="G44" s="685">
        <v>0</v>
      </c>
      <c r="H44" s="685">
        <v>0</v>
      </c>
      <c r="I44" s="685">
        <f t="shared" si="1"/>
        <v>0</v>
      </c>
      <c r="J44" s="685">
        <f t="shared" si="6"/>
        <v>-1</v>
      </c>
      <c r="K44" s="686"/>
    </row>
    <row r="45" spans="1:11">
      <c r="A45" s="651"/>
      <c r="B45" s="653" t="s">
        <v>572</v>
      </c>
      <c r="C45" s="652" t="s">
        <v>704</v>
      </c>
      <c r="D45" s="706">
        <v>1</v>
      </c>
      <c r="E45" s="685">
        <v>1</v>
      </c>
      <c r="F45" s="685">
        <f t="shared" si="1"/>
        <v>0</v>
      </c>
      <c r="G45" s="685">
        <v>0</v>
      </c>
      <c r="H45" s="685">
        <v>0</v>
      </c>
      <c r="I45" s="685">
        <v>0</v>
      </c>
      <c r="J45" s="685">
        <f t="shared" si="6"/>
        <v>0</v>
      </c>
      <c r="K45" s="686"/>
    </row>
    <row r="46" spans="1:11">
      <c r="A46" s="651"/>
      <c r="B46" s="653" t="s">
        <v>567</v>
      </c>
      <c r="C46" s="652" t="s">
        <v>797</v>
      </c>
      <c r="D46" s="706">
        <v>1</v>
      </c>
      <c r="E46" s="685">
        <v>1</v>
      </c>
      <c r="F46" s="685">
        <f t="shared" si="1"/>
        <v>0</v>
      </c>
      <c r="G46" s="685">
        <v>0</v>
      </c>
      <c r="H46" s="685">
        <v>0</v>
      </c>
      <c r="I46" s="685">
        <v>0</v>
      </c>
      <c r="J46" s="685">
        <f t="shared" si="6"/>
        <v>0</v>
      </c>
      <c r="K46" s="686"/>
    </row>
    <row r="47" spans="1:11">
      <c r="A47" s="651"/>
      <c r="B47" s="653" t="s">
        <v>573</v>
      </c>
      <c r="C47" s="652" t="s">
        <v>798</v>
      </c>
      <c r="D47" s="706">
        <v>1</v>
      </c>
      <c r="E47" s="685">
        <v>0</v>
      </c>
      <c r="F47" s="685">
        <f t="shared" si="1"/>
        <v>-1</v>
      </c>
      <c r="G47" s="685">
        <v>0</v>
      </c>
      <c r="H47" s="685">
        <v>0</v>
      </c>
      <c r="I47" s="685">
        <v>0</v>
      </c>
      <c r="J47" s="685">
        <f t="shared" si="6"/>
        <v>-1</v>
      </c>
      <c r="K47" s="686" t="s">
        <v>2716</v>
      </c>
    </row>
    <row r="48" spans="1:11">
      <c r="A48" s="651"/>
      <c r="B48" s="653" t="s">
        <v>574</v>
      </c>
      <c r="C48" s="652" t="s">
        <v>637</v>
      </c>
      <c r="D48" s="706">
        <v>1</v>
      </c>
      <c r="E48" s="685">
        <v>1</v>
      </c>
      <c r="F48" s="685">
        <f t="shared" si="1"/>
        <v>0</v>
      </c>
      <c r="G48" s="685">
        <v>0</v>
      </c>
      <c r="H48" s="685">
        <v>0</v>
      </c>
      <c r="I48" s="685">
        <v>0</v>
      </c>
      <c r="J48" s="685">
        <f t="shared" si="6"/>
        <v>0</v>
      </c>
      <c r="K48" s="686"/>
    </row>
    <row r="49" spans="1:11">
      <c r="A49" s="651"/>
      <c r="B49" s="653" t="s">
        <v>581</v>
      </c>
      <c r="C49" s="652" t="s">
        <v>799</v>
      </c>
      <c r="D49" s="706">
        <v>4</v>
      </c>
      <c r="E49" s="685">
        <v>1</v>
      </c>
      <c r="F49" s="685">
        <f t="shared" si="1"/>
        <v>-3</v>
      </c>
      <c r="G49" s="685">
        <v>0</v>
      </c>
      <c r="H49" s="685">
        <v>0</v>
      </c>
      <c r="I49" s="685">
        <v>0</v>
      </c>
      <c r="J49" s="685">
        <f t="shared" si="6"/>
        <v>-3</v>
      </c>
      <c r="K49" s="686"/>
    </row>
    <row r="50" spans="1:11">
      <c r="A50" s="651"/>
      <c r="B50" s="934" t="s">
        <v>570</v>
      </c>
      <c r="C50" s="935"/>
      <c r="D50" s="706">
        <v>2</v>
      </c>
      <c r="E50" s="685">
        <v>1</v>
      </c>
      <c r="F50" s="685">
        <f t="shared" si="1"/>
        <v>-1</v>
      </c>
      <c r="G50" s="685">
        <v>0</v>
      </c>
      <c r="H50" s="685">
        <v>0</v>
      </c>
      <c r="I50" s="685">
        <v>0</v>
      </c>
      <c r="J50" s="685">
        <f t="shared" si="6"/>
        <v>-1</v>
      </c>
      <c r="K50" s="686"/>
    </row>
    <row r="51" spans="1:11">
      <c r="A51" s="651"/>
      <c r="B51" s="653" t="s">
        <v>568</v>
      </c>
      <c r="C51" s="652" t="s">
        <v>571</v>
      </c>
      <c r="D51" s="706">
        <v>20</v>
      </c>
      <c r="E51" s="685">
        <v>15</v>
      </c>
      <c r="F51" s="685">
        <f t="shared" si="1"/>
        <v>-5</v>
      </c>
      <c r="G51" s="685">
        <v>0</v>
      </c>
      <c r="H51" s="685">
        <v>5</v>
      </c>
      <c r="I51" s="685">
        <f>G51+H51</f>
        <v>5</v>
      </c>
      <c r="J51" s="685">
        <f>F51+H51</f>
        <v>0</v>
      </c>
      <c r="K51" s="686"/>
    </row>
    <row r="52" spans="1:11">
      <c r="A52" s="651"/>
      <c r="B52" s="653" t="s">
        <v>572</v>
      </c>
      <c r="C52" s="652" t="s">
        <v>533</v>
      </c>
      <c r="D52" s="706">
        <v>131</v>
      </c>
      <c r="E52" s="685">
        <v>23</v>
      </c>
      <c r="F52" s="685">
        <f t="shared" si="1"/>
        <v>-108</v>
      </c>
      <c r="G52" s="685">
        <v>32</v>
      </c>
      <c r="H52" s="685">
        <v>45</v>
      </c>
      <c r="I52" s="685">
        <f>G52+H52</f>
        <v>77</v>
      </c>
      <c r="J52" s="685">
        <f t="shared" si="6"/>
        <v>-31</v>
      </c>
      <c r="K52" s="686"/>
    </row>
    <row r="53" spans="1:11">
      <c r="A53" s="707"/>
      <c r="B53" s="653" t="s">
        <v>567</v>
      </c>
      <c r="C53" s="652" t="s">
        <v>800</v>
      </c>
      <c r="D53" s="651">
        <v>4</v>
      </c>
      <c r="E53" s="685">
        <v>3</v>
      </c>
      <c r="F53" s="685">
        <f t="shared" si="1"/>
        <v>-1</v>
      </c>
      <c r="G53" s="685">
        <v>0</v>
      </c>
      <c r="H53" s="685">
        <v>0</v>
      </c>
      <c r="I53" s="685">
        <v>0</v>
      </c>
      <c r="J53" s="685">
        <f t="shared" si="6"/>
        <v>-1</v>
      </c>
      <c r="K53" s="686" t="s">
        <v>2561</v>
      </c>
    </row>
    <row r="54" spans="1:11">
      <c r="A54" s="651" t="s">
        <v>120</v>
      </c>
      <c r="B54" s="934" t="s">
        <v>2400</v>
      </c>
      <c r="C54" s="935"/>
      <c r="D54" s="651">
        <v>1</v>
      </c>
      <c r="E54" s="685">
        <v>1</v>
      </c>
      <c r="F54" s="685">
        <f t="shared" si="1"/>
        <v>0</v>
      </c>
      <c r="G54" s="685">
        <v>0</v>
      </c>
      <c r="H54" s="685">
        <v>0</v>
      </c>
      <c r="I54" s="685">
        <v>0</v>
      </c>
      <c r="J54" s="685">
        <f t="shared" si="6"/>
        <v>0</v>
      </c>
      <c r="K54" s="686"/>
    </row>
    <row r="55" spans="1:11">
      <c r="A55" s="651"/>
      <c r="B55" s="653" t="s">
        <v>568</v>
      </c>
      <c r="C55" s="652" t="s">
        <v>801</v>
      </c>
      <c r="D55" s="706">
        <v>1</v>
      </c>
      <c r="E55" s="685">
        <v>1</v>
      </c>
      <c r="F55" s="685">
        <f t="shared" si="1"/>
        <v>0</v>
      </c>
      <c r="G55" s="685">
        <v>0</v>
      </c>
      <c r="H55" s="685">
        <v>0</v>
      </c>
      <c r="I55" s="685">
        <v>0</v>
      </c>
      <c r="J55" s="685">
        <f t="shared" si="6"/>
        <v>0</v>
      </c>
      <c r="K55" s="686"/>
    </row>
    <row r="56" spans="1:11">
      <c r="A56" s="707"/>
      <c r="B56" s="653" t="s">
        <v>572</v>
      </c>
      <c r="C56" s="652" t="s">
        <v>802</v>
      </c>
      <c r="D56" s="651">
        <v>1</v>
      </c>
      <c r="E56" s="685">
        <v>1</v>
      </c>
      <c r="F56" s="685">
        <f t="shared" si="1"/>
        <v>0</v>
      </c>
      <c r="G56" s="685">
        <v>0</v>
      </c>
      <c r="H56" s="685">
        <v>0</v>
      </c>
      <c r="I56" s="685">
        <v>0</v>
      </c>
      <c r="J56" s="685">
        <f t="shared" si="6"/>
        <v>0</v>
      </c>
      <c r="K56" s="686"/>
    </row>
    <row r="57" spans="1:11">
      <c r="A57" s="651"/>
      <c r="B57" s="653" t="s">
        <v>567</v>
      </c>
      <c r="C57" s="652" t="s">
        <v>675</v>
      </c>
      <c r="D57" s="706">
        <v>1</v>
      </c>
      <c r="E57" s="685">
        <v>1</v>
      </c>
      <c r="F57" s="685">
        <f t="shared" si="1"/>
        <v>0</v>
      </c>
      <c r="G57" s="685">
        <v>0</v>
      </c>
      <c r="H57" s="685">
        <v>0</v>
      </c>
      <c r="I57" s="685">
        <v>0</v>
      </c>
      <c r="J57" s="685">
        <f t="shared" si="6"/>
        <v>0</v>
      </c>
      <c r="K57" s="686"/>
    </row>
    <row r="58" spans="1:11">
      <c r="A58" s="707"/>
      <c r="B58" s="653" t="s">
        <v>573</v>
      </c>
      <c r="C58" s="652" t="s">
        <v>638</v>
      </c>
      <c r="D58" s="651">
        <v>1</v>
      </c>
      <c r="E58" s="685">
        <v>1</v>
      </c>
      <c r="F58" s="685">
        <f t="shared" si="1"/>
        <v>0</v>
      </c>
      <c r="G58" s="685">
        <v>0</v>
      </c>
      <c r="H58" s="685">
        <v>0</v>
      </c>
      <c r="I58" s="685">
        <v>0</v>
      </c>
      <c r="J58" s="685">
        <f t="shared" si="6"/>
        <v>0</v>
      </c>
      <c r="K58" s="686"/>
    </row>
    <row r="59" spans="1:11">
      <c r="A59" s="707"/>
      <c r="B59" s="653" t="s">
        <v>574</v>
      </c>
      <c r="C59" s="652" t="s">
        <v>575</v>
      </c>
      <c r="D59" s="651">
        <v>5</v>
      </c>
      <c r="E59" s="685">
        <v>5</v>
      </c>
      <c r="F59" s="685">
        <f t="shared" si="1"/>
        <v>0</v>
      </c>
      <c r="G59" s="685">
        <v>0</v>
      </c>
      <c r="H59" s="685">
        <v>0</v>
      </c>
      <c r="I59" s="685">
        <v>0</v>
      </c>
      <c r="J59" s="685">
        <f t="shared" si="6"/>
        <v>0</v>
      </c>
      <c r="K59" s="686"/>
    </row>
    <row r="60" spans="1:11">
      <c r="A60" s="707"/>
      <c r="B60" s="653" t="s">
        <v>581</v>
      </c>
      <c r="C60" s="652" t="s">
        <v>576</v>
      </c>
      <c r="D60" s="651">
        <v>20</v>
      </c>
      <c r="E60" s="685">
        <v>11</v>
      </c>
      <c r="F60" s="685">
        <f t="shared" si="1"/>
        <v>-9</v>
      </c>
      <c r="G60" s="685">
        <v>0</v>
      </c>
      <c r="H60" s="685">
        <v>0</v>
      </c>
      <c r="I60" s="685">
        <v>0</v>
      </c>
      <c r="J60" s="685">
        <f t="shared" si="6"/>
        <v>-9</v>
      </c>
      <c r="K60" s="686"/>
    </row>
    <row r="61" spans="1:11">
      <c r="A61" s="707"/>
      <c r="B61" s="653" t="s">
        <v>693</v>
      </c>
      <c r="C61" s="652" t="s">
        <v>532</v>
      </c>
      <c r="D61" s="651">
        <v>5</v>
      </c>
      <c r="E61" s="685">
        <v>0</v>
      </c>
      <c r="F61" s="685">
        <f t="shared" si="1"/>
        <v>-5</v>
      </c>
      <c r="G61" s="685">
        <v>5</v>
      </c>
      <c r="H61" s="685">
        <v>0</v>
      </c>
      <c r="I61" s="685">
        <v>5</v>
      </c>
      <c r="J61" s="685">
        <f t="shared" si="6"/>
        <v>0</v>
      </c>
      <c r="K61" s="686"/>
    </row>
    <row r="62" spans="1:11">
      <c r="A62" s="707"/>
      <c r="B62" s="653" t="s">
        <v>694</v>
      </c>
      <c r="C62" s="652" t="s">
        <v>577</v>
      </c>
      <c r="D62" s="651">
        <v>5</v>
      </c>
      <c r="E62" s="685">
        <v>5</v>
      </c>
      <c r="F62" s="685">
        <f t="shared" si="1"/>
        <v>0</v>
      </c>
      <c r="G62" s="685">
        <v>0</v>
      </c>
      <c r="H62" s="685">
        <v>0</v>
      </c>
      <c r="I62" s="685">
        <v>0</v>
      </c>
      <c r="J62" s="685">
        <f t="shared" si="6"/>
        <v>0</v>
      </c>
      <c r="K62" s="686" t="s">
        <v>2723</v>
      </c>
    </row>
    <row r="63" spans="1:11">
      <c r="A63" s="707"/>
      <c r="B63" s="653" t="s">
        <v>695</v>
      </c>
      <c r="C63" s="652" t="s">
        <v>578</v>
      </c>
      <c r="D63" s="651">
        <v>5</v>
      </c>
      <c r="E63" s="685">
        <v>0</v>
      </c>
      <c r="F63" s="685">
        <f t="shared" si="1"/>
        <v>-5</v>
      </c>
      <c r="G63" s="685">
        <v>5</v>
      </c>
      <c r="H63" s="685">
        <v>0</v>
      </c>
      <c r="I63" s="685">
        <v>5</v>
      </c>
      <c r="J63" s="685">
        <f t="shared" si="6"/>
        <v>0</v>
      </c>
      <c r="K63" s="686"/>
    </row>
    <row r="64" spans="1:11">
      <c r="A64" s="651" t="s">
        <v>565</v>
      </c>
      <c r="B64" s="934" t="s">
        <v>661</v>
      </c>
      <c r="C64" s="935"/>
      <c r="D64" s="651">
        <v>1</v>
      </c>
      <c r="E64" s="685">
        <v>1</v>
      </c>
      <c r="F64" s="685">
        <f t="shared" si="1"/>
        <v>0</v>
      </c>
      <c r="G64" s="685">
        <v>0</v>
      </c>
      <c r="H64" s="685">
        <v>0</v>
      </c>
      <c r="I64" s="685">
        <v>0</v>
      </c>
      <c r="J64" s="685">
        <f t="shared" si="6"/>
        <v>0</v>
      </c>
      <c r="K64" s="686"/>
    </row>
    <row r="65" spans="1:11">
      <c r="A65" s="707"/>
      <c r="B65" s="653" t="s">
        <v>568</v>
      </c>
      <c r="C65" s="652" t="s">
        <v>707</v>
      </c>
      <c r="D65" s="651">
        <v>1</v>
      </c>
      <c r="E65" s="685">
        <v>1</v>
      </c>
      <c r="F65" s="685">
        <f t="shared" si="1"/>
        <v>0</v>
      </c>
      <c r="G65" s="685">
        <v>0</v>
      </c>
      <c r="H65" s="685">
        <v>0</v>
      </c>
      <c r="I65" s="685">
        <v>0</v>
      </c>
      <c r="J65" s="685">
        <f t="shared" si="6"/>
        <v>0</v>
      </c>
      <c r="K65" s="686"/>
    </row>
    <row r="66" spans="1:11">
      <c r="A66" s="707"/>
      <c r="B66" s="653" t="s">
        <v>572</v>
      </c>
      <c r="C66" s="652" t="s">
        <v>803</v>
      </c>
      <c r="D66" s="651">
        <v>1</v>
      </c>
      <c r="E66" s="685">
        <v>0</v>
      </c>
      <c r="F66" s="685">
        <f t="shared" si="1"/>
        <v>-1</v>
      </c>
      <c r="G66" s="685">
        <v>0</v>
      </c>
      <c r="H66" s="685">
        <v>0</v>
      </c>
      <c r="I66" s="685">
        <v>0</v>
      </c>
      <c r="J66" s="685">
        <f t="shared" si="6"/>
        <v>-1</v>
      </c>
      <c r="K66" s="686" t="s">
        <v>2717</v>
      </c>
    </row>
    <row r="67" spans="1:11">
      <c r="A67" s="707"/>
      <c r="B67" s="653" t="s">
        <v>567</v>
      </c>
      <c r="C67" s="652" t="s">
        <v>638</v>
      </c>
      <c r="D67" s="651">
        <v>1</v>
      </c>
      <c r="E67" s="685">
        <v>1</v>
      </c>
      <c r="F67" s="685">
        <f t="shared" si="1"/>
        <v>0</v>
      </c>
      <c r="G67" s="685">
        <v>0</v>
      </c>
      <c r="H67" s="685">
        <v>0</v>
      </c>
      <c r="I67" s="685">
        <v>0</v>
      </c>
      <c r="J67" s="685">
        <f t="shared" si="6"/>
        <v>0</v>
      </c>
      <c r="K67" s="686"/>
    </row>
    <row r="68" spans="1:11">
      <c r="A68" s="651" t="s">
        <v>566</v>
      </c>
      <c r="B68" s="934" t="s">
        <v>651</v>
      </c>
      <c r="C68" s="935"/>
      <c r="D68" s="651">
        <v>1</v>
      </c>
      <c r="E68" s="685">
        <v>0</v>
      </c>
      <c r="F68" s="685">
        <f t="shared" si="1"/>
        <v>-1</v>
      </c>
      <c r="G68" s="685">
        <v>0</v>
      </c>
      <c r="H68" s="685">
        <v>0</v>
      </c>
      <c r="I68" s="685">
        <v>0</v>
      </c>
      <c r="J68" s="685">
        <f t="shared" si="6"/>
        <v>-1</v>
      </c>
      <c r="K68" s="686"/>
    </row>
    <row r="69" spans="1:11">
      <c r="A69" s="707"/>
      <c r="B69" s="653" t="s">
        <v>568</v>
      </c>
      <c r="C69" s="652" t="s">
        <v>2490</v>
      </c>
      <c r="D69" s="651">
        <v>0</v>
      </c>
      <c r="E69" s="685">
        <v>1</v>
      </c>
      <c r="F69" s="685">
        <f t="shared" si="1"/>
        <v>1</v>
      </c>
      <c r="G69" s="685">
        <v>0</v>
      </c>
      <c r="H69" s="685">
        <v>0</v>
      </c>
      <c r="I69" s="685">
        <v>0</v>
      </c>
      <c r="J69" s="685">
        <f t="shared" si="6"/>
        <v>1</v>
      </c>
      <c r="K69" s="686" t="s">
        <v>2562</v>
      </c>
    </row>
    <row r="70" spans="1:11">
      <c r="A70" s="707"/>
      <c r="B70" s="653" t="s">
        <v>572</v>
      </c>
      <c r="C70" s="652" t="s">
        <v>653</v>
      </c>
      <c r="D70" s="651">
        <v>1</v>
      </c>
      <c r="E70" s="685">
        <v>1</v>
      </c>
      <c r="F70" s="685">
        <f t="shared" ref="F70:F74" si="8">E70-D70</f>
        <v>0</v>
      </c>
      <c r="G70" s="685">
        <v>0</v>
      </c>
      <c r="H70" s="685">
        <v>0</v>
      </c>
      <c r="I70" s="685">
        <v>0</v>
      </c>
      <c r="J70" s="685">
        <f t="shared" ref="J70:J74" si="9">F70+I70</f>
        <v>0</v>
      </c>
      <c r="K70" s="686"/>
    </row>
    <row r="71" spans="1:11">
      <c r="A71" s="707"/>
      <c r="B71" s="653" t="s">
        <v>567</v>
      </c>
      <c r="C71" s="652" t="s">
        <v>804</v>
      </c>
      <c r="D71" s="651">
        <v>1</v>
      </c>
      <c r="E71" s="685">
        <v>1</v>
      </c>
      <c r="F71" s="685">
        <f t="shared" si="8"/>
        <v>0</v>
      </c>
      <c r="G71" s="685">
        <v>0</v>
      </c>
      <c r="H71" s="685">
        <v>0</v>
      </c>
      <c r="I71" s="685">
        <v>0</v>
      </c>
      <c r="J71" s="685">
        <f t="shared" si="9"/>
        <v>0</v>
      </c>
      <c r="K71" s="686"/>
    </row>
    <row r="72" spans="1:11">
      <c r="A72" s="707"/>
      <c r="B72" s="653" t="s">
        <v>573</v>
      </c>
      <c r="C72" s="652" t="s">
        <v>805</v>
      </c>
      <c r="D72" s="651">
        <v>2</v>
      </c>
      <c r="E72" s="685">
        <v>2</v>
      </c>
      <c r="F72" s="685">
        <f t="shared" si="8"/>
        <v>0</v>
      </c>
      <c r="G72" s="685">
        <v>0</v>
      </c>
      <c r="H72" s="685">
        <v>0</v>
      </c>
      <c r="I72" s="685">
        <v>0</v>
      </c>
      <c r="J72" s="685">
        <f t="shared" si="9"/>
        <v>0</v>
      </c>
      <c r="K72" s="686"/>
    </row>
    <row r="73" spans="1:11">
      <c r="A73" s="707"/>
      <c r="B73" s="653" t="s">
        <v>574</v>
      </c>
      <c r="C73" s="652" t="s">
        <v>638</v>
      </c>
      <c r="D73" s="651">
        <v>1</v>
      </c>
      <c r="E73" s="685">
        <v>0</v>
      </c>
      <c r="F73" s="685">
        <f t="shared" si="8"/>
        <v>-1</v>
      </c>
      <c r="G73" s="685">
        <v>0</v>
      </c>
      <c r="H73" s="685">
        <v>0</v>
      </c>
      <c r="I73" s="685">
        <v>0</v>
      </c>
      <c r="J73" s="685">
        <f t="shared" si="9"/>
        <v>-1</v>
      </c>
      <c r="K73" s="686"/>
    </row>
    <row r="74" spans="1:11">
      <c r="A74" s="707"/>
      <c r="B74" s="653" t="s">
        <v>581</v>
      </c>
      <c r="C74" s="652" t="s">
        <v>580</v>
      </c>
      <c r="D74" s="651">
        <v>0</v>
      </c>
      <c r="E74" s="685">
        <v>0</v>
      </c>
      <c r="F74" s="685">
        <f t="shared" si="8"/>
        <v>0</v>
      </c>
      <c r="G74" s="685">
        <v>0</v>
      </c>
      <c r="H74" s="685">
        <v>0</v>
      </c>
      <c r="I74" s="685">
        <v>0</v>
      </c>
      <c r="J74" s="685">
        <f t="shared" si="9"/>
        <v>0</v>
      </c>
      <c r="K74" s="686"/>
    </row>
    <row r="75" spans="1:11">
      <c r="A75" s="707"/>
      <c r="B75" s="653" t="s">
        <v>693</v>
      </c>
      <c r="C75" s="652" t="s">
        <v>582</v>
      </c>
      <c r="D75" s="651">
        <v>0</v>
      </c>
      <c r="E75" s="685">
        <v>0</v>
      </c>
      <c r="F75" s="685">
        <f t="shared" si="1"/>
        <v>0</v>
      </c>
      <c r="G75" s="685">
        <v>0</v>
      </c>
      <c r="H75" s="685">
        <v>0</v>
      </c>
      <c r="I75" s="685">
        <v>0</v>
      </c>
      <c r="J75" s="685">
        <f t="shared" si="6"/>
        <v>0</v>
      </c>
      <c r="K75" s="686"/>
    </row>
    <row r="76" spans="1:11">
      <c r="A76" s="708"/>
      <c r="B76" s="709"/>
      <c r="C76" s="710" t="s">
        <v>583</v>
      </c>
      <c r="D76" s="711">
        <f t="shared" ref="D76:J76" si="10">SUM(D9:D75)</f>
        <v>257</v>
      </c>
      <c r="E76" s="711">
        <f t="shared" si="10"/>
        <v>119</v>
      </c>
      <c r="F76" s="711">
        <f t="shared" si="10"/>
        <v>-138</v>
      </c>
      <c r="G76" s="711">
        <f t="shared" si="10"/>
        <v>42</v>
      </c>
      <c r="H76" s="711">
        <f t="shared" si="10"/>
        <v>50</v>
      </c>
      <c r="I76" s="711">
        <f t="shared" si="10"/>
        <v>92</v>
      </c>
      <c r="J76" s="711">
        <f t="shared" si="10"/>
        <v>-46</v>
      </c>
      <c r="K76" s="688"/>
    </row>
    <row r="77" spans="1:11">
      <c r="A77" s="697" t="s">
        <v>2559</v>
      </c>
      <c r="B77" s="697"/>
      <c r="C77" s="697"/>
      <c r="D77" s="651"/>
      <c r="E77" s="651"/>
      <c r="F77" s="685"/>
      <c r="G77" s="685"/>
      <c r="H77" s="685"/>
      <c r="I77" s="685"/>
      <c r="J77" s="685"/>
      <c r="K77" s="686"/>
    </row>
    <row r="78" spans="1:11">
      <c r="A78" s="651"/>
      <c r="B78" s="653">
        <v>1</v>
      </c>
      <c r="C78" s="656" t="s">
        <v>579</v>
      </c>
      <c r="D78" s="654">
        <v>0</v>
      </c>
      <c r="E78" s="654">
        <v>0</v>
      </c>
      <c r="F78" s="685">
        <f t="shared" ref="F78:F81" si="11">E78-D78</f>
        <v>0</v>
      </c>
      <c r="G78" s="685">
        <v>29</v>
      </c>
      <c r="H78" s="685">
        <v>0</v>
      </c>
      <c r="I78" s="685">
        <v>0</v>
      </c>
      <c r="J78" s="685">
        <f t="shared" ref="J78:J81" si="12">F78+I78</f>
        <v>0</v>
      </c>
      <c r="K78" s="686"/>
    </row>
    <row r="79" spans="1:11">
      <c r="A79" s="651"/>
      <c r="B79" s="653">
        <v>2</v>
      </c>
      <c r="C79" s="656" t="s">
        <v>608</v>
      </c>
      <c r="D79" s="657">
        <v>0</v>
      </c>
      <c r="E79" s="657">
        <v>0</v>
      </c>
      <c r="F79" s="685">
        <f t="shared" si="11"/>
        <v>0</v>
      </c>
      <c r="G79" s="685">
        <v>2</v>
      </c>
      <c r="H79" s="685">
        <v>0</v>
      </c>
      <c r="I79" s="685">
        <v>0</v>
      </c>
      <c r="J79" s="685">
        <f t="shared" si="12"/>
        <v>0</v>
      </c>
      <c r="K79" s="686"/>
    </row>
    <row r="80" spans="1:11">
      <c r="A80" s="651"/>
      <c r="B80" s="653">
        <v>3</v>
      </c>
      <c r="C80" s="656" t="s">
        <v>2426</v>
      </c>
      <c r="D80" s="657">
        <v>0</v>
      </c>
      <c r="E80" s="657">
        <v>0</v>
      </c>
      <c r="F80" s="685">
        <f t="shared" si="11"/>
        <v>0</v>
      </c>
      <c r="G80" s="685">
        <v>3</v>
      </c>
      <c r="H80" s="685">
        <v>0</v>
      </c>
      <c r="I80" s="685">
        <v>0</v>
      </c>
      <c r="J80" s="685">
        <f t="shared" si="12"/>
        <v>0</v>
      </c>
      <c r="K80" s="686"/>
    </row>
    <row r="81" spans="1:11">
      <c r="A81" s="311"/>
      <c r="B81" s="655">
        <v>4</v>
      </c>
      <c r="C81" s="242" t="s">
        <v>2391</v>
      </c>
      <c r="D81" s="312">
        <v>0</v>
      </c>
      <c r="E81" s="312">
        <v>0</v>
      </c>
      <c r="F81" s="685">
        <f t="shared" si="11"/>
        <v>0</v>
      </c>
      <c r="G81" s="685">
        <v>1</v>
      </c>
      <c r="H81" s="685">
        <v>0</v>
      </c>
      <c r="I81" s="685">
        <v>0</v>
      </c>
      <c r="J81" s="685">
        <f t="shared" si="12"/>
        <v>0</v>
      </c>
      <c r="K81" s="686"/>
    </row>
    <row r="82" spans="1:11">
      <c r="A82" s="712"/>
      <c r="B82" s="713"/>
      <c r="C82" s="344" t="s">
        <v>583</v>
      </c>
      <c r="D82" s="714">
        <f>SUM(D78:D81)</f>
        <v>0</v>
      </c>
      <c r="E82" s="714">
        <f t="shared" ref="E82:J82" si="13">SUM(E78:E81)</f>
        <v>0</v>
      </c>
      <c r="F82" s="714">
        <f t="shared" si="13"/>
        <v>0</v>
      </c>
      <c r="G82" s="714">
        <f t="shared" si="13"/>
        <v>35</v>
      </c>
      <c r="H82" s="714">
        <f t="shared" si="13"/>
        <v>0</v>
      </c>
      <c r="I82" s="714">
        <f t="shared" si="13"/>
        <v>0</v>
      </c>
      <c r="J82" s="714">
        <f t="shared" si="13"/>
        <v>0</v>
      </c>
      <c r="K82" s="688"/>
    </row>
    <row r="84" spans="1:11">
      <c r="B84" s="1"/>
      <c r="H84" s="9"/>
      <c r="I84" s="696" t="s">
        <v>2727</v>
      </c>
      <c r="J84" s="9"/>
    </row>
    <row r="85" spans="1:11">
      <c r="B85" s="1"/>
      <c r="C85" s="696" t="s">
        <v>512</v>
      </c>
      <c r="H85" s="9"/>
      <c r="I85" s="696"/>
      <c r="J85" s="696"/>
      <c r="K85" s="1"/>
    </row>
    <row r="86" spans="1:11">
      <c r="B86" s="1"/>
      <c r="C86" s="696" t="s">
        <v>676</v>
      </c>
      <c r="H86" s="9" t="s">
        <v>2507</v>
      </c>
      <c r="I86" s="696"/>
      <c r="J86" s="696"/>
      <c r="K86" s="1"/>
    </row>
    <row r="87" spans="1:11">
      <c r="B87" s="1"/>
      <c r="C87" s="696"/>
      <c r="H87" s="9"/>
      <c r="I87" s="696"/>
      <c r="J87" s="696"/>
      <c r="K87" s="1"/>
    </row>
    <row r="88" spans="1:11">
      <c r="B88" s="1"/>
      <c r="C88" s="696"/>
      <c r="H88" s="9"/>
      <c r="I88" s="696"/>
      <c r="J88" s="696"/>
      <c r="K88" s="1"/>
    </row>
    <row r="89" spans="1:11">
      <c r="B89" s="452"/>
      <c r="C89" s="696"/>
      <c r="H89" s="9"/>
      <c r="I89" s="696"/>
      <c r="J89" s="696"/>
      <c r="K89" s="1"/>
    </row>
    <row r="90" spans="1:11">
      <c r="B90" s="1"/>
      <c r="C90" s="695" t="s">
        <v>2434</v>
      </c>
      <c r="H90" s="936" t="s">
        <v>2435</v>
      </c>
      <c r="I90" s="936"/>
      <c r="J90" s="936"/>
      <c r="K90" s="1"/>
    </row>
    <row r="91" spans="1:11">
      <c r="C91" s="696" t="s">
        <v>2437</v>
      </c>
      <c r="H91" s="944" t="s">
        <v>2468</v>
      </c>
      <c r="I91" s="944"/>
      <c r="J91" s="944"/>
      <c r="K91" s="452"/>
    </row>
    <row r="92" spans="1:11">
      <c r="H92" s="9"/>
      <c r="I92" s="9"/>
      <c r="J92" s="696"/>
      <c r="K92" s="1"/>
    </row>
  </sheetData>
  <mergeCells count="20">
    <mergeCell ref="B54:C54"/>
    <mergeCell ref="B64:C64"/>
    <mergeCell ref="B68:C68"/>
    <mergeCell ref="H90:J90"/>
    <mergeCell ref="H91:J91"/>
    <mergeCell ref="B50:C50"/>
    <mergeCell ref="A1:K1"/>
    <mergeCell ref="A2:K2"/>
    <mergeCell ref="A3:K3"/>
    <mergeCell ref="A6:A7"/>
    <mergeCell ref="C6:C7"/>
    <mergeCell ref="D6:F6"/>
    <mergeCell ref="G6:I6"/>
    <mergeCell ref="J6:J7"/>
    <mergeCell ref="K6:K7"/>
    <mergeCell ref="B16:C16"/>
    <mergeCell ref="B20:C20"/>
    <mergeCell ref="B21:C21"/>
    <mergeCell ref="B32:C32"/>
    <mergeCell ref="B37:C37"/>
  </mergeCells>
  <pageMargins left="0.95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view="pageBreakPreview" topLeftCell="A22" zoomScale="130" zoomScaleNormal="115" zoomScaleSheetLayoutView="130" workbookViewId="0">
      <selection activeCell="G36" sqref="G36"/>
    </sheetView>
  </sheetViews>
  <sheetFormatPr defaultRowHeight="14.25"/>
  <cols>
    <col min="1" max="1" width="5.28515625" style="41" customWidth="1"/>
    <col min="2" max="2" width="2.42578125" style="41" customWidth="1"/>
    <col min="3" max="3" width="15.140625" style="41" customWidth="1"/>
    <col min="4" max="4" width="8.5703125" style="41" customWidth="1"/>
    <col min="5" max="17" width="5.7109375" style="41" customWidth="1"/>
    <col min="18" max="18" width="8.28515625" style="41" customWidth="1"/>
    <col min="19" max="19" width="8" style="41" customWidth="1"/>
    <col min="20" max="254" width="9.140625" style="41"/>
    <col min="255" max="255" width="5.28515625" style="41" customWidth="1"/>
    <col min="256" max="256" width="2.42578125" style="41" customWidth="1"/>
    <col min="257" max="257" width="15.140625" style="41" customWidth="1"/>
    <col min="258" max="258" width="8.5703125" style="41" customWidth="1"/>
    <col min="259" max="260" width="7.7109375" style="41" customWidth="1"/>
    <col min="261" max="261" width="8.7109375" style="41" customWidth="1"/>
    <col min="262" max="262" width="7.42578125" style="41" customWidth="1"/>
    <col min="263" max="266" width="7.7109375" style="41" customWidth="1"/>
    <col min="267" max="268" width="8.7109375" style="41" customWidth="1"/>
    <col min="269" max="271" width="7.7109375" style="41" customWidth="1"/>
    <col min="272" max="272" width="8.28515625" style="41" customWidth="1"/>
    <col min="273" max="273" width="8" style="41" customWidth="1"/>
    <col min="274" max="274" width="7.7109375" style="41" customWidth="1"/>
    <col min="275" max="510" width="9.140625" style="41"/>
    <col min="511" max="511" width="5.28515625" style="41" customWidth="1"/>
    <col min="512" max="512" width="2.42578125" style="41" customWidth="1"/>
    <col min="513" max="513" width="15.140625" style="41" customWidth="1"/>
    <col min="514" max="514" width="8.5703125" style="41" customWidth="1"/>
    <col min="515" max="516" width="7.7109375" style="41" customWidth="1"/>
    <col min="517" max="517" width="8.7109375" style="41" customWidth="1"/>
    <col min="518" max="518" width="7.42578125" style="41" customWidth="1"/>
    <col min="519" max="522" width="7.7109375" style="41" customWidth="1"/>
    <col min="523" max="524" width="8.7109375" style="41" customWidth="1"/>
    <col min="525" max="527" width="7.7109375" style="41" customWidth="1"/>
    <col min="528" max="528" width="8.28515625" style="41" customWidth="1"/>
    <col min="529" max="529" width="8" style="41" customWidth="1"/>
    <col min="530" max="530" width="7.7109375" style="41" customWidth="1"/>
    <col min="531" max="766" width="9.140625" style="41"/>
    <col min="767" max="767" width="5.28515625" style="41" customWidth="1"/>
    <col min="768" max="768" width="2.42578125" style="41" customWidth="1"/>
    <col min="769" max="769" width="15.140625" style="41" customWidth="1"/>
    <col min="770" max="770" width="8.5703125" style="41" customWidth="1"/>
    <col min="771" max="772" width="7.7109375" style="41" customWidth="1"/>
    <col min="773" max="773" width="8.7109375" style="41" customWidth="1"/>
    <col min="774" max="774" width="7.42578125" style="41" customWidth="1"/>
    <col min="775" max="778" width="7.7109375" style="41" customWidth="1"/>
    <col min="779" max="780" width="8.7109375" style="41" customWidth="1"/>
    <col min="781" max="783" width="7.7109375" style="41" customWidth="1"/>
    <col min="784" max="784" width="8.28515625" style="41" customWidth="1"/>
    <col min="785" max="785" width="8" style="41" customWidth="1"/>
    <col min="786" max="786" width="7.7109375" style="41" customWidth="1"/>
    <col min="787" max="1022" width="9.140625" style="41"/>
    <col min="1023" max="1023" width="5.28515625" style="41" customWidth="1"/>
    <col min="1024" max="1024" width="2.42578125" style="41" customWidth="1"/>
    <col min="1025" max="1025" width="15.140625" style="41" customWidth="1"/>
    <col min="1026" max="1026" width="8.5703125" style="41" customWidth="1"/>
    <col min="1027" max="1028" width="7.7109375" style="41" customWidth="1"/>
    <col min="1029" max="1029" width="8.7109375" style="41" customWidth="1"/>
    <col min="1030" max="1030" width="7.42578125" style="41" customWidth="1"/>
    <col min="1031" max="1034" width="7.7109375" style="41" customWidth="1"/>
    <col min="1035" max="1036" width="8.7109375" style="41" customWidth="1"/>
    <col min="1037" max="1039" width="7.7109375" style="41" customWidth="1"/>
    <col min="1040" max="1040" width="8.28515625" style="41" customWidth="1"/>
    <col min="1041" max="1041" width="8" style="41" customWidth="1"/>
    <col min="1042" max="1042" width="7.7109375" style="41" customWidth="1"/>
    <col min="1043" max="1278" width="9.140625" style="41"/>
    <col min="1279" max="1279" width="5.28515625" style="41" customWidth="1"/>
    <col min="1280" max="1280" width="2.42578125" style="41" customWidth="1"/>
    <col min="1281" max="1281" width="15.140625" style="41" customWidth="1"/>
    <col min="1282" max="1282" width="8.5703125" style="41" customWidth="1"/>
    <col min="1283" max="1284" width="7.7109375" style="41" customWidth="1"/>
    <col min="1285" max="1285" width="8.7109375" style="41" customWidth="1"/>
    <col min="1286" max="1286" width="7.42578125" style="41" customWidth="1"/>
    <col min="1287" max="1290" width="7.7109375" style="41" customWidth="1"/>
    <col min="1291" max="1292" width="8.7109375" style="41" customWidth="1"/>
    <col min="1293" max="1295" width="7.7109375" style="41" customWidth="1"/>
    <col min="1296" max="1296" width="8.28515625" style="41" customWidth="1"/>
    <col min="1297" max="1297" width="8" style="41" customWidth="1"/>
    <col min="1298" max="1298" width="7.7109375" style="41" customWidth="1"/>
    <col min="1299" max="1534" width="9.140625" style="41"/>
    <col min="1535" max="1535" width="5.28515625" style="41" customWidth="1"/>
    <col min="1536" max="1536" width="2.42578125" style="41" customWidth="1"/>
    <col min="1537" max="1537" width="15.140625" style="41" customWidth="1"/>
    <col min="1538" max="1538" width="8.5703125" style="41" customWidth="1"/>
    <col min="1539" max="1540" width="7.7109375" style="41" customWidth="1"/>
    <col min="1541" max="1541" width="8.7109375" style="41" customWidth="1"/>
    <col min="1542" max="1542" width="7.42578125" style="41" customWidth="1"/>
    <col min="1543" max="1546" width="7.7109375" style="41" customWidth="1"/>
    <col min="1547" max="1548" width="8.7109375" style="41" customWidth="1"/>
    <col min="1549" max="1551" width="7.7109375" style="41" customWidth="1"/>
    <col min="1552" max="1552" width="8.28515625" style="41" customWidth="1"/>
    <col min="1553" max="1553" width="8" style="41" customWidth="1"/>
    <col min="1554" max="1554" width="7.7109375" style="41" customWidth="1"/>
    <col min="1555" max="1790" width="9.140625" style="41"/>
    <col min="1791" max="1791" width="5.28515625" style="41" customWidth="1"/>
    <col min="1792" max="1792" width="2.42578125" style="41" customWidth="1"/>
    <col min="1793" max="1793" width="15.140625" style="41" customWidth="1"/>
    <col min="1794" max="1794" width="8.5703125" style="41" customWidth="1"/>
    <col min="1795" max="1796" width="7.7109375" style="41" customWidth="1"/>
    <col min="1797" max="1797" width="8.7109375" style="41" customWidth="1"/>
    <col min="1798" max="1798" width="7.42578125" style="41" customWidth="1"/>
    <col min="1799" max="1802" width="7.7109375" style="41" customWidth="1"/>
    <col min="1803" max="1804" width="8.7109375" style="41" customWidth="1"/>
    <col min="1805" max="1807" width="7.7109375" style="41" customWidth="1"/>
    <col min="1808" max="1808" width="8.28515625" style="41" customWidth="1"/>
    <col min="1809" max="1809" width="8" style="41" customWidth="1"/>
    <col min="1810" max="1810" width="7.7109375" style="41" customWidth="1"/>
    <col min="1811" max="2046" width="9.140625" style="41"/>
    <col min="2047" max="2047" width="5.28515625" style="41" customWidth="1"/>
    <col min="2048" max="2048" width="2.42578125" style="41" customWidth="1"/>
    <col min="2049" max="2049" width="15.140625" style="41" customWidth="1"/>
    <col min="2050" max="2050" width="8.5703125" style="41" customWidth="1"/>
    <col min="2051" max="2052" width="7.7109375" style="41" customWidth="1"/>
    <col min="2053" max="2053" width="8.7109375" style="41" customWidth="1"/>
    <col min="2054" max="2054" width="7.42578125" style="41" customWidth="1"/>
    <col min="2055" max="2058" width="7.7109375" style="41" customWidth="1"/>
    <col min="2059" max="2060" width="8.7109375" style="41" customWidth="1"/>
    <col min="2061" max="2063" width="7.7109375" style="41" customWidth="1"/>
    <col min="2064" max="2064" width="8.28515625" style="41" customWidth="1"/>
    <col min="2065" max="2065" width="8" style="41" customWidth="1"/>
    <col min="2066" max="2066" width="7.7109375" style="41" customWidth="1"/>
    <col min="2067" max="2302" width="9.140625" style="41"/>
    <col min="2303" max="2303" width="5.28515625" style="41" customWidth="1"/>
    <col min="2304" max="2304" width="2.42578125" style="41" customWidth="1"/>
    <col min="2305" max="2305" width="15.140625" style="41" customWidth="1"/>
    <col min="2306" max="2306" width="8.5703125" style="41" customWidth="1"/>
    <col min="2307" max="2308" width="7.7109375" style="41" customWidth="1"/>
    <col min="2309" max="2309" width="8.7109375" style="41" customWidth="1"/>
    <col min="2310" max="2310" width="7.42578125" style="41" customWidth="1"/>
    <col min="2311" max="2314" width="7.7109375" style="41" customWidth="1"/>
    <col min="2315" max="2316" width="8.7109375" style="41" customWidth="1"/>
    <col min="2317" max="2319" width="7.7109375" style="41" customWidth="1"/>
    <col min="2320" max="2320" width="8.28515625" style="41" customWidth="1"/>
    <col min="2321" max="2321" width="8" style="41" customWidth="1"/>
    <col min="2322" max="2322" width="7.7109375" style="41" customWidth="1"/>
    <col min="2323" max="2558" width="9.140625" style="41"/>
    <col min="2559" max="2559" width="5.28515625" style="41" customWidth="1"/>
    <col min="2560" max="2560" width="2.42578125" style="41" customWidth="1"/>
    <col min="2561" max="2561" width="15.140625" style="41" customWidth="1"/>
    <col min="2562" max="2562" width="8.5703125" style="41" customWidth="1"/>
    <col min="2563" max="2564" width="7.7109375" style="41" customWidth="1"/>
    <col min="2565" max="2565" width="8.7109375" style="41" customWidth="1"/>
    <col min="2566" max="2566" width="7.42578125" style="41" customWidth="1"/>
    <col min="2567" max="2570" width="7.7109375" style="41" customWidth="1"/>
    <col min="2571" max="2572" width="8.7109375" style="41" customWidth="1"/>
    <col min="2573" max="2575" width="7.7109375" style="41" customWidth="1"/>
    <col min="2576" max="2576" width="8.28515625" style="41" customWidth="1"/>
    <col min="2577" max="2577" width="8" style="41" customWidth="1"/>
    <col min="2578" max="2578" width="7.7109375" style="41" customWidth="1"/>
    <col min="2579" max="2814" width="9.140625" style="41"/>
    <col min="2815" max="2815" width="5.28515625" style="41" customWidth="1"/>
    <col min="2816" max="2816" width="2.42578125" style="41" customWidth="1"/>
    <col min="2817" max="2817" width="15.140625" style="41" customWidth="1"/>
    <col min="2818" max="2818" width="8.5703125" style="41" customWidth="1"/>
    <col min="2819" max="2820" width="7.7109375" style="41" customWidth="1"/>
    <col min="2821" max="2821" width="8.7109375" style="41" customWidth="1"/>
    <col min="2822" max="2822" width="7.42578125" style="41" customWidth="1"/>
    <col min="2823" max="2826" width="7.7109375" style="41" customWidth="1"/>
    <col min="2827" max="2828" width="8.7109375" style="41" customWidth="1"/>
    <col min="2829" max="2831" width="7.7109375" style="41" customWidth="1"/>
    <col min="2832" max="2832" width="8.28515625" style="41" customWidth="1"/>
    <col min="2833" max="2833" width="8" style="41" customWidth="1"/>
    <col min="2834" max="2834" width="7.7109375" style="41" customWidth="1"/>
    <col min="2835" max="3070" width="9.140625" style="41"/>
    <col min="3071" max="3071" width="5.28515625" style="41" customWidth="1"/>
    <col min="3072" max="3072" width="2.42578125" style="41" customWidth="1"/>
    <col min="3073" max="3073" width="15.140625" style="41" customWidth="1"/>
    <col min="3074" max="3074" width="8.5703125" style="41" customWidth="1"/>
    <col min="3075" max="3076" width="7.7109375" style="41" customWidth="1"/>
    <col min="3077" max="3077" width="8.7109375" style="41" customWidth="1"/>
    <col min="3078" max="3078" width="7.42578125" style="41" customWidth="1"/>
    <col min="3079" max="3082" width="7.7109375" style="41" customWidth="1"/>
    <col min="3083" max="3084" width="8.7109375" style="41" customWidth="1"/>
    <col min="3085" max="3087" width="7.7109375" style="41" customWidth="1"/>
    <col min="3088" max="3088" width="8.28515625" style="41" customWidth="1"/>
    <col min="3089" max="3089" width="8" style="41" customWidth="1"/>
    <col min="3090" max="3090" width="7.7109375" style="41" customWidth="1"/>
    <col min="3091" max="3326" width="9.140625" style="41"/>
    <col min="3327" max="3327" width="5.28515625" style="41" customWidth="1"/>
    <col min="3328" max="3328" width="2.42578125" style="41" customWidth="1"/>
    <col min="3329" max="3329" width="15.140625" style="41" customWidth="1"/>
    <col min="3330" max="3330" width="8.5703125" style="41" customWidth="1"/>
    <col min="3331" max="3332" width="7.7109375" style="41" customWidth="1"/>
    <col min="3333" max="3333" width="8.7109375" style="41" customWidth="1"/>
    <col min="3334" max="3334" width="7.42578125" style="41" customWidth="1"/>
    <col min="3335" max="3338" width="7.7109375" style="41" customWidth="1"/>
    <col min="3339" max="3340" width="8.7109375" style="41" customWidth="1"/>
    <col min="3341" max="3343" width="7.7109375" style="41" customWidth="1"/>
    <col min="3344" max="3344" width="8.28515625" style="41" customWidth="1"/>
    <col min="3345" max="3345" width="8" style="41" customWidth="1"/>
    <col min="3346" max="3346" width="7.7109375" style="41" customWidth="1"/>
    <col min="3347" max="3582" width="9.140625" style="41"/>
    <col min="3583" max="3583" width="5.28515625" style="41" customWidth="1"/>
    <col min="3584" max="3584" width="2.42578125" style="41" customWidth="1"/>
    <col min="3585" max="3585" width="15.140625" style="41" customWidth="1"/>
    <col min="3586" max="3586" width="8.5703125" style="41" customWidth="1"/>
    <col min="3587" max="3588" width="7.7109375" style="41" customWidth="1"/>
    <col min="3589" max="3589" width="8.7109375" style="41" customWidth="1"/>
    <col min="3590" max="3590" width="7.42578125" style="41" customWidth="1"/>
    <col min="3591" max="3594" width="7.7109375" style="41" customWidth="1"/>
    <col min="3595" max="3596" width="8.7109375" style="41" customWidth="1"/>
    <col min="3597" max="3599" width="7.7109375" style="41" customWidth="1"/>
    <col min="3600" max="3600" width="8.28515625" style="41" customWidth="1"/>
    <col min="3601" max="3601" width="8" style="41" customWidth="1"/>
    <col min="3602" max="3602" width="7.7109375" style="41" customWidth="1"/>
    <col min="3603" max="3838" width="9.140625" style="41"/>
    <col min="3839" max="3839" width="5.28515625" style="41" customWidth="1"/>
    <col min="3840" max="3840" width="2.42578125" style="41" customWidth="1"/>
    <col min="3841" max="3841" width="15.140625" style="41" customWidth="1"/>
    <col min="3842" max="3842" width="8.5703125" style="41" customWidth="1"/>
    <col min="3843" max="3844" width="7.7109375" style="41" customWidth="1"/>
    <col min="3845" max="3845" width="8.7109375" style="41" customWidth="1"/>
    <col min="3846" max="3846" width="7.42578125" style="41" customWidth="1"/>
    <col min="3847" max="3850" width="7.7109375" style="41" customWidth="1"/>
    <col min="3851" max="3852" width="8.7109375" style="41" customWidth="1"/>
    <col min="3853" max="3855" width="7.7109375" style="41" customWidth="1"/>
    <col min="3856" max="3856" width="8.28515625" style="41" customWidth="1"/>
    <col min="3857" max="3857" width="8" style="41" customWidth="1"/>
    <col min="3858" max="3858" width="7.7109375" style="41" customWidth="1"/>
    <col min="3859" max="4094" width="9.140625" style="41"/>
    <col min="4095" max="4095" width="5.28515625" style="41" customWidth="1"/>
    <col min="4096" max="4096" width="2.42578125" style="41" customWidth="1"/>
    <col min="4097" max="4097" width="15.140625" style="41" customWidth="1"/>
    <col min="4098" max="4098" width="8.5703125" style="41" customWidth="1"/>
    <col min="4099" max="4100" width="7.7109375" style="41" customWidth="1"/>
    <col min="4101" max="4101" width="8.7109375" style="41" customWidth="1"/>
    <col min="4102" max="4102" width="7.42578125" style="41" customWidth="1"/>
    <col min="4103" max="4106" width="7.7109375" style="41" customWidth="1"/>
    <col min="4107" max="4108" width="8.7109375" style="41" customWidth="1"/>
    <col min="4109" max="4111" width="7.7109375" style="41" customWidth="1"/>
    <col min="4112" max="4112" width="8.28515625" style="41" customWidth="1"/>
    <col min="4113" max="4113" width="8" style="41" customWidth="1"/>
    <col min="4114" max="4114" width="7.7109375" style="41" customWidth="1"/>
    <col min="4115" max="4350" width="9.140625" style="41"/>
    <col min="4351" max="4351" width="5.28515625" style="41" customWidth="1"/>
    <col min="4352" max="4352" width="2.42578125" style="41" customWidth="1"/>
    <col min="4353" max="4353" width="15.140625" style="41" customWidth="1"/>
    <col min="4354" max="4354" width="8.5703125" style="41" customWidth="1"/>
    <col min="4355" max="4356" width="7.7109375" style="41" customWidth="1"/>
    <col min="4357" max="4357" width="8.7109375" style="41" customWidth="1"/>
    <col min="4358" max="4358" width="7.42578125" style="41" customWidth="1"/>
    <col min="4359" max="4362" width="7.7109375" style="41" customWidth="1"/>
    <col min="4363" max="4364" width="8.7109375" style="41" customWidth="1"/>
    <col min="4365" max="4367" width="7.7109375" style="41" customWidth="1"/>
    <col min="4368" max="4368" width="8.28515625" style="41" customWidth="1"/>
    <col min="4369" max="4369" width="8" style="41" customWidth="1"/>
    <col min="4370" max="4370" width="7.7109375" style="41" customWidth="1"/>
    <col min="4371" max="4606" width="9.140625" style="41"/>
    <col min="4607" max="4607" width="5.28515625" style="41" customWidth="1"/>
    <col min="4608" max="4608" width="2.42578125" style="41" customWidth="1"/>
    <col min="4609" max="4609" width="15.140625" style="41" customWidth="1"/>
    <col min="4610" max="4610" width="8.5703125" style="41" customWidth="1"/>
    <col min="4611" max="4612" width="7.7109375" style="41" customWidth="1"/>
    <col min="4613" max="4613" width="8.7109375" style="41" customWidth="1"/>
    <col min="4614" max="4614" width="7.42578125" style="41" customWidth="1"/>
    <col min="4615" max="4618" width="7.7109375" style="41" customWidth="1"/>
    <col min="4619" max="4620" width="8.7109375" style="41" customWidth="1"/>
    <col min="4621" max="4623" width="7.7109375" style="41" customWidth="1"/>
    <col min="4624" max="4624" width="8.28515625" style="41" customWidth="1"/>
    <col min="4625" max="4625" width="8" style="41" customWidth="1"/>
    <col min="4626" max="4626" width="7.7109375" style="41" customWidth="1"/>
    <col min="4627" max="4862" width="9.140625" style="41"/>
    <col min="4863" max="4863" width="5.28515625" style="41" customWidth="1"/>
    <col min="4864" max="4864" width="2.42578125" style="41" customWidth="1"/>
    <col min="4865" max="4865" width="15.140625" style="41" customWidth="1"/>
    <col min="4866" max="4866" width="8.5703125" style="41" customWidth="1"/>
    <col min="4867" max="4868" width="7.7109375" style="41" customWidth="1"/>
    <col min="4869" max="4869" width="8.7109375" style="41" customWidth="1"/>
    <col min="4870" max="4870" width="7.42578125" style="41" customWidth="1"/>
    <col min="4871" max="4874" width="7.7109375" style="41" customWidth="1"/>
    <col min="4875" max="4876" width="8.7109375" style="41" customWidth="1"/>
    <col min="4877" max="4879" width="7.7109375" style="41" customWidth="1"/>
    <col min="4880" max="4880" width="8.28515625" style="41" customWidth="1"/>
    <col min="4881" max="4881" width="8" style="41" customWidth="1"/>
    <col min="4882" max="4882" width="7.7109375" style="41" customWidth="1"/>
    <col min="4883" max="5118" width="9.140625" style="41"/>
    <col min="5119" max="5119" width="5.28515625" style="41" customWidth="1"/>
    <col min="5120" max="5120" width="2.42578125" style="41" customWidth="1"/>
    <col min="5121" max="5121" width="15.140625" style="41" customWidth="1"/>
    <col min="5122" max="5122" width="8.5703125" style="41" customWidth="1"/>
    <col min="5123" max="5124" width="7.7109375" style="41" customWidth="1"/>
    <col min="5125" max="5125" width="8.7109375" style="41" customWidth="1"/>
    <col min="5126" max="5126" width="7.42578125" style="41" customWidth="1"/>
    <col min="5127" max="5130" width="7.7109375" style="41" customWidth="1"/>
    <col min="5131" max="5132" width="8.7109375" style="41" customWidth="1"/>
    <col min="5133" max="5135" width="7.7109375" style="41" customWidth="1"/>
    <col min="5136" max="5136" width="8.28515625" style="41" customWidth="1"/>
    <col min="5137" max="5137" width="8" style="41" customWidth="1"/>
    <col min="5138" max="5138" width="7.7109375" style="41" customWidth="1"/>
    <col min="5139" max="5374" width="9.140625" style="41"/>
    <col min="5375" max="5375" width="5.28515625" style="41" customWidth="1"/>
    <col min="5376" max="5376" width="2.42578125" style="41" customWidth="1"/>
    <col min="5377" max="5377" width="15.140625" style="41" customWidth="1"/>
    <col min="5378" max="5378" width="8.5703125" style="41" customWidth="1"/>
    <col min="5379" max="5380" width="7.7109375" style="41" customWidth="1"/>
    <col min="5381" max="5381" width="8.7109375" style="41" customWidth="1"/>
    <col min="5382" max="5382" width="7.42578125" style="41" customWidth="1"/>
    <col min="5383" max="5386" width="7.7109375" style="41" customWidth="1"/>
    <col min="5387" max="5388" width="8.7109375" style="41" customWidth="1"/>
    <col min="5389" max="5391" width="7.7109375" style="41" customWidth="1"/>
    <col min="5392" max="5392" width="8.28515625" style="41" customWidth="1"/>
    <col min="5393" max="5393" width="8" style="41" customWidth="1"/>
    <col min="5394" max="5394" width="7.7109375" style="41" customWidth="1"/>
    <col min="5395" max="5630" width="9.140625" style="41"/>
    <col min="5631" max="5631" width="5.28515625" style="41" customWidth="1"/>
    <col min="5632" max="5632" width="2.42578125" style="41" customWidth="1"/>
    <col min="5633" max="5633" width="15.140625" style="41" customWidth="1"/>
    <col min="5634" max="5634" width="8.5703125" style="41" customWidth="1"/>
    <col min="5635" max="5636" width="7.7109375" style="41" customWidth="1"/>
    <col min="5637" max="5637" width="8.7109375" style="41" customWidth="1"/>
    <col min="5638" max="5638" width="7.42578125" style="41" customWidth="1"/>
    <col min="5639" max="5642" width="7.7109375" style="41" customWidth="1"/>
    <col min="5643" max="5644" width="8.7109375" style="41" customWidth="1"/>
    <col min="5645" max="5647" width="7.7109375" style="41" customWidth="1"/>
    <col min="5648" max="5648" width="8.28515625" style="41" customWidth="1"/>
    <col min="5649" max="5649" width="8" style="41" customWidth="1"/>
    <col min="5650" max="5650" width="7.7109375" style="41" customWidth="1"/>
    <col min="5651" max="5886" width="9.140625" style="41"/>
    <col min="5887" max="5887" width="5.28515625" style="41" customWidth="1"/>
    <col min="5888" max="5888" width="2.42578125" style="41" customWidth="1"/>
    <col min="5889" max="5889" width="15.140625" style="41" customWidth="1"/>
    <col min="5890" max="5890" width="8.5703125" style="41" customWidth="1"/>
    <col min="5891" max="5892" width="7.7109375" style="41" customWidth="1"/>
    <col min="5893" max="5893" width="8.7109375" style="41" customWidth="1"/>
    <col min="5894" max="5894" width="7.42578125" style="41" customWidth="1"/>
    <col min="5895" max="5898" width="7.7109375" style="41" customWidth="1"/>
    <col min="5899" max="5900" width="8.7109375" style="41" customWidth="1"/>
    <col min="5901" max="5903" width="7.7109375" style="41" customWidth="1"/>
    <col min="5904" max="5904" width="8.28515625" style="41" customWidth="1"/>
    <col min="5905" max="5905" width="8" style="41" customWidth="1"/>
    <col min="5906" max="5906" width="7.7109375" style="41" customWidth="1"/>
    <col min="5907" max="6142" width="9.140625" style="41"/>
    <col min="6143" max="6143" width="5.28515625" style="41" customWidth="1"/>
    <col min="6144" max="6144" width="2.42578125" style="41" customWidth="1"/>
    <col min="6145" max="6145" width="15.140625" style="41" customWidth="1"/>
    <col min="6146" max="6146" width="8.5703125" style="41" customWidth="1"/>
    <col min="6147" max="6148" width="7.7109375" style="41" customWidth="1"/>
    <col min="6149" max="6149" width="8.7109375" style="41" customWidth="1"/>
    <col min="6150" max="6150" width="7.42578125" style="41" customWidth="1"/>
    <col min="6151" max="6154" width="7.7109375" style="41" customWidth="1"/>
    <col min="6155" max="6156" width="8.7109375" style="41" customWidth="1"/>
    <col min="6157" max="6159" width="7.7109375" style="41" customWidth="1"/>
    <col min="6160" max="6160" width="8.28515625" style="41" customWidth="1"/>
    <col min="6161" max="6161" width="8" style="41" customWidth="1"/>
    <col min="6162" max="6162" width="7.7109375" style="41" customWidth="1"/>
    <col min="6163" max="6398" width="9.140625" style="41"/>
    <col min="6399" max="6399" width="5.28515625" style="41" customWidth="1"/>
    <col min="6400" max="6400" width="2.42578125" style="41" customWidth="1"/>
    <col min="6401" max="6401" width="15.140625" style="41" customWidth="1"/>
    <col min="6402" max="6402" width="8.5703125" style="41" customWidth="1"/>
    <col min="6403" max="6404" width="7.7109375" style="41" customWidth="1"/>
    <col min="6405" max="6405" width="8.7109375" style="41" customWidth="1"/>
    <col min="6406" max="6406" width="7.42578125" style="41" customWidth="1"/>
    <col min="6407" max="6410" width="7.7109375" style="41" customWidth="1"/>
    <col min="6411" max="6412" width="8.7109375" style="41" customWidth="1"/>
    <col min="6413" max="6415" width="7.7109375" style="41" customWidth="1"/>
    <col min="6416" max="6416" width="8.28515625" style="41" customWidth="1"/>
    <col min="6417" max="6417" width="8" style="41" customWidth="1"/>
    <col min="6418" max="6418" width="7.7109375" style="41" customWidth="1"/>
    <col min="6419" max="6654" width="9.140625" style="41"/>
    <col min="6655" max="6655" width="5.28515625" style="41" customWidth="1"/>
    <col min="6656" max="6656" width="2.42578125" style="41" customWidth="1"/>
    <col min="6657" max="6657" width="15.140625" style="41" customWidth="1"/>
    <col min="6658" max="6658" width="8.5703125" style="41" customWidth="1"/>
    <col min="6659" max="6660" width="7.7109375" style="41" customWidth="1"/>
    <col min="6661" max="6661" width="8.7109375" style="41" customWidth="1"/>
    <col min="6662" max="6662" width="7.42578125" style="41" customWidth="1"/>
    <col min="6663" max="6666" width="7.7109375" style="41" customWidth="1"/>
    <col min="6667" max="6668" width="8.7109375" style="41" customWidth="1"/>
    <col min="6669" max="6671" width="7.7109375" style="41" customWidth="1"/>
    <col min="6672" max="6672" width="8.28515625" style="41" customWidth="1"/>
    <col min="6673" max="6673" width="8" style="41" customWidth="1"/>
    <col min="6674" max="6674" width="7.7109375" style="41" customWidth="1"/>
    <col min="6675" max="6910" width="9.140625" style="41"/>
    <col min="6911" max="6911" width="5.28515625" style="41" customWidth="1"/>
    <col min="6912" max="6912" width="2.42578125" style="41" customWidth="1"/>
    <col min="6913" max="6913" width="15.140625" style="41" customWidth="1"/>
    <col min="6914" max="6914" width="8.5703125" style="41" customWidth="1"/>
    <col min="6915" max="6916" width="7.7109375" style="41" customWidth="1"/>
    <col min="6917" max="6917" width="8.7109375" style="41" customWidth="1"/>
    <col min="6918" max="6918" width="7.42578125" style="41" customWidth="1"/>
    <col min="6919" max="6922" width="7.7109375" style="41" customWidth="1"/>
    <col min="6923" max="6924" width="8.7109375" style="41" customWidth="1"/>
    <col min="6925" max="6927" width="7.7109375" style="41" customWidth="1"/>
    <col min="6928" max="6928" width="8.28515625" style="41" customWidth="1"/>
    <col min="6929" max="6929" width="8" style="41" customWidth="1"/>
    <col min="6930" max="6930" width="7.7109375" style="41" customWidth="1"/>
    <col min="6931" max="7166" width="9.140625" style="41"/>
    <col min="7167" max="7167" width="5.28515625" style="41" customWidth="1"/>
    <col min="7168" max="7168" width="2.42578125" style="41" customWidth="1"/>
    <col min="7169" max="7169" width="15.140625" style="41" customWidth="1"/>
    <col min="7170" max="7170" width="8.5703125" style="41" customWidth="1"/>
    <col min="7171" max="7172" width="7.7109375" style="41" customWidth="1"/>
    <col min="7173" max="7173" width="8.7109375" style="41" customWidth="1"/>
    <col min="7174" max="7174" width="7.42578125" style="41" customWidth="1"/>
    <col min="7175" max="7178" width="7.7109375" style="41" customWidth="1"/>
    <col min="7179" max="7180" width="8.7109375" style="41" customWidth="1"/>
    <col min="7181" max="7183" width="7.7109375" style="41" customWidth="1"/>
    <col min="7184" max="7184" width="8.28515625" style="41" customWidth="1"/>
    <col min="7185" max="7185" width="8" style="41" customWidth="1"/>
    <col min="7186" max="7186" width="7.7109375" style="41" customWidth="1"/>
    <col min="7187" max="7422" width="9.140625" style="41"/>
    <col min="7423" max="7423" width="5.28515625" style="41" customWidth="1"/>
    <col min="7424" max="7424" width="2.42578125" style="41" customWidth="1"/>
    <col min="7425" max="7425" width="15.140625" style="41" customWidth="1"/>
    <col min="7426" max="7426" width="8.5703125" style="41" customWidth="1"/>
    <col min="7427" max="7428" width="7.7109375" style="41" customWidth="1"/>
    <col min="7429" max="7429" width="8.7109375" style="41" customWidth="1"/>
    <col min="7430" max="7430" width="7.42578125" style="41" customWidth="1"/>
    <col min="7431" max="7434" width="7.7109375" style="41" customWidth="1"/>
    <col min="7435" max="7436" width="8.7109375" style="41" customWidth="1"/>
    <col min="7437" max="7439" width="7.7109375" style="41" customWidth="1"/>
    <col min="7440" max="7440" width="8.28515625" style="41" customWidth="1"/>
    <col min="7441" max="7441" width="8" style="41" customWidth="1"/>
    <col min="7442" max="7442" width="7.7109375" style="41" customWidth="1"/>
    <col min="7443" max="7678" width="9.140625" style="41"/>
    <col min="7679" max="7679" width="5.28515625" style="41" customWidth="1"/>
    <col min="7680" max="7680" width="2.42578125" style="41" customWidth="1"/>
    <col min="7681" max="7681" width="15.140625" style="41" customWidth="1"/>
    <col min="7682" max="7682" width="8.5703125" style="41" customWidth="1"/>
    <col min="7683" max="7684" width="7.7109375" style="41" customWidth="1"/>
    <col min="7685" max="7685" width="8.7109375" style="41" customWidth="1"/>
    <col min="7686" max="7686" width="7.42578125" style="41" customWidth="1"/>
    <col min="7687" max="7690" width="7.7109375" style="41" customWidth="1"/>
    <col min="7691" max="7692" width="8.7109375" style="41" customWidth="1"/>
    <col min="7693" max="7695" width="7.7109375" style="41" customWidth="1"/>
    <col min="7696" max="7696" width="8.28515625" style="41" customWidth="1"/>
    <col min="7697" max="7697" width="8" style="41" customWidth="1"/>
    <col min="7698" max="7698" width="7.7109375" style="41" customWidth="1"/>
    <col min="7699" max="7934" width="9.140625" style="41"/>
    <col min="7935" max="7935" width="5.28515625" style="41" customWidth="1"/>
    <col min="7936" max="7936" width="2.42578125" style="41" customWidth="1"/>
    <col min="7937" max="7937" width="15.140625" style="41" customWidth="1"/>
    <col min="7938" max="7938" width="8.5703125" style="41" customWidth="1"/>
    <col min="7939" max="7940" width="7.7109375" style="41" customWidth="1"/>
    <col min="7941" max="7941" width="8.7109375" style="41" customWidth="1"/>
    <col min="7942" max="7942" width="7.42578125" style="41" customWidth="1"/>
    <col min="7943" max="7946" width="7.7109375" style="41" customWidth="1"/>
    <col min="7947" max="7948" width="8.7109375" style="41" customWidth="1"/>
    <col min="7949" max="7951" width="7.7109375" style="41" customWidth="1"/>
    <col min="7952" max="7952" width="8.28515625" style="41" customWidth="1"/>
    <col min="7953" max="7953" width="8" style="41" customWidth="1"/>
    <col min="7954" max="7954" width="7.7109375" style="41" customWidth="1"/>
    <col min="7955" max="8190" width="9.140625" style="41"/>
    <col min="8191" max="8191" width="5.28515625" style="41" customWidth="1"/>
    <col min="8192" max="8192" width="2.42578125" style="41" customWidth="1"/>
    <col min="8193" max="8193" width="15.140625" style="41" customWidth="1"/>
    <col min="8194" max="8194" width="8.5703125" style="41" customWidth="1"/>
    <col min="8195" max="8196" width="7.7109375" style="41" customWidth="1"/>
    <col min="8197" max="8197" width="8.7109375" style="41" customWidth="1"/>
    <col min="8198" max="8198" width="7.42578125" style="41" customWidth="1"/>
    <col min="8199" max="8202" width="7.7109375" style="41" customWidth="1"/>
    <col min="8203" max="8204" width="8.7109375" style="41" customWidth="1"/>
    <col min="8205" max="8207" width="7.7109375" style="41" customWidth="1"/>
    <col min="8208" max="8208" width="8.28515625" style="41" customWidth="1"/>
    <col min="8209" max="8209" width="8" style="41" customWidth="1"/>
    <col min="8210" max="8210" width="7.7109375" style="41" customWidth="1"/>
    <col min="8211" max="8446" width="9.140625" style="41"/>
    <col min="8447" max="8447" width="5.28515625" style="41" customWidth="1"/>
    <col min="8448" max="8448" width="2.42578125" style="41" customWidth="1"/>
    <col min="8449" max="8449" width="15.140625" style="41" customWidth="1"/>
    <col min="8450" max="8450" width="8.5703125" style="41" customWidth="1"/>
    <col min="8451" max="8452" width="7.7109375" style="41" customWidth="1"/>
    <col min="8453" max="8453" width="8.7109375" style="41" customWidth="1"/>
    <col min="8454" max="8454" width="7.42578125" style="41" customWidth="1"/>
    <col min="8455" max="8458" width="7.7109375" style="41" customWidth="1"/>
    <col min="8459" max="8460" width="8.7109375" style="41" customWidth="1"/>
    <col min="8461" max="8463" width="7.7109375" style="41" customWidth="1"/>
    <col min="8464" max="8464" width="8.28515625" style="41" customWidth="1"/>
    <col min="8465" max="8465" width="8" style="41" customWidth="1"/>
    <col min="8466" max="8466" width="7.7109375" style="41" customWidth="1"/>
    <col min="8467" max="8702" width="9.140625" style="41"/>
    <col min="8703" max="8703" width="5.28515625" style="41" customWidth="1"/>
    <col min="8704" max="8704" width="2.42578125" style="41" customWidth="1"/>
    <col min="8705" max="8705" width="15.140625" style="41" customWidth="1"/>
    <col min="8706" max="8706" width="8.5703125" style="41" customWidth="1"/>
    <col min="8707" max="8708" width="7.7109375" style="41" customWidth="1"/>
    <col min="8709" max="8709" width="8.7109375" style="41" customWidth="1"/>
    <col min="8710" max="8710" width="7.42578125" style="41" customWidth="1"/>
    <col min="8711" max="8714" width="7.7109375" style="41" customWidth="1"/>
    <col min="8715" max="8716" width="8.7109375" style="41" customWidth="1"/>
    <col min="8717" max="8719" width="7.7109375" style="41" customWidth="1"/>
    <col min="8720" max="8720" width="8.28515625" style="41" customWidth="1"/>
    <col min="8721" max="8721" width="8" style="41" customWidth="1"/>
    <col min="8722" max="8722" width="7.7109375" style="41" customWidth="1"/>
    <col min="8723" max="8958" width="9.140625" style="41"/>
    <col min="8959" max="8959" width="5.28515625" style="41" customWidth="1"/>
    <col min="8960" max="8960" width="2.42578125" style="41" customWidth="1"/>
    <col min="8961" max="8961" width="15.140625" style="41" customWidth="1"/>
    <col min="8962" max="8962" width="8.5703125" style="41" customWidth="1"/>
    <col min="8963" max="8964" width="7.7109375" style="41" customWidth="1"/>
    <col min="8965" max="8965" width="8.7109375" style="41" customWidth="1"/>
    <col min="8966" max="8966" width="7.42578125" style="41" customWidth="1"/>
    <col min="8967" max="8970" width="7.7109375" style="41" customWidth="1"/>
    <col min="8971" max="8972" width="8.7109375" style="41" customWidth="1"/>
    <col min="8973" max="8975" width="7.7109375" style="41" customWidth="1"/>
    <col min="8976" max="8976" width="8.28515625" style="41" customWidth="1"/>
    <col min="8977" max="8977" width="8" style="41" customWidth="1"/>
    <col min="8978" max="8978" width="7.7109375" style="41" customWidth="1"/>
    <col min="8979" max="9214" width="9.140625" style="41"/>
    <col min="9215" max="9215" width="5.28515625" style="41" customWidth="1"/>
    <col min="9216" max="9216" width="2.42578125" style="41" customWidth="1"/>
    <col min="9217" max="9217" width="15.140625" style="41" customWidth="1"/>
    <col min="9218" max="9218" width="8.5703125" style="41" customWidth="1"/>
    <col min="9219" max="9220" width="7.7109375" style="41" customWidth="1"/>
    <col min="9221" max="9221" width="8.7109375" style="41" customWidth="1"/>
    <col min="9222" max="9222" width="7.42578125" style="41" customWidth="1"/>
    <col min="9223" max="9226" width="7.7109375" style="41" customWidth="1"/>
    <col min="9227" max="9228" width="8.7109375" style="41" customWidth="1"/>
    <col min="9229" max="9231" width="7.7109375" style="41" customWidth="1"/>
    <col min="9232" max="9232" width="8.28515625" style="41" customWidth="1"/>
    <col min="9233" max="9233" width="8" style="41" customWidth="1"/>
    <col min="9234" max="9234" width="7.7109375" style="41" customWidth="1"/>
    <col min="9235" max="9470" width="9.140625" style="41"/>
    <col min="9471" max="9471" width="5.28515625" style="41" customWidth="1"/>
    <col min="9472" max="9472" width="2.42578125" style="41" customWidth="1"/>
    <col min="9473" max="9473" width="15.140625" style="41" customWidth="1"/>
    <col min="9474" max="9474" width="8.5703125" style="41" customWidth="1"/>
    <col min="9475" max="9476" width="7.7109375" style="41" customWidth="1"/>
    <col min="9477" max="9477" width="8.7109375" style="41" customWidth="1"/>
    <col min="9478" max="9478" width="7.42578125" style="41" customWidth="1"/>
    <col min="9479" max="9482" width="7.7109375" style="41" customWidth="1"/>
    <col min="9483" max="9484" width="8.7109375" style="41" customWidth="1"/>
    <col min="9485" max="9487" width="7.7109375" style="41" customWidth="1"/>
    <col min="9488" max="9488" width="8.28515625" style="41" customWidth="1"/>
    <col min="9489" max="9489" width="8" style="41" customWidth="1"/>
    <col min="9490" max="9490" width="7.7109375" style="41" customWidth="1"/>
    <col min="9491" max="9726" width="9.140625" style="41"/>
    <col min="9727" max="9727" width="5.28515625" style="41" customWidth="1"/>
    <col min="9728" max="9728" width="2.42578125" style="41" customWidth="1"/>
    <col min="9729" max="9729" width="15.140625" style="41" customWidth="1"/>
    <col min="9730" max="9730" width="8.5703125" style="41" customWidth="1"/>
    <col min="9731" max="9732" width="7.7109375" style="41" customWidth="1"/>
    <col min="9733" max="9733" width="8.7109375" style="41" customWidth="1"/>
    <col min="9734" max="9734" width="7.42578125" style="41" customWidth="1"/>
    <col min="9735" max="9738" width="7.7109375" style="41" customWidth="1"/>
    <col min="9739" max="9740" width="8.7109375" style="41" customWidth="1"/>
    <col min="9741" max="9743" width="7.7109375" style="41" customWidth="1"/>
    <col min="9744" max="9744" width="8.28515625" style="41" customWidth="1"/>
    <col min="9745" max="9745" width="8" style="41" customWidth="1"/>
    <col min="9746" max="9746" width="7.7109375" style="41" customWidth="1"/>
    <col min="9747" max="9982" width="9.140625" style="41"/>
    <col min="9983" max="9983" width="5.28515625" style="41" customWidth="1"/>
    <col min="9984" max="9984" width="2.42578125" style="41" customWidth="1"/>
    <col min="9985" max="9985" width="15.140625" style="41" customWidth="1"/>
    <col min="9986" max="9986" width="8.5703125" style="41" customWidth="1"/>
    <col min="9987" max="9988" width="7.7109375" style="41" customWidth="1"/>
    <col min="9989" max="9989" width="8.7109375" style="41" customWidth="1"/>
    <col min="9990" max="9990" width="7.42578125" style="41" customWidth="1"/>
    <col min="9991" max="9994" width="7.7109375" style="41" customWidth="1"/>
    <col min="9995" max="9996" width="8.7109375" style="41" customWidth="1"/>
    <col min="9997" max="9999" width="7.7109375" style="41" customWidth="1"/>
    <col min="10000" max="10000" width="8.28515625" style="41" customWidth="1"/>
    <col min="10001" max="10001" width="8" style="41" customWidth="1"/>
    <col min="10002" max="10002" width="7.7109375" style="41" customWidth="1"/>
    <col min="10003" max="10238" width="9.140625" style="41"/>
    <col min="10239" max="10239" width="5.28515625" style="41" customWidth="1"/>
    <col min="10240" max="10240" width="2.42578125" style="41" customWidth="1"/>
    <col min="10241" max="10241" width="15.140625" style="41" customWidth="1"/>
    <col min="10242" max="10242" width="8.5703125" style="41" customWidth="1"/>
    <col min="10243" max="10244" width="7.7109375" style="41" customWidth="1"/>
    <col min="10245" max="10245" width="8.7109375" style="41" customWidth="1"/>
    <col min="10246" max="10246" width="7.42578125" style="41" customWidth="1"/>
    <col min="10247" max="10250" width="7.7109375" style="41" customWidth="1"/>
    <col min="10251" max="10252" width="8.7109375" style="41" customWidth="1"/>
    <col min="10253" max="10255" width="7.7109375" style="41" customWidth="1"/>
    <col min="10256" max="10256" width="8.28515625" style="41" customWidth="1"/>
    <col min="10257" max="10257" width="8" style="41" customWidth="1"/>
    <col min="10258" max="10258" width="7.7109375" style="41" customWidth="1"/>
    <col min="10259" max="10494" width="9.140625" style="41"/>
    <col min="10495" max="10495" width="5.28515625" style="41" customWidth="1"/>
    <col min="10496" max="10496" width="2.42578125" style="41" customWidth="1"/>
    <col min="10497" max="10497" width="15.140625" style="41" customWidth="1"/>
    <col min="10498" max="10498" width="8.5703125" style="41" customWidth="1"/>
    <col min="10499" max="10500" width="7.7109375" style="41" customWidth="1"/>
    <col min="10501" max="10501" width="8.7109375" style="41" customWidth="1"/>
    <col min="10502" max="10502" width="7.42578125" style="41" customWidth="1"/>
    <col min="10503" max="10506" width="7.7109375" style="41" customWidth="1"/>
    <col min="10507" max="10508" width="8.7109375" style="41" customWidth="1"/>
    <col min="10509" max="10511" width="7.7109375" style="41" customWidth="1"/>
    <col min="10512" max="10512" width="8.28515625" style="41" customWidth="1"/>
    <col min="10513" max="10513" width="8" style="41" customWidth="1"/>
    <col min="10514" max="10514" width="7.7109375" style="41" customWidth="1"/>
    <col min="10515" max="10750" width="9.140625" style="41"/>
    <col min="10751" max="10751" width="5.28515625" style="41" customWidth="1"/>
    <col min="10752" max="10752" width="2.42578125" style="41" customWidth="1"/>
    <col min="10753" max="10753" width="15.140625" style="41" customWidth="1"/>
    <col min="10754" max="10754" width="8.5703125" style="41" customWidth="1"/>
    <col min="10755" max="10756" width="7.7109375" style="41" customWidth="1"/>
    <col min="10757" max="10757" width="8.7109375" style="41" customWidth="1"/>
    <col min="10758" max="10758" width="7.42578125" style="41" customWidth="1"/>
    <col min="10759" max="10762" width="7.7109375" style="41" customWidth="1"/>
    <col min="10763" max="10764" width="8.7109375" style="41" customWidth="1"/>
    <col min="10765" max="10767" width="7.7109375" style="41" customWidth="1"/>
    <col min="10768" max="10768" width="8.28515625" style="41" customWidth="1"/>
    <col min="10769" max="10769" width="8" style="41" customWidth="1"/>
    <col min="10770" max="10770" width="7.7109375" style="41" customWidth="1"/>
    <col min="10771" max="11006" width="9.140625" style="41"/>
    <col min="11007" max="11007" width="5.28515625" style="41" customWidth="1"/>
    <col min="11008" max="11008" width="2.42578125" style="41" customWidth="1"/>
    <col min="11009" max="11009" width="15.140625" style="41" customWidth="1"/>
    <col min="11010" max="11010" width="8.5703125" style="41" customWidth="1"/>
    <col min="11011" max="11012" width="7.7109375" style="41" customWidth="1"/>
    <col min="11013" max="11013" width="8.7109375" style="41" customWidth="1"/>
    <col min="11014" max="11014" width="7.42578125" style="41" customWidth="1"/>
    <col min="11015" max="11018" width="7.7109375" style="41" customWidth="1"/>
    <col min="11019" max="11020" width="8.7109375" style="41" customWidth="1"/>
    <col min="11021" max="11023" width="7.7109375" style="41" customWidth="1"/>
    <col min="11024" max="11024" width="8.28515625" style="41" customWidth="1"/>
    <col min="11025" max="11025" width="8" style="41" customWidth="1"/>
    <col min="11026" max="11026" width="7.7109375" style="41" customWidth="1"/>
    <col min="11027" max="11262" width="9.140625" style="41"/>
    <col min="11263" max="11263" width="5.28515625" style="41" customWidth="1"/>
    <col min="11264" max="11264" width="2.42578125" style="41" customWidth="1"/>
    <col min="11265" max="11265" width="15.140625" style="41" customWidth="1"/>
    <col min="11266" max="11266" width="8.5703125" style="41" customWidth="1"/>
    <col min="11267" max="11268" width="7.7109375" style="41" customWidth="1"/>
    <col min="11269" max="11269" width="8.7109375" style="41" customWidth="1"/>
    <col min="11270" max="11270" width="7.42578125" style="41" customWidth="1"/>
    <col min="11271" max="11274" width="7.7109375" style="41" customWidth="1"/>
    <col min="11275" max="11276" width="8.7109375" style="41" customWidth="1"/>
    <col min="11277" max="11279" width="7.7109375" style="41" customWidth="1"/>
    <col min="11280" max="11280" width="8.28515625" style="41" customWidth="1"/>
    <col min="11281" max="11281" width="8" style="41" customWidth="1"/>
    <col min="11282" max="11282" width="7.7109375" style="41" customWidth="1"/>
    <col min="11283" max="11518" width="9.140625" style="41"/>
    <col min="11519" max="11519" width="5.28515625" style="41" customWidth="1"/>
    <col min="11520" max="11520" width="2.42578125" style="41" customWidth="1"/>
    <col min="11521" max="11521" width="15.140625" style="41" customWidth="1"/>
    <col min="11522" max="11522" width="8.5703125" style="41" customWidth="1"/>
    <col min="11523" max="11524" width="7.7109375" style="41" customWidth="1"/>
    <col min="11525" max="11525" width="8.7109375" style="41" customWidth="1"/>
    <col min="11526" max="11526" width="7.42578125" style="41" customWidth="1"/>
    <col min="11527" max="11530" width="7.7109375" style="41" customWidth="1"/>
    <col min="11531" max="11532" width="8.7109375" style="41" customWidth="1"/>
    <col min="11533" max="11535" width="7.7109375" style="41" customWidth="1"/>
    <col min="11536" max="11536" width="8.28515625" style="41" customWidth="1"/>
    <col min="11537" max="11537" width="8" style="41" customWidth="1"/>
    <col min="11538" max="11538" width="7.7109375" style="41" customWidth="1"/>
    <col min="11539" max="11774" width="9.140625" style="41"/>
    <col min="11775" max="11775" width="5.28515625" style="41" customWidth="1"/>
    <col min="11776" max="11776" width="2.42578125" style="41" customWidth="1"/>
    <col min="11777" max="11777" width="15.140625" style="41" customWidth="1"/>
    <col min="11778" max="11778" width="8.5703125" style="41" customWidth="1"/>
    <col min="11779" max="11780" width="7.7109375" style="41" customWidth="1"/>
    <col min="11781" max="11781" width="8.7109375" style="41" customWidth="1"/>
    <col min="11782" max="11782" width="7.42578125" style="41" customWidth="1"/>
    <col min="11783" max="11786" width="7.7109375" style="41" customWidth="1"/>
    <col min="11787" max="11788" width="8.7109375" style="41" customWidth="1"/>
    <col min="11789" max="11791" width="7.7109375" style="41" customWidth="1"/>
    <col min="11792" max="11792" width="8.28515625" style="41" customWidth="1"/>
    <col min="11793" max="11793" width="8" style="41" customWidth="1"/>
    <col min="11794" max="11794" width="7.7109375" style="41" customWidth="1"/>
    <col min="11795" max="12030" width="9.140625" style="41"/>
    <col min="12031" max="12031" width="5.28515625" style="41" customWidth="1"/>
    <col min="12032" max="12032" width="2.42578125" style="41" customWidth="1"/>
    <col min="12033" max="12033" width="15.140625" style="41" customWidth="1"/>
    <col min="12034" max="12034" width="8.5703125" style="41" customWidth="1"/>
    <col min="12035" max="12036" width="7.7109375" style="41" customWidth="1"/>
    <col min="12037" max="12037" width="8.7109375" style="41" customWidth="1"/>
    <col min="12038" max="12038" width="7.42578125" style="41" customWidth="1"/>
    <col min="12039" max="12042" width="7.7109375" style="41" customWidth="1"/>
    <col min="12043" max="12044" width="8.7109375" style="41" customWidth="1"/>
    <col min="12045" max="12047" width="7.7109375" style="41" customWidth="1"/>
    <col min="12048" max="12048" width="8.28515625" style="41" customWidth="1"/>
    <col min="12049" max="12049" width="8" style="41" customWidth="1"/>
    <col min="12050" max="12050" width="7.7109375" style="41" customWidth="1"/>
    <col min="12051" max="12286" width="9.140625" style="41"/>
    <col min="12287" max="12287" width="5.28515625" style="41" customWidth="1"/>
    <col min="12288" max="12288" width="2.42578125" style="41" customWidth="1"/>
    <col min="12289" max="12289" width="15.140625" style="41" customWidth="1"/>
    <col min="12290" max="12290" width="8.5703125" style="41" customWidth="1"/>
    <col min="12291" max="12292" width="7.7109375" style="41" customWidth="1"/>
    <col min="12293" max="12293" width="8.7109375" style="41" customWidth="1"/>
    <col min="12294" max="12294" width="7.42578125" style="41" customWidth="1"/>
    <col min="12295" max="12298" width="7.7109375" style="41" customWidth="1"/>
    <col min="12299" max="12300" width="8.7109375" style="41" customWidth="1"/>
    <col min="12301" max="12303" width="7.7109375" style="41" customWidth="1"/>
    <col min="12304" max="12304" width="8.28515625" style="41" customWidth="1"/>
    <col min="12305" max="12305" width="8" style="41" customWidth="1"/>
    <col min="12306" max="12306" width="7.7109375" style="41" customWidth="1"/>
    <col min="12307" max="12542" width="9.140625" style="41"/>
    <col min="12543" max="12543" width="5.28515625" style="41" customWidth="1"/>
    <col min="12544" max="12544" width="2.42578125" style="41" customWidth="1"/>
    <col min="12545" max="12545" width="15.140625" style="41" customWidth="1"/>
    <col min="12546" max="12546" width="8.5703125" style="41" customWidth="1"/>
    <col min="12547" max="12548" width="7.7109375" style="41" customWidth="1"/>
    <col min="12549" max="12549" width="8.7109375" style="41" customWidth="1"/>
    <col min="12550" max="12550" width="7.42578125" style="41" customWidth="1"/>
    <col min="12551" max="12554" width="7.7109375" style="41" customWidth="1"/>
    <col min="12555" max="12556" width="8.7109375" style="41" customWidth="1"/>
    <col min="12557" max="12559" width="7.7109375" style="41" customWidth="1"/>
    <col min="12560" max="12560" width="8.28515625" style="41" customWidth="1"/>
    <col min="12561" max="12561" width="8" style="41" customWidth="1"/>
    <col min="12562" max="12562" width="7.7109375" style="41" customWidth="1"/>
    <col min="12563" max="12798" width="9.140625" style="41"/>
    <col min="12799" max="12799" width="5.28515625" style="41" customWidth="1"/>
    <col min="12800" max="12800" width="2.42578125" style="41" customWidth="1"/>
    <col min="12801" max="12801" width="15.140625" style="41" customWidth="1"/>
    <col min="12802" max="12802" width="8.5703125" style="41" customWidth="1"/>
    <col min="12803" max="12804" width="7.7109375" style="41" customWidth="1"/>
    <col min="12805" max="12805" width="8.7109375" style="41" customWidth="1"/>
    <col min="12806" max="12806" width="7.42578125" style="41" customWidth="1"/>
    <col min="12807" max="12810" width="7.7109375" style="41" customWidth="1"/>
    <col min="12811" max="12812" width="8.7109375" style="41" customWidth="1"/>
    <col min="12813" max="12815" width="7.7109375" style="41" customWidth="1"/>
    <col min="12816" max="12816" width="8.28515625" style="41" customWidth="1"/>
    <col min="12817" max="12817" width="8" style="41" customWidth="1"/>
    <col min="12818" max="12818" width="7.7109375" style="41" customWidth="1"/>
    <col min="12819" max="13054" width="9.140625" style="41"/>
    <col min="13055" max="13055" width="5.28515625" style="41" customWidth="1"/>
    <col min="13056" max="13056" width="2.42578125" style="41" customWidth="1"/>
    <col min="13057" max="13057" width="15.140625" style="41" customWidth="1"/>
    <col min="13058" max="13058" width="8.5703125" style="41" customWidth="1"/>
    <col min="13059" max="13060" width="7.7109375" style="41" customWidth="1"/>
    <col min="13061" max="13061" width="8.7109375" style="41" customWidth="1"/>
    <col min="13062" max="13062" width="7.42578125" style="41" customWidth="1"/>
    <col min="13063" max="13066" width="7.7109375" style="41" customWidth="1"/>
    <col min="13067" max="13068" width="8.7109375" style="41" customWidth="1"/>
    <col min="13069" max="13071" width="7.7109375" style="41" customWidth="1"/>
    <col min="13072" max="13072" width="8.28515625" style="41" customWidth="1"/>
    <col min="13073" max="13073" width="8" style="41" customWidth="1"/>
    <col min="13074" max="13074" width="7.7109375" style="41" customWidth="1"/>
    <col min="13075" max="13310" width="9.140625" style="41"/>
    <col min="13311" max="13311" width="5.28515625" style="41" customWidth="1"/>
    <col min="13312" max="13312" width="2.42578125" style="41" customWidth="1"/>
    <col min="13313" max="13313" width="15.140625" style="41" customWidth="1"/>
    <col min="13314" max="13314" width="8.5703125" style="41" customWidth="1"/>
    <col min="13315" max="13316" width="7.7109375" style="41" customWidth="1"/>
    <col min="13317" max="13317" width="8.7109375" style="41" customWidth="1"/>
    <col min="13318" max="13318" width="7.42578125" style="41" customWidth="1"/>
    <col min="13319" max="13322" width="7.7109375" style="41" customWidth="1"/>
    <col min="13323" max="13324" width="8.7109375" style="41" customWidth="1"/>
    <col min="13325" max="13327" width="7.7109375" style="41" customWidth="1"/>
    <col min="13328" max="13328" width="8.28515625" style="41" customWidth="1"/>
    <col min="13329" max="13329" width="8" style="41" customWidth="1"/>
    <col min="13330" max="13330" width="7.7109375" style="41" customWidth="1"/>
    <col min="13331" max="13566" width="9.140625" style="41"/>
    <col min="13567" max="13567" width="5.28515625" style="41" customWidth="1"/>
    <col min="13568" max="13568" width="2.42578125" style="41" customWidth="1"/>
    <col min="13569" max="13569" width="15.140625" style="41" customWidth="1"/>
    <col min="13570" max="13570" width="8.5703125" style="41" customWidth="1"/>
    <col min="13571" max="13572" width="7.7109375" style="41" customWidth="1"/>
    <col min="13573" max="13573" width="8.7109375" style="41" customWidth="1"/>
    <col min="13574" max="13574" width="7.42578125" style="41" customWidth="1"/>
    <col min="13575" max="13578" width="7.7109375" style="41" customWidth="1"/>
    <col min="13579" max="13580" width="8.7109375" style="41" customWidth="1"/>
    <col min="13581" max="13583" width="7.7109375" style="41" customWidth="1"/>
    <col min="13584" max="13584" width="8.28515625" style="41" customWidth="1"/>
    <col min="13585" max="13585" width="8" style="41" customWidth="1"/>
    <col min="13586" max="13586" width="7.7109375" style="41" customWidth="1"/>
    <col min="13587" max="13822" width="9.140625" style="41"/>
    <col min="13823" max="13823" width="5.28515625" style="41" customWidth="1"/>
    <col min="13824" max="13824" width="2.42578125" style="41" customWidth="1"/>
    <col min="13825" max="13825" width="15.140625" style="41" customWidth="1"/>
    <col min="13826" max="13826" width="8.5703125" style="41" customWidth="1"/>
    <col min="13827" max="13828" width="7.7109375" style="41" customWidth="1"/>
    <col min="13829" max="13829" width="8.7109375" style="41" customWidth="1"/>
    <col min="13830" max="13830" width="7.42578125" style="41" customWidth="1"/>
    <col min="13831" max="13834" width="7.7109375" style="41" customWidth="1"/>
    <col min="13835" max="13836" width="8.7109375" style="41" customWidth="1"/>
    <col min="13837" max="13839" width="7.7109375" style="41" customWidth="1"/>
    <col min="13840" max="13840" width="8.28515625" style="41" customWidth="1"/>
    <col min="13841" max="13841" width="8" style="41" customWidth="1"/>
    <col min="13842" max="13842" width="7.7109375" style="41" customWidth="1"/>
    <col min="13843" max="14078" width="9.140625" style="41"/>
    <col min="14079" max="14079" width="5.28515625" style="41" customWidth="1"/>
    <col min="14080" max="14080" width="2.42578125" style="41" customWidth="1"/>
    <col min="14081" max="14081" width="15.140625" style="41" customWidth="1"/>
    <col min="14082" max="14082" width="8.5703125" style="41" customWidth="1"/>
    <col min="14083" max="14084" width="7.7109375" style="41" customWidth="1"/>
    <col min="14085" max="14085" width="8.7109375" style="41" customWidth="1"/>
    <col min="14086" max="14086" width="7.42578125" style="41" customWidth="1"/>
    <col min="14087" max="14090" width="7.7109375" style="41" customWidth="1"/>
    <col min="14091" max="14092" width="8.7109375" style="41" customWidth="1"/>
    <col min="14093" max="14095" width="7.7109375" style="41" customWidth="1"/>
    <col min="14096" max="14096" width="8.28515625" style="41" customWidth="1"/>
    <col min="14097" max="14097" width="8" style="41" customWidth="1"/>
    <col min="14098" max="14098" width="7.7109375" style="41" customWidth="1"/>
    <col min="14099" max="14334" width="9.140625" style="41"/>
    <col min="14335" max="14335" width="5.28515625" style="41" customWidth="1"/>
    <col min="14336" max="14336" width="2.42578125" style="41" customWidth="1"/>
    <col min="14337" max="14337" width="15.140625" style="41" customWidth="1"/>
    <col min="14338" max="14338" width="8.5703125" style="41" customWidth="1"/>
    <col min="14339" max="14340" width="7.7109375" style="41" customWidth="1"/>
    <col min="14341" max="14341" width="8.7109375" style="41" customWidth="1"/>
    <col min="14342" max="14342" width="7.42578125" style="41" customWidth="1"/>
    <col min="14343" max="14346" width="7.7109375" style="41" customWidth="1"/>
    <col min="14347" max="14348" width="8.7109375" style="41" customWidth="1"/>
    <col min="14349" max="14351" width="7.7109375" style="41" customWidth="1"/>
    <col min="14352" max="14352" width="8.28515625" style="41" customWidth="1"/>
    <col min="14353" max="14353" width="8" style="41" customWidth="1"/>
    <col min="14354" max="14354" width="7.7109375" style="41" customWidth="1"/>
    <col min="14355" max="14590" width="9.140625" style="41"/>
    <col min="14591" max="14591" width="5.28515625" style="41" customWidth="1"/>
    <col min="14592" max="14592" width="2.42578125" style="41" customWidth="1"/>
    <col min="14593" max="14593" width="15.140625" style="41" customWidth="1"/>
    <col min="14594" max="14594" width="8.5703125" style="41" customWidth="1"/>
    <col min="14595" max="14596" width="7.7109375" style="41" customWidth="1"/>
    <col min="14597" max="14597" width="8.7109375" style="41" customWidth="1"/>
    <col min="14598" max="14598" width="7.42578125" style="41" customWidth="1"/>
    <col min="14599" max="14602" width="7.7109375" style="41" customWidth="1"/>
    <col min="14603" max="14604" width="8.7109375" style="41" customWidth="1"/>
    <col min="14605" max="14607" width="7.7109375" style="41" customWidth="1"/>
    <col min="14608" max="14608" width="8.28515625" style="41" customWidth="1"/>
    <col min="14609" max="14609" width="8" style="41" customWidth="1"/>
    <col min="14610" max="14610" width="7.7109375" style="41" customWidth="1"/>
    <col min="14611" max="14846" width="9.140625" style="41"/>
    <col min="14847" max="14847" width="5.28515625" style="41" customWidth="1"/>
    <col min="14848" max="14848" width="2.42578125" style="41" customWidth="1"/>
    <col min="14849" max="14849" width="15.140625" style="41" customWidth="1"/>
    <col min="14850" max="14850" width="8.5703125" style="41" customWidth="1"/>
    <col min="14851" max="14852" width="7.7109375" style="41" customWidth="1"/>
    <col min="14853" max="14853" width="8.7109375" style="41" customWidth="1"/>
    <col min="14854" max="14854" width="7.42578125" style="41" customWidth="1"/>
    <col min="14855" max="14858" width="7.7109375" style="41" customWidth="1"/>
    <col min="14859" max="14860" width="8.7109375" style="41" customWidth="1"/>
    <col min="14861" max="14863" width="7.7109375" style="41" customWidth="1"/>
    <col min="14864" max="14864" width="8.28515625" style="41" customWidth="1"/>
    <col min="14865" max="14865" width="8" style="41" customWidth="1"/>
    <col min="14866" max="14866" width="7.7109375" style="41" customWidth="1"/>
    <col min="14867" max="15102" width="9.140625" style="41"/>
    <col min="15103" max="15103" width="5.28515625" style="41" customWidth="1"/>
    <col min="15104" max="15104" width="2.42578125" style="41" customWidth="1"/>
    <col min="15105" max="15105" width="15.140625" style="41" customWidth="1"/>
    <col min="15106" max="15106" width="8.5703125" style="41" customWidth="1"/>
    <col min="15107" max="15108" width="7.7109375" style="41" customWidth="1"/>
    <col min="15109" max="15109" width="8.7109375" style="41" customWidth="1"/>
    <col min="15110" max="15110" width="7.42578125" style="41" customWidth="1"/>
    <col min="15111" max="15114" width="7.7109375" style="41" customWidth="1"/>
    <col min="15115" max="15116" width="8.7109375" style="41" customWidth="1"/>
    <col min="15117" max="15119" width="7.7109375" style="41" customWidth="1"/>
    <col min="15120" max="15120" width="8.28515625" style="41" customWidth="1"/>
    <col min="15121" max="15121" width="8" style="41" customWidth="1"/>
    <col min="15122" max="15122" width="7.7109375" style="41" customWidth="1"/>
    <col min="15123" max="15358" width="9.140625" style="41"/>
    <col min="15359" max="15359" width="5.28515625" style="41" customWidth="1"/>
    <col min="15360" max="15360" width="2.42578125" style="41" customWidth="1"/>
    <col min="15361" max="15361" width="15.140625" style="41" customWidth="1"/>
    <col min="15362" max="15362" width="8.5703125" style="41" customWidth="1"/>
    <col min="15363" max="15364" width="7.7109375" style="41" customWidth="1"/>
    <col min="15365" max="15365" width="8.7109375" style="41" customWidth="1"/>
    <col min="15366" max="15366" width="7.42578125" style="41" customWidth="1"/>
    <col min="15367" max="15370" width="7.7109375" style="41" customWidth="1"/>
    <col min="15371" max="15372" width="8.7109375" style="41" customWidth="1"/>
    <col min="15373" max="15375" width="7.7109375" style="41" customWidth="1"/>
    <col min="15376" max="15376" width="8.28515625" style="41" customWidth="1"/>
    <col min="15377" max="15377" width="8" style="41" customWidth="1"/>
    <col min="15378" max="15378" width="7.7109375" style="41" customWidth="1"/>
    <col min="15379" max="15614" width="9.140625" style="41"/>
    <col min="15615" max="15615" width="5.28515625" style="41" customWidth="1"/>
    <col min="15616" max="15616" width="2.42578125" style="41" customWidth="1"/>
    <col min="15617" max="15617" width="15.140625" style="41" customWidth="1"/>
    <col min="15618" max="15618" width="8.5703125" style="41" customWidth="1"/>
    <col min="15619" max="15620" width="7.7109375" style="41" customWidth="1"/>
    <col min="15621" max="15621" width="8.7109375" style="41" customWidth="1"/>
    <col min="15622" max="15622" width="7.42578125" style="41" customWidth="1"/>
    <col min="15623" max="15626" width="7.7109375" style="41" customWidth="1"/>
    <col min="15627" max="15628" width="8.7109375" style="41" customWidth="1"/>
    <col min="15629" max="15631" width="7.7109375" style="41" customWidth="1"/>
    <col min="15632" max="15632" width="8.28515625" style="41" customWidth="1"/>
    <col min="15633" max="15633" width="8" style="41" customWidth="1"/>
    <col min="15634" max="15634" width="7.7109375" style="41" customWidth="1"/>
    <col min="15635" max="15870" width="9.140625" style="41"/>
    <col min="15871" max="15871" width="5.28515625" style="41" customWidth="1"/>
    <col min="15872" max="15872" width="2.42578125" style="41" customWidth="1"/>
    <col min="15873" max="15873" width="15.140625" style="41" customWidth="1"/>
    <col min="15874" max="15874" width="8.5703125" style="41" customWidth="1"/>
    <col min="15875" max="15876" width="7.7109375" style="41" customWidth="1"/>
    <col min="15877" max="15877" width="8.7109375" style="41" customWidth="1"/>
    <col min="15878" max="15878" width="7.42578125" style="41" customWidth="1"/>
    <col min="15879" max="15882" width="7.7109375" style="41" customWidth="1"/>
    <col min="15883" max="15884" width="8.7109375" style="41" customWidth="1"/>
    <col min="15885" max="15887" width="7.7109375" style="41" customWidth="1"/>
    <col min="15888" max="15888" width="8.28515625" style="41" customWidth="1"/>
    <col min="15889" max="15889" width="8" style="41" customWidth="1"/>
    <col min="15890" max="15890" width="7.7109375" style="41" customWidth="1"/>
    <col min="15891" max="16126" width="9.140625" style="41"/>
    <col min="16127" max="16127" width="5.28515625" style="41" customWidth="1"/>
    <col min="16128" max="16128" width="2.42578125" style="41" customWidth="1"/>
    <col min="16129" max="16129" width="15.140625" style="41" customWidth="1"/>
    <col min="16130" max="16130" width="8.5703125" style="41" customWidth="1"/>
    <col min="16131" max="16132" width="7.7109375" style="41" customWidth="1"/>
    <col min="16133" max="16133" width="8.7109375" style="41" customWidth="1"/>
    <col min="16134" max="16134" width="7.42578125" style="41" customWidth="1"/>
    <col min="16135" max="16138" width="7.7109375" style="41" customWidth="1"/>
    <col min="16139" max="16140" width="8.7109375" style="41" customWidth="1"/>
    <col min="16141" max="16143" width="7.7109375" style="41" customWidth="1"/>
    <col min="16144" max="16144" width="8.28515625" style="41" customWidth="1"/>
    <col min="16145" max="16145" width="8" style="41" customWidth="1"/>
    <col min="16146" max="16146" width="7.7109375" style="41" customWidth="1"/>
    <col min="16147" max="16384" width="9.140625" style="41"/>
  </cols>
  <sheetData>
    <row r="1" spans="1:19">
      <c r="A1" s="45" t="s">
        <v>677</v>
      </c>
    </row>
    <row r="2" spans="1:19">
      <c r="A2" s="45" t="s">
        <v>528</v>
      </c>
    </row>
    <row r="3" spans="1:19" ht="15">
      <c r="A3" s="984" t="s">
        <v>678</v>
      </c>
      <c r="B3" s="984"/>
      <c r="C3" s="984"/>
      <c r="D3" s="984"/>
      <c r="E3" s="984"/>
      <c r="F3" s="984"/>
      <c r="G3" s="984"/>
      <c r="H3" s="984"/>
      <c r="I3" s="984"/>
      <c r="J3" s="984"/>
      <c r="K3" s="984"/>
      <c r="L3" s="984"/>
      <c r="M3" s="984"/>
      <c r="N3" s="984"/>
      <c r="O3" s="984"/>
      <c r="P3" s="984"/>
      <c r="Q3" s="984"/>
      <c r="R3" s="984"/>
      <c r="S3" s="984"/>
    </row>
    <row r="4" spans="1:19">
      <c r="A4" s="936" t="str">
        <f>'DATA KARYAWAN &amp; ALAMAT'!A2:U2</f>
        <v>PERIODE  :  MARET  2018</v>
      </c>
      <c r="B4" s="936"/>
      <c r="C4" s="936"/>
      <c r="D4" s="936"/>
      <c r="E4" s="936"/>
      <c r="F4" s="936"/>
      <c r="G4" s="936"/>
      <c r="H4" s="936"/>
      <c r="I4" s="936"/>
      <c r="J4" s="936"/>
      <c r="K4" s="936"/>
      <c r="L4" s="936"/>
      <c r="M4" s="936"/>
      <c r="N4" s="936"/>
      <c r="O4" s="936"/>
      <c r="P4" s="936"/>
      <c r="Q4" s="936"/>
      <c r="R4" s="936"/>
      <c r="S4" s="936"/>
    </row>
    <row r="6" spans="1:19" ht="13.5" customHeight="1">
      <c r="A6" s="985" t="s">
        <v>1</v>
      </c>
      <c r="B6" s="988" t="s">
        <v>516</v>
      </c>
      <c r="C6" s="978"/>
      <c r="D6" s="975" t="s">
        <v>679</v>
      </c>
      <c r="E6" s="975" t="s">
        <v>685</v>
      </c>
      <c r="F6" s="975" t="s">
        <v>2413</v>
      </c>
      <c r="G6" s="975" t="s">
        <v>2348</v>
      </c>
      <c r="H6" s="975" t="s">
        <v>680</v>
      </c>
      <c r="I6" s="975" t="s">
        <v>2347</v>
      </c>
      <c r="J6" s="975" t="s">
        <v>2357</v>
      </c>
      <c r="K6" s="975" t="s">
        <v>2350</v>
      </c>
      <c r="L6" s="975" t="s">
        <v>2356</v>
      </c>
      <c r="M6" s="978" t="s">
        <v>2358</v>
      </c>
      <c r="N6" s="975" t="s">
        <v>2351</v>
      </c>
      <c r="O6" s="975" t="s">
        <v>2352</v>
      </c>
      <c r="P6" s="981" t="s">
        <v>2354</v>
      </c>
      <c r="Q6" s="975" t="s">
        <v>2353</v>
      </c>
      <c r="R6" s="991" t="s">
        <v>681</v>
      </c>
      <c r="S6" s="992"/>
    </row>
    <row r="7" spans="1:19" ht="15" customHeight="1">
      <c r="A7" s="986"/>
      <c r="B7" s="989"/>
      <c r="C7" s="979"/>
      <c r="D7" s="976"/>
      <c r="E7" s="976"/>
      <c r="F7" s="976"/>
      <c r="G7" s="976"/>
      <c r="H7" s="976"/>
      <c r="I7" s="976"/>
      <c r="J7" s="976"/>
      <c r="K7" s="976"/>
      <c r="L7" s="976"/>
      <c r="M7" s="979"/>
      <c r="N7" s="976"/>
      <c r="O7" s="976"/>
      <c r="P7" s="982"/>
      <c r="Q7" s="976"/>
      <c r="R7" s="976" t="s">
        <v>682</v>
      </c>
      <c r="S7" s="994" t="s">
        <v>683</v>
      </c>
    </row>
    <row r="8" spans="1:19" ht="15.75" customHeight="1">
      <c r="A8" s="987"/>
      <c r="B8" s="990"/>
      <c r="C8" s="980"/>
      <c r="D8" s="977"/>
      <c r="E8" s="977"/>
      <c r="F8" s="977"/>
      <c r="G8" s="977"/>
      <c r="H8" s="977"/>
      <c r="I8" s="977"/>
      <c r="J8" s="977"/>
      <c r="K8" s="977"/>
      <c r="L8" s="977"/>
      <c r="M8" s="980"/>
      <c r="N8" s="977"/>
      <c r="O8" s="977"/>
      <c r="P8" s="983"/>
      <c r="Q8" s="977"/>
      <c r="R8" s="993"/>
      <c r="S8" s="995"/>
    </row>
    <row r="9" spans="1:19" ht="15" customHeight="1">
      <c r="A9" s="464" t="s">
        <v>22</v>
      </c>
      <c r="B9" s="337" t="s">
        <v>2321</v>
      </c>
      <c r="C9" s="244"/>
      <c r="D9" s="328"/>
      <c r="E9" s="335"/>
      <c r="F9" s="335"/>
      <c r="G9" s="335"/>
      <c r="H9" s="335"/>
      <c r="I9" s="335"/>
      <c r="J9" s="335"/>
      <c r="K9" s="335"/>
      <c r="L9" s="335"/>
      <c r="M9" s="246"/>
      <c r="N9" s="246"/>
      <c r="O9" s="335"/>
      <c r="P9" s="247"/>
      <c r="Q9" s="335"/>
      <c r="R9" s="335"/>
      <c r="S9" s="465"/>
    </row>
    <row r="10" spans="1:19" ht="15" customHeight="1">
      <c r="A10" s="496"/>
      <c r="B10" s="490" t="s">
        <v>116</v>
      </c>
      <c r="C10" s="498" t="s">
        <v>684</v>
      </c>
      <c r="D10" s="499"/>
      <c r="E10" s="499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497"/>
    </row>
    <row r="11" spans="1:19" ht="15" customHeight="1">
      <c r="A11" s="473"/>
      <c r="B11" s="349"/>
      <c r="C11" s="245" t="s">
        <v>2333</v>
      </c>
      <c r="D11" s="479">
        <f>SUM(E11:S11)</f>
        <v>1</v>
      </c>
      <c r="E11" s="488">
        <f>COUNTIF('DATA KARYAWAN &amp; ALAMAT'!$D$8,"E.3")</f>
        <v>1</v>
      </c>
      <c r="F11" s="480"/>
      <c r="G11" s="480"/>
      <c r="H11" s="480"/>
      <c r="I11" s="480"/>
      <c r="J11" s="480"/>
      <c r="K11" s="480"/>
      <c r="L11" s="480"/>
      <c r="M11" s="480"/>
      <c r="N11" s="480"/>
      <c r="O11" s="480"/>
      <c r="P11" s="480"/>
      <c r="Q11" s="480"/>
      <c r="R11" s="480"/>
      <c r="S11" s="489"/>
    </row>
    <row r="12" spans="1:19" ht="15" customHeight="1">
      <c r="A12" s="466"/>
      <c r="B12" s="334"/>
      <c r="C12" s="339" t="s">
        <v>2334</v>
      </c>
      <c r="D12" s="460">
        <f>SUM(E12:S12)</f>
        <v>2</v>
      </c>
      <c r="E12" s="463"/>
      <c r="F12" s="372">
        <f>COUNTIF('DATA KARYAWAN &amp; ALAMAT'!$D$11,"1.C")</f>
        <v>1</v>
      </c>
      <c r="G12" s="463"/>
      <c r="H12" s="463"/>
      <c r="I12" s="463"/>
      <c r="J12" s="372">
        <f>COUNTIF('DATA KARYAWAN &amp; ALAMAT'!$D$43,"1.C")</f>
        <v>1</v>
      </c>
      <c r="K12" s="463"/>
      <c r="L12" s="463"/>
      <c r="M12" s="463"/>
      <c r="N12" s="463"/>
      <c r="O12" s="463"/>
      <c r="P12" s="463"/>
      <c r="Q12" s="463"/>
      <c r="R12" s="463"/>
      <c r="S12" s="467"/>
    </row>
    <row r="13" spans="1:19" ht="15" customHeight="1">
      <c r="A13" s="466"/>
      <c r="B13" s="334"/>
      <c r="C13" s="339" t="s">
        <v>2338</v>
      </c>
      <c r="D13" s="460">
        <f>SUM(E13:S13)</f>
        <v>0</v>
      </c>
      <c r="E13" s="463"/>
      <c r="F13" s="463"/>
      <c r="G13" s="463"/>
      <c r="H13" s="463"/>
      <c r="I13" s="463"/>
      <c r="J13" s="463"/>
      <c r="K13" s="463"/>
      <c r="L13" s="463"/>
      <c r="M13" s="372">
        <f>COUNTIF('DATA KARYAWAN &amp; ALAMAT'!$D$57,"1.B")</f>
        <v>0</v>
      </c>
      <c r="N13" s="463"/>
      <c r="O13" s="463"/>
      <c r="P13" s="463"/>
      <c r="Q13" s="463"/>
      <c r="R13" s="463"/>
      <c r="S13" s="467"/>
    </row>
    <row r="14" spans="1:19" ht="15" customHeight="1">
      <c r="A14" s="470"/>
      <c r="B14" s="365"/>
      <c r="C14" s="355" t="s">
        <v>2335</v>
      </c>
      <c r="D14" s="475">
        <f>SUM(E14:S14)</f>
        <v>8</v>
      </c>
      <c r="E14" s="476"/>
      <c r="F14" s="476"/>
      <c r="G14" s="477">
        <f>COUNTIF('DATA KARYAWAN &amp; ALAMAT'!$D$11:$D$21,"2.C")</f>
        <v>1</v>
      </c>
      <c r="H14" s="477">
        <f>COUNTIF('DATA KARYAWAN &amp; ALAMAT'!$D$24:$D$29,"2.C")</f>
        <v>1</v>
      </c>
      <c r="I14" s="477">
        <f>COUNTIF('DATA KARYAWAN &amp; ALAMAT'!$D$34:$D$37,"2.C")</f>
        <v>1</v>
      </c>
      <c r="J14" s="476"/>
      <c r="K14" s="477">
        <f>COUNTIF('DATA KARYAWAN &amp; ALAMAT'!$D$44:$D$46,"2.C")</f>
        <v>1</v>
      </c>
      <c r="L14" s="477">
        <f>COUNTIF('DATA KARYAWAN &amp; ALAMAT'!$D$44:$D$46,"2.C")</f>
        <v>1</v>
      </c>
      <c r="M14" s="476"/>
      <c r="N14" s="477">
        <f>COUNTIF('DATA KARYAWAN &amp; ALAMAT'!$D$57:$D$59,"2.C")</f>
        <v>1</v>
      </c>
      <c r="O14" s="477">
        <f>COUNTIF('DATA KARYAWAN &amp; ALAMAT'!$D$63:$D$66,"2.C")</f>
        <v>0</v>
      </c>
      <c r="P14" s="477">
        <f>COUNTIF('DATA KARYAWAN &amp; ALAMAT'!$D$70:$D$74,"2.C")</f>
        <v>1</v>
      </c>
      <c r="Q14" s="477">
        <f>COUNTIF('DATA KARYAWAN &amp; ALAMAT'!$D$78:$D$81,"2.C")</f>
        <v>1</v>
      </c>
      <c r="R14" s="476"/>
      <c r="S14" s="478"/>
    </row>
    <row r="15" spans="1:19" ht="15" customHeight="1">
      <c r="A15" s="482" t="s">
        <v>17</v>
      </c>
      <c r="B15" s="483" t="s">
        <v>116</v>
      </c>
      <c r="C15" s="484" t="s">
        <v>2305</v>
      </c>
      <c r="D15" s="485"/>
      <c r="E15" s="486"/>
      <c r="F15" s="486"/>
      <c r="G15" s="486"/>
      <c r="H15" s="486"/>
      <c r="I15" s="486"/>
      <c r="J15" s="486"/>
      <c r="K15" s="486"/>
      <c r="L15" s="486"/>
      <c r="M15" s="486"/>
      <c r="N15" s="486"/>
      <c r="O15" s="486"/>
      <c r="P15" s="486"/>
      <c r="Q15" s="486"/>
      <c r="R15" s="486"/>
      <c r="S15" s="487"/>
    </row>
    <row r="16" spans="1:19" ht="15" customHeight="1">
      <c r="A16" s="473"/>
      <c r="B16" s="349"/>
      <c r="C16" s="245" t="s">
        <v>2345</v>
      </c>
      <c r="D16" s="479">
        <f t="shared" ref="D16:D23" si="0">SUM(E16:S16)</f>
        <v>0</v>
      </c>
      <c r="E16" s="480"/>
      <c r="F16" s="480"/>
      <c r="G16" s="480"/>
      <c r="H16" s="480"/>
      <c r="I16" s="480"/>
      <c r="J16" s="480"/>
      <c r="K16" s="480"/>
      <c r="L16" s="480"/>
      <c r="M16" s="480"/>
      <c r="N16" s="480"/>
      <c r="O16" s="480"/>
      <c r="P16" s="480"/>
      <c r="Q16" s="480"/>
      <c r="R16" s="480"/>
      <c r="S16" s="481"/>
    </row>
    <row r="17" spans="1:23" ht="15" customHeight="1">
      <c r="A17" s="466"/>
      <c r="B17" s="334"/>
      <c r="C17" s="339" t="s">
        <v>2344</v>
      </c>
      <c r="D17" s="460">
        <f t="shared" si="0"/>
        <v>1</v>
      </c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372">
        <f>COUNTIF('DATA KARYAWAN &amp; ALAMAT'!$D$106:$D$151,"O1.B")</f>
        <v>1</v>
      </c>
      <c r="S17" s="467"/>
    </row>
    <row r="18" spans="1:23" ht="15" customHeight="1">
      <c r="A18" s="466"/>
      <c r="B18" s="336"/>
      <c r="C18" s="339" t="s">
        <v>2339</v>
      </c>
      <c r="D18" s="460">
        <f t="shared" si="0"/>
        <v>10</v>
      </c>
      <c r="E18" s="463"/>
      <c r="F18" s="463"/>
      <c r="G18" s="463"/>
      <c r="H18" s="463"/>
      <c r="I18" s="463"/>
      <c r="J18" s="463"/>
      <c r="K18" s="463"/>
      <c r="L18" s="463"/>
      <c r="M18" s="463"/>
      <c r="N18" s="463"/>
      <c r="O18" s="463"/>
      <c r="P18" s="463"/>
      <c r="Q18" s="372">
        <f>COUNTIF('DATA KARYAWAN &amp; ALAMAT'!$D$78:$D$103,"O2.C")</f>
        <v>5</v>
      </c>
      <c r="R18" s="372">
        <f>COUNTIF('DATA KARYAWAN &amp; ALAMAT'!$D$106:$D$120,"O2.C")</f>
        <v>0</v>
      </c>
      <c r="S18" s="468">
        <f>COUNTIF('DATA KARYAWAN &amp; ALAMAT'!$D$122:$D$149,"O2.C")</f>
        <v>5</v>
      </c>
    </row>
    <row r="19" spans="1:23" ht="15" customHeight="1">
      <c r="A19" s="466"/>
      <c r="B19" s="336"/>
      <c r="C19" s="339" t="s">
        <v>2340</v>
      </c>
      <c r="D19" s="460">
        <f t="shared" si="0"/>
        <v>16</v>
      </c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372">
        <f>COUNTIF('DATA KARYAWAN &amp; ALAMAT'!$D$78:$D$103,"O2.b")</f>
        <v>5</v>
      </c>
      <c r="R19" s="372">
        <f>COUNTIF('DATA KARYAWAN &amp; ALAMAT'!$D$106:$D$151,"O2.B")</f>
        <v>11</v>
      </c>
      <c r="S19" s="468">
        <f>COUNTIF('DATA KARYAWAN &amp; ALAMAT'!$D$122:$D$149,"O2.b")</f>
        <v>0</v>
      </c>
    </row>
    <row r="20" spans="1:23" ht="15" customHeight="1">
      <c r="A20" s="466"/>
      <c r="B20" s="336"/>
      <c r="C20" s="339" t="s">
        <v>2341</v>
      </c>
      <c r="D20" s="329">
        <f t="shared" si="0"/>
        <v>19</v>
      </c>
      <c r="E20" s="463"/>
      <c r="F20" s="463"/>
      <c r="G20" s="463"/>
      <c r="H20" s="463"/>
      <c r="I20" s="463"/>
      <c r="J20" s="463"/>
      <c r="K20" s="463"/>
      <c r="L20" s="463"/>
      <c r="M20" s="463"/>
      <c r="N20" s="463"/>
      <c r="O20" s="463"/>
      <c r="P20" s="463"/>
      <c r="Q20" s="372">
        <f>COUNTIF('DATA KARYAWAN &amp; ALAMAT'!$D$78:$D$103,"O3.a")</f>
        <v>5</v>
      </c>
      <c r="R20" s="476"/>
      <c r="S20" s="372">
        <f>COUNTIF('DATA KARYAWAN &amp; ALAMAT'!$D$106:$D$149,"O3.A")</f>
        <v>14</v>
      </c>
    </row>
    <row r="21" spans="1:23" ht="15" customHeight="1">
      <c r="A21" s="466"/>
      <c r="B21" s="336"/>
      <c r="C21" s="339" t="s">
        <v>2342</v>
      </c>
      <c r="D21" s="329">
        <f t="shared" si="0"/>
        <v>13</v>
      </c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3"/>
      <c r="P21" s="463"/>
      <c r="Q21" s="372">
        <f>COUNTIF('DATA KARYAWAN &amp; ALAMAT'!$D$78:$D$103,"O3.b")</f>
        <v>5</v>
      </c>
      <c r="R21" s="476"/>
      <c r="S21" s="372">
        <f>COUNTIF('DATA KARYAWAN &amp; ALAMAT'!$D$106:$D$149,"O3.B")</f>
        <v>8</v>
      </c>
    </row>
    <row r="22" spans="1:23" ht="15" customHeight="1">
      <c r="A22" s="470"/>
      <c r="B22" s="471"/>
      <c r="C22" s="355" t="s">
        <v>2343</v>
      </c>
      <c r="D22" s="350">
        <f>SUM(E22:S22)</f>
        <v>0</v>
      </c>
      <c r="E22" s="476"/>
      <c r="F22" s="476"/>
      <c r="G22" s="476"/>
      <c r="H22" s="476"/>
      <c r="I22" s="476"/>
      <c r="J22" s="476"/>
      <c r="K22" s="476"/>
      <c r="L22" s="476"/>
      <c r="M22" s="476"/>
      <c r="N22" s="476"/>
      <c r="O22" s="476"/>
      <c r="P22" s="476"/>
      <c r="Q22" s="372">
        <f>COUNTIF('DATA KARYAWAN &amp; ALAMAT'!$D$78:$D$103,"O3.C")</f>
        <v>0</v>
      </c>
      <c r="R22" s="476"/>
      <c r="S22" s="478"/>
    </row>
    <row r="23" spans="1:23" ht="15" customHeight="1">
      <c r="A23" s="470"/>
      <c r="B23" s="471"/>
      <c r="C23" s="355" t="s">
        <v>2518</v>
      </c>
      <c r="D23" s="350">
        <f t="shared" si="0"/>
        <v>1</v>
      </c>
      <c r="E23" s="476"/>
      <c r="F23" s="476"/>
      <c r="G23" s="476"/>
      <c r="H23" s="476"/>
      <c r="I23" s="476"/>
      <c r="J23" s="476"/>
      <c r="K23" s="476"/>
      <c r="L23" s="476"/>
      <c r="M23" s="476"/>
      <c r="N23" s="476"/>
      <c r="O23" s="476"/>
      <c r="P23" s="476"/>
      <c r="Q23" s="372">
        <f>COUNTIF('DATA KARYAWAN &amp; ALAMAT'!$D$78:$D$103,"O3.d")</f>
        <v>1</v>
      </c>
      <c r="R23" s="476"/>
      <c r="S23" s="478"/>
    </row>
    <row r="24" spans="1:23" ht="15" customHeight="1">
      <c r="A24" s="482" t="s">
        <v>25</v>
      </c>
      <c r="B24" s="490" t="s">
        <v>116</v>
      </c>
      <c r="C24" s="498" t="s">
        <v>1862</v>
      </c>
      <c r="D24" s="499"/>
      <c r="E24" s="501"/>
      <c r="F24" s="501"/>
      <c r="G24" s="501"/>
      <c r="H24" s="501"/>
      <c r="I24" s="501"/>
      <c r="J24" s="501"/>
      <c r="K24" s="501"/>
      <c r="L24" s="501"/>
      <c r="M24" s="501"/>
      <c r="N24" s="501"/>
      <c r="O24" s="501"/>
      <c r="P24" s="501"/>
      <c r="Q24" s="501"/>
      <c r="R24" s="501"/>
      <c r="S24" s="501"/>
      <c r="U24" s="41" t="e">
        <f>D16+D17+D18+D26+#REF!+D27+#REF!+#REF!+#REF!</f>
        <v>#REF!</v>
      </c>
    </row>
    <row r="25" spans="1:23" ht="15" customHeight="1">
      <c r="A25" s="473"/>
      <c r="B25" s="349"/>
      <c r="C25" s="245" t="s">
        <v>2337</v>
      </c>
      <c r="D25" s="346">
        <f>SUM(E25:S25)</f>
        <v>1</v>
      </c>
      <c r="E25" s="480"/>
      <c r="F25" s="480"/>
      <c r="G25" s="488">
        <f>COUNTIF('DATA KARYAWAN &amp; ALAMAT'!$D$12:$D$21,"3.C")</f>
        <v>0</v>
      </c>
      <c r="H25" s="480"/>
      <c r="I25" s="480"/>
      <c r="J25" s="480"/>
      <c r="K25" s="480"/>
      <c r="L25" s="480"/>
      <c r="M25" s="480"/>
      <c r="N25" s="480"/>
      <c r="O25" s="488">
        <f>COUNTIF('DATA KARYAWAN &amp; ALAMAT'!$D$63:$D$66,"3.C")</f>
        <v>1</v>
      </c>
      <c r="P25" s="480"/>
      <c r="Q25" s="480"/>
      <c r="R25" s="480"/>
      <c r="S25" s="489"/>
    </row>
    <row r="26" spans="1:23" ht="15" customHeight="1">
      <c r="A26" s="466"/>
      <c r="B26" s="336"/>
      <c r="C26" s="339" t="s">
        <v>2336</v>
      </c>
      <c r="D26" s="329">
        <f>SUM(E26:S26)</f>
        <v>31</v>
      </c>
      <c r="E26" s="463"/>
      <c r="F26" s="463"/>
      <c r="G26" s="372">
        <f>COUNTIF('DATA KARYAWAN &amp; ALAMAT'!$D$12:$D$21,"4.C")</f>
        <v>7</v>
      </c>
      <c r="H26" s="372">
        <f>COUNTIF('DATA KARYAWAN &amp; ALAMAT'!$D$24:$D$31,"4.C")</f>
        <v>6</v>
      </c>
      <c r="I26" s="372">
        <f>COUNTIF('DATA KARYAWAN &amp; ALAMAT'!$D$34:$D$40,"4.C")</f>
        <v>3</v>
      </c>
      <c r="J26" s="463"/>
      <c r="K26" s="372">
        <f>COUNTIF('DATA KARYAWAN &amp; ALAMAT'!$D$44:$D$48,"4.C")</f>
        <v>3</v>
      </c>
      <c r="L26" s="372">
        <f>COUNTIF('DATA KARYAWAN &amp; ALAMAT'!$D$51:$D$54,"4.C")</f>
        <v>2</v>
      </c>
      <c r="M26" s="463"/>
      <c r="N26" s="372">
        <f>COUNTIF('DATA KARYAWAN &amp; ALAMAT'!$D$57:$D$60,"4.C")</f>
        <v>1</v>
      </c>
      <c r="O26" s="372">
        <f>COUNTIF('DATA KARYAWAN &amp; ALAMAT'!$D$63:$D$66,"4.C")</f>
        <v>3</v>
      </c>
      <c r="P26" s="372">
        <f>COUNTIF('DATA KARYAWAN &amp; ALAMAT'!$D$71:$D$75,"4.C")</f>
        <v>3</v>
      </c>
      <c r="Q26" s="372">
        <f>COUNTIF('DATA KARYAWAN &amp; ALAMAT'!$D$78:$D$103,"4.C")</f>
        <v>3</v>
      </c>
      <c r="R26" s="463"/>
      <c r="S26" s="467"/>
    </row>
    <row r="27" spans="1:23" ht="15" customHeight="1">
      <c r="A27" s="466"/>
      <c r="B27" s="336"/>
      <c r="C27" s="469">
        <v>5</v>
      </c>
      <c r="D27" s="329">
        <f t="shared" ref="D27:D29" si="1">SUM(E27:S27)</f>
        <v>15</v>
      </c>
      <c r="E27" s="372"/>
      <c r="F27" s="372"/>
      <c r="G27" s="372">
        <f>COUNTIF('DATA KARYAWAN &amp; ALAMAT'!$D$12:$D$21,"5")</f>
        <v>1</v>
      </c>
      <c r="H27" s="372">
        <f>COUNTIF('DATA KARYAWAN &amp; ALAMAT'!$D$24:$D$31,"5")</f>
        <v>1</v>
      </c>
      <c r="I27" s="372">
        <f>COUNTIF('DATA KARYAWAN &amp; ALAMAT'!$D$34:$D$40,"5")</f>
        <v>3</v>
      </c>
      <c r="J27" s="372"/>
      <c r="K27" s="372">
        <f>COUNTIF('DATA KARYAWAN &amp; ALAMAT'!$D$44:$D$48,"5")</f>
        <v>1</v>
      </c>
      <c r="L27" s="372">
        <f>COUNTIF('DATA KARYAWAN &amp; ALAMAT'!$D$51:$D$54,"5")</f>
        <v>1</v>
      </c>
      <c r="M27" s="372"/>
      <c r="N27" s="372">
        <f>COUNTIF('DATA KARYAWAN &amp; ALAMAT'!$D$57:$D$60,"5")</f>
        <v>1</v>
      </c>
      <c r="O27" s="372">
        <f>COUNTIF('DATA KARYAWAN &amp; ALAMAT'!$D$63:$D$67,"5")</f>
        <v>1</v>
      </c>
      <c r="P27" s="372">
        <f>COUNTIF('DATA KARYAWAN &amp; ALAMAT'!$D$70:$D$75,"5")</f>
        <v>2</v>
      </c>
      <c r="Q27" s="372">
        <f>COUNTIF('DATA KARYAWAN &amp; ALAMAT'!$D$78:$D$103,"5")</f>
        <v>1</v>
      </c>
      <c r="R27" s="372">
        <f>COUNTIF('DATA KARYAWAN &amp; ALAMAT'!$D$106:$D$120,"5")</f>
        <v>2</v>
      </c>
      <c r="S27" s="468">
        <f>COUNTIF('DATA KARYAWAN &amp; ALAMAT'!D122:D149,"5")</f>
        <v>1</v>
      </c>
    </row>
    <row r="28" spans="1:23" ht="15" customHeight="1">
      <c r="A28" s="466"/>
      <c r="B28" s="336"/>
      <c r="C28" s="339" t="s">
        <v>2318</v>
      </c>
      <c r="D28" s="329">
        <f t="shared" si="1"/>
        <v>1</v>
      </c>
      <c r="E28" s="463"/>
      <c r="F28" s="463"/>
      <c r="G28" s="372">
        <f>COUNTIF('DATA KARYAWAN &amp; ALAMAT'!$D$11:$D$21,"M")</f>
        <v>1</v>
      </c>
      <c r="H28" s="463"/>
      <c r="I28" s="463"/>
      <c r="J28" s="463"/>
      <c r="K28" s="463"/>
      <c r="L28" s="463"/>
      <c r="M28" s="463"/>
      <c r="N28" s="463"/>
      <c r="O28" s="463"/>
      <c r="P28" s="463"/>
      <c r="Q28" s="463"/>
      <c r="R28" s="463"/>
      <c r="S28" s="467"/>
      <c r="U28" s="41">
        <v>100</v>
      </c>
      <c r="W28" s="41">
        <v>1</v>
      </c>
    </row>
    <row r="29" spans="1:23" ht="15" customHeight="1">
      <c r="A29" s="470"/>
      <c r="B29" s="471"/>
      <c r="C29" s="355" t="s">
        <v>31</v>
      </c>
      <c r="D29" s="350">
        <f t="shared" si="1"/>
        <v>0</v>
      </c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7">
        <f>COUNTIF('DATA KARYAWAN &amp; ALAMAT'!$D$78:$D$103,"P")</f>
        <v>0</v>
      </c>
      <c r="R29" s="476"/>
      <c r="S29" s="472"/>
      <c r="U29" s="41">
        <v>51</v>
      </c>
      <c r="W29" s="41">
        <v>3</v>
      </c>
    </row>
    <row r="30" spans="1:23" ht="15" customHeight="1">
      <c r="A30" s="482"/>
      <c r="B30" s="495"/>
      <c r="C30" s="492" t="s">
        <v>517</v>
      </c>
      <c r="D30" s="491">
        <f>SUM(D11:D29)</f>
        <v>119</v>
      </c>
      <c r="E30" s="485">
        <f t="shared" ref="E30:S30" si="2">SUM(E11:E29)</f>
        <v>1</v>
      </c>
      <c r="F30" s="485">
        <f t="shared" si="2"/>
        <v>1</v>
      </c>
      <c r="G30" s="485">
        <f t="shared" si="2"/>
        <v>10</v>
      </c>
      <c r="H30" s="485">
        <f t="shared" si="2"/>
        <v>8</v>
      </c>
      <c r="I30" s="485">
        <f t="shared" si="2"/>
        <v>7</v>
      </c>
      <c r="J30" s="485">
        <f t="shared" si="2"/>
        <v>1</v>
      </c>
      <c r="K30" s="485">
        <f t="shared" si="2"/>
        <v>5</v>
      </c>
      <c r="L30" s="485">
        <f t="shared" si="2"/>
        <v>4</v>
      </c>
      <c r="M30" s="485">
        <f t="shared" si="2"/>
        <v>0</v>
      </c>
      <c r="N30" s="485">
        <f t="shared" si="2"/>
        <v>3</v>
      </c>
      <c r="O30" s="485">
        <f t="shared" si="2"/>
        <v>5</v>
      </c>
      <c r="P30" s="493">
        <f t="shared" si="2"/>
        <v>6</v>
      </c>
      <c r="Q30" s="485">
        <f t="shared" si="2"/>
        <v>26</v>
      </c>
      <c r="R30" s="485">
        <f>SUM(R11:R29)</f>
        <v>14</v>
      </c>
      <c r="S30" s="494">
        <f t="shared" si="2"/>
        <v>28</v>
      </c>
      <c r="U30" s="41">
        <v>22</v>
      </c>
      <c r="W30" s="41">
        <v>10</v>
      </c>
    </row>
    <row r="31" spans="1:23" ht="15" customHeight="1">
      <c r="A31" s="474"/>
      <c r="B31" s="243"/>
      <c r="C31" s="244"/>
      <c r="D31" s="328"/>
      <c r="E31" s="518"/>
      <c r="F31" s="519"/>
      <c r="G31" s="519"/>
      <c r="H31" s="519"/>
      <c r="I31" s="519"/>
      <c r="J31" s="519"/>
      <c r="K31" s="519"/>
      <c r="L31" s="519"/>
      <c r="M31" s="520"/>
      <c r="N31" s="520"/>
      <c r="O31" s="519"/>
      <c r="P31" s="521"/>
      <c r="Q31" s="519"/>
      <c r="R31" s="518"/>
      <c r="S31" s="522"/>
      <c r="U31" s="41">
        <v>5</v>
      </c>
      <c r="W31" s="41">
        <v>165</v>
      </c>
    </row>
    <row r="32" spans="1:23" ht="15" customHeight="1">
      <c r="A32" s="482" t="s">
        <v>25</v>
      </c>
      <c r="B32" s="495" t="s">
        <v>2346</v>
      </c>
      <c r="C32" s="524"/>
      <c r="D32" s="499"/>
      <c r="E32" s="525"/>
      <c r="F32" s="525"/>
      <c r="G32" s="525"/>
      <c r="H32" s="525"/>
      <c r="I32" s="525"/>
      <c r="J32" s="525"/>
      <c r="K32" s="525"/>
      <c r="L32" s="525"/>
      <c r="M32" s="525"/>
      <c r="N32" s="525"/>
      <c r="O32" s="525"/>
      <c r="P32" s="525"/>
      <c r="Q32" s="525"/>
      <c r="R32" s="525"/>
      <c r="S32" s="526"/>
      <c r="U32" s="41">
        <f>SUM(U28:U31)</f>
        <v>178</v>
      </c>
      <c r="W32" s="41">
        <v>5</v>
      </c>
    </row>
    <row r="33" spans="1:23" ht="15" customHeight="1">
      <c r="A33" s="523"/>
      <c r="B33" s="366"/>
      <c r="C33" s="245" t="s">
        <v>534</v>
      </c>
      <c r="D33" s="479">
        <f>SUM(E33:S33)</f>
        <v>2</v>
      </c>
      <c r="E33" s="372">
        <f>COUNTIF('DATA KARYAWAN &amp; ALAMAT'!$S$8,"S2")</f>
        <v>1</v>
      </c>
      <c r="F33" s="517"/>
      <c r="G33" s="517"/>
      <c r="H33" s="517"/>
      <c r="I33" s="517"/>
      <c r="J33" s="517"/>
      <c r="K33" s="517"/>
      <c r="L33" s="517"/>
      <c r="M33" s="480"/>
      <c r="N33" s="517"/>
      <c r="O33" s="517"/>
      <c r="P33" s="517"/>
      <c r="Q33" s="517"/>
      <c r="R33" s="488">
        <f>COUNTIF('DATA KARYAWAN &amp; ALAMAT'!$S$106:$S$118,"S2")</f>
        <v>1</v>
      </c>
      <c r="S33" s="481">
        <f>COUNTIF('DATA KARYAWAN &amp; ALAMAT'!$S$122:$S$149,"S2")</f>
        <v>0</v>
      </c>
      <c r="W33" s="41">
        <f>SUM(W28:W32)</f>
        <v>184</v>
      </c>
    </row>
    <row r="34" spans="1:23" ht="15" customHeight="1">
      <c r="A34" s="466"/>
      <c r="B34" s="336"/>
      <c r="C34" s="339" t="s">
        <v>23</v>
      </c>
      <c r="D34" s="479">
        <f t="shared" ref="D34:D37" si="3">SUM(E34:S34)</f>
        <v>61</v>
      </c>
      <c r="E34" s="502"/>
      <c r="F34" s="372">
        <f>COUNTIF('DATA KARYAWAN &amp; ALAMAT'!$S$11,"S1")</f>
        <v>1</v>
      </c>
      <c r="G34" s="372">
        <f>COUNTIF('DATA KARYAWAN &amp; ALAMAT'!$S$12:$S$21,"S1")</f>
        <v>8</v>
      </c>
      <c r="H34" s="372">
        <f>COUNTIF('DATA KARYAWAN &amp; ALAMAT'!$S$24:$S$31,"S1")</f>
        <v>2</v>
      </c>
      <c r="I34" s="372">
        <f>COUNTIF('DATA KARYAWAN &amp; ALAMAT'!$S$34:$S$40,"S1")</f>
        <v>4</v>
      </c>
      <c r="J34" s="372">
        <f>COUNTIF('DATA KARYAWAN &amp; ALAMAT'!$S$43,"S1")</f>
        <v>1</v>
      </c>
      <c r="K34" s="372">
        <f>COUNTIF('DATA KARYAWAN &amp; ALAMAT'!$S$44:$S$48,"S1")</f>
        <v>4</v>
      </c>
      <c r="L34" s="372">
        <f>COUNTIF('DATA KARYAWAN &amp; ALAMAT'!$S$51:$S$54,"S1")</f>
        <v>3</v>
      </c>
      <c r="M34" s="372">
        <f>COUNTIF('DATA KARYAWAN &amp; ALAMAT'!$S$57,"S1")</f>
        <v>0</v>
      </c>
      <c r="N34" s="372">
        <f>COUNTIF('DATA KARYAWAN &amp; ALAMAT'!$S$58:$S$60,"S1")</f>
        <v>3</v>
      </c>
      <c r="O34" s="372">
        <f>COUNTIF('DATA KARYAWAN &amp; ALAMAT'!$S$63:$S$67,"S1")</f>
        <v>4</v>
      </c>
      <c r="P34" s="372">
        <f>COUNTIF('DATA KARYAWAN &amp; ALAMAT'!$S$70:$S$75,"S1")</f>
        <v>5</v>
      </c>
      <c r="Q34" s="372">
        <f>COUNTIF('DATA KARYAWAN &amp; ALAMAT'!$S$78:$S$103,"S1")</f>
        <v>9</v>
      </c>
      <c r="R34" s="372">
        <f>COUNTIF('DATA KARYAWAN &amp; ALAMAT'!$S$106:$S$118,"S1")</f>
        <v>8</v>
      </c>
      <c r="S34" s="481">
        <f>COUNTIF('DATA KARYAWAN &amp; ALAMAT'!$S$122:$S$149,"S1")</f>
        <v>9</v>
      </c>
      <c r="U34" s="41">
        <v>177</v>
      </c>
    </row>
    <row r="35" spans="1:23" ht="15" customHeight="1">
      <c r="A35" s="466"/>
      <c r="B35" s="336"/>
      <c r="C35" s="339" t="s">
        <v>175</v>
      </c>
      <c r="D35" s="479">
        <f t="shared" si="3"/>
        <v>2</v>
      </c>
      <c r="E35" s="502"/>
      <c r="F35" s="502"/>
      <c r="G35" s="502"/>
      <c r="H35" s="502"/>
      <c r="I35" s="502"/>
      <c r="J35" s="502"/>
      <c r="K35" s="502"/>
      <c r="L35" s="502"/>
      <c r="M35" s="502"/>
      <c r="N35" s="502"/>
      <c r="O35" s="502"/>
      <c r="P35" s="502"/>
      <c r="Q35" s="372">
        <f>COUNTIF('DATA KARYAWAN &amp; ALAMAT'!$S$78:$S$103,"D3")</f>
        <v>1</v>
      </c>
      <c r="R35" s="372">
        <f>COUNTIF('DATA KARYAWAN &amp; ALAMAT'!$S$106:$S$119,"D3")</f>
        <v>1</v>
      </c>
      <c r="S35" s="372">
        <f>COUNTIF('DATA KARYAWAN &amp; ALAMAT'!$S$122:$S$149,"D3")</f>
        <v>0</v>
      </c>
      <c r="U35" s="41">
        <v>5</v>
      </c>
    </row>
    <row r="36" spans="1:23" ht="15" customHeight="1">
      <c r="A36" s="466"/>
      <c r="B36" s="336"/>
      <c r="C36" s="339" t="s">
        <v>529</v>
      </c>
      <c r="D36" s="479">
        <f t="shared" si="3"/>
        <v>52</v>
      </c>
      <c r="E36" s="502"/>
      <c r="F36" s="502"/>
      <c r="G36" s="372">
        <f>COUNTIF('DATA KARYAWAN &amp; ALAMAT'!$S$12:$S$21,"SLTA")</f>
        <v>1</v>
      </c>
      <c r="H36" s="372">
        <f>COUNTIF('DATA KARYAWAN &amp; ALAMAT'!$S$24:$S$31,"SLTA")</f>
        <v>6</v>
      </c>
      <c r="I36" s="372">
        <f>COUNTIF('DATA KARYAWAN &amp; ALAMAT'!$S$34:$S$40,"SLTA")</f>
        <v>3</v>
      </c>
      <c r="J36" s="502"/>
      <c r="K36" s="372">
        <f>COUNTIF('DATA KARYAWAN &amp; ALAMAT'!$S$44:$S$48,"SLTA")</f>
        <v>1</v>
      </c>
      <c r="L36" s="372">
        <f>COUNTIF('DATA KARYAWAN &amp; ALAMAT'!$S$51:$S$54,"SLTA")</f>
        <v>1</v>
      </c>
      <c r="M36" s="502"/>
      <c r="N36" s="372">
        <f>COUNTIF('DATA KARYAWAN &amp; ALAMAT'!$S$57:$S$60,"SLTA")</f>
        <v>0</v>
      </c>
      <c r="O36" s="372">
        <f>COUNTIF('DATA KARYAWAN &amp; ALAMAT'!$S$63:$S$67,"SLTA")</f>
        <v>1</v>
      </c>
      <c r="P36" s="372">
        <f>COUNTIF('DATA KARYAWAN &amp; ALAMAT'!$S$70:$S$75,"SLTA")</f>
        <v>1</v>
      </c>
      <c r="Q36" s="372">
        <f>COUNTIF('DATA KARYAWAN &amp; ALAMAT'!$S$78:$S$103,"SLTA")</f>
        <v>15</v>
      </c>
      <c r="R36" s="372">
        <f>COUNTIF('DATA KARYAWAN &amp; ALAMAT'!$S$106:$S$118,"SLTA")</f>
        <v>4</v>
      </c>
      <c r="S36" s="481">
        <f>COUNTIF('DATA KARYAWAN &amp; ALAMAT'!$S$122:$S$149,"SLTA")</f>
        <v>19</v>
      </c>
      <c r="U36" s="41">
        <v>67</v>
      </c>
    </row>
    <row r="37" spans="1:23" ht="15" customHeight="1">
      <c r="A37" s="466"/>
      <c r="B37" s="336"/>
      <c r="C37" s="339" t="s">
        <v>530</v>
      </c>
      <c r="D37" s="479">
        <f t="shared" si="3"/>
        <v>2</v>
      </c>
      <c r="E37" s="502"/>
      <c r="F37" s="502"/>
      <c r="G37" s="372">
        <v>1</v>
      </c>
      <c r="H37" s="502"/>
      <c r="I37" s="502"/>
      <c r="J37" s="502"/>
      <c r="K37" s="502"/>
      <c r="L37" s="502"/>
      <c r="M37" s="502"/>
      <c r="N37" s="502"/>
      <c r="O37" s="502"/>
      <c r="P37" s="502"/>
      <c r="Q37" s="372">
        <f>COUNTIF('DATA KARYAWAN &amp; ALAMAT'!$S$78:$S$103,"SLTP")</f>
        <v>1</v>
      </c>
      <c r="R37" s="502"/>
      <c r="S37" s="503"/>
      <c r="U37" s="41">
        <f>SUM(U34:U36)</f>
        <v>249</v>
      </c>
    </row>
    <row r="38" spans="1:23" ht="15" customHeight="1">
      <c r="A38" s="482"/>
      <c r="B38" s="495"/>
      <c r="C38" s="492" t="s">
        <v>517</v>
      </c>
      <c r="D38" s="491">
        <f t="shared" ref="D38:S38" si="4">SUM(D33:D37)</f>
        <v>119</v>
      </c>
      <c r="E38" s="485">
        <f t="shared" si="4"/>
        <v>1</v>
      </c>
      <c r="F38" s="485">
        <f t="shared" si="4"/>
        <v>1</v>
      </c>
      <c r="G38" s="485">
        <f t="shared" si="4"/>
        <v>10</v>
      </c>
      <c r="H38" s="485">
        <f t="shared" si="4"/>
        <v>8</v>
      </c>
      <c r="I38" s="485">
        <f t="shared" si="4"/>
        <v>7</v>
      </c>
      <c r="J38" s="485">
        <f t="shared" si="4"/>
        <v>1</v>
      </c>
      <c r="K38" s="485">
        <f t="shared" si="4"/>
        <v>5</v>
      </c>
      <c r="L38" s="485">
        <f t="shared" si="4"/>
        <v>4</v>
      </c>
      <c r="M38" s="485">
        <f t="shared" si="4"/>
        <v>0</v>
      </c>
      <c r="N38" s="485">
        <f t="shared" si="4"/>
        <v>3</v>
      </c>
      <c r="O38" s="485">
        <f t="shared" si="4"/>
        <v>5</v>
      </c>
      <c r="P38" s="493">
        <f t="shared" si="4"/>
        <v>6</v>
      </c>
      <c r="Q38" s="485">
        <f t="shared" si="4"/>
        <v>26</v>
      </c>
      <c r="R38" s="485">
        <f t="shared" si="4"/>
        <v>14</v>
      </c>
      <c r="S38" s="494">
        <f t="shared" si="4"/>
        <v>28</v>
      </c>
      <c r="T38" s="41">
        <f>SUM(E38:S38)</f>
        <v>119</v>
      </c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23">
      <c r="A40" s="3"/>
      <c r="B40" s="3"/>
      <c r="C40" s="3"/>
      <c r="D40" s="3"/>
      <c r="E40" s="3"/>
      <c r="F40" s="3"/>
      <c r="G40" s="3">
        <v>6</v>
      </c>
      <c r="H40" s="3">
        <v>1</v>
      </c>
      <c r="I40" s="3">
        <v>3</v>
      </c>
      <c r="J40" s="3"/>
      <c r="K40" s="3">
        <v>1</v>
      </c>
      <c r="L40" s="3">
        <v>1</v>
      </c>
      <c r="M40" s="3"/>
      <c r="N40" s="3">
        <v>3</v>
      </c>
      <c r="O40" s="3">
        <v>1</v>
      </c>
      <c r="P40" s="3">
        <v>4</v>
      </c>
      <c r="Q40" s="3">
        <v>11</v>
      </c>
      <c r="R40" s="3">
        <v>24</v>
      </c>
      <c r="S40" s="3">
        <v>7</v>
      </c>
      <c r="T40" s="41" t="e">
        <f>#REF!+6</f>
        <v>#REF!</v>
      </c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</sheetData>
  <mergeCells count="21">
    <mergeCell ref="A3:S3"/>
    <mergeCell ref="A4:S4"/>
    <mergeCell ref="A6:A8"/>
    <mergeCell ref="B6:C8"/>
    <mergeCell ref="D6:D8"/>
    <mergeCell ref="E6:E8"/>
    <mergeCell ref="F6:F8"/>
    <mergeCell ref="G6:G8"/>
    <mergeCell ref="H6:H8"/>
    <mergeCell ref="I6:I8"/>
    <mergeCell ref="N6:N8"/>
    <mergeCell ref="R6:S6"/>
    <mergeCell ref="R7:R8"/>
    <mergeCell ref="S7:S8"/>
    <mergeCell ref="Q6:Q8"/>
    <mergeCell ref="J6:J8"/>
    <mergeCell ref="K6:K8"/>
    <mergeCell ref="L6:L8"/>
    <mergeCell ref="M6:M8"/>
    <mergeCell ref="O6:O8"/>
    <mergeCell ref="P6:P8"/>
  </mergeCells>
  <printOptions horizontalCentered="1"/>
  <pageMargins left="1.25" right="0.5" top="0.25" bottom="0.5" header="0.3" footer="0.3"/>
  <pageSetup paperSize="5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56"/>
  <sheetViews>
    <sheetView showZeros="0" view="pageBreakPreview" zoomScale="130" zoomScaleNormal="85" zoomScaleSheetLayoutView="130"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P11" sqref="P11"/>
    </sheetView>
  </sheetViews>
  <sheetFormatPr defaultRowHeight="15"/>
  <cols>
    <col min="1" max="1" width="9.140625" style="5"/>
    <col min="2" max="2" width="22.140625" style="5" bestFit="1" customWidth="1"/>
    <col min="3" max="3" width="9.140625" style="5" customWidth="1"/>
    <col min="4" max="16" width="5.7109375" style="5" customWidth="1"/>
    <col min="17" max="17" width="8.28515625" style="5" customWidth="1"/>
    <col min="18" max="18" width="7.7109375" style="5" customWidth="1"/>
    <col min="19" max="19" width="9.140625" style="5"/>
    <col min="20" max="22" width="2.140625" style="5" bestFit="1" customWidth="1"/>
    <col min="23" max="25" width="9.140625" style="5"/>
    <col min="26" max="29" width="2.140625" style="5" bestFit="1" customWidth="1"/>
    <col min="30" max="30" width="9.140625" style="5"/>
    <col min="31" max="31" width="2.140625" style="5" bestFit="1" customWidth="1"/>
    <col min="32" max="34" width="3.28515625" style="5" bestFit="1" customWidth="1"/>
    <col min="35" max="16384" width="9.140625" style="5"/>
  </cols>
  <sheetData>
    <row r="1" spans="1:24">
      <c r="A1" s="37" t="s">
        <v>677</v>
      </c>
      <c r="B1" s="37"/>
    </row>
    <row r="2" spans="1:24">
      <c r="A2" s="37" t="s">
        <v>528</v>
      </c>
      <c r="B2" s="37"/>
    </row>
    <row r="3" spans="1:24" ht="15.75">
      <c r="A3" s="1000" t="s">
        <v>678</v>
      </c>
      <c r="B3" s="1000"/>
      <c r="C3" s="1000"/>
      <c r="D3" s="1000"/>
      <c r="E3" s="1000"/>
      <c r="F3" s="1000"/>
      <c r="G3" s="1000"/>
      <c r="H3" s="1000"/>
      <c r="I3" s="1000"/>
      <c r="J3" s="1000"/>
      <c r="K3" s="1000"/>
      <c r="L3" s="1000"/>
      <c r="M3" s="1000"/>
      <c r="N3" s="1000"/>
      <c r="O3" s="1000"/>
      <c r="P3" s="1000"/>
      <c r="Q3" s="1000"/>
      <c r="R3" s="1000"/>
    </row>
    <row r="4" spans="1:24" ht="15.75">
      <c r="A4" s="1000" t="str">
        <f>'DATA KARYAWAN &amp; ALAMAT'!A2:U2</f>
        <v>PERIODE  :  MARET  2018</v>
      </c>
      <c r="B4" s="1000"/>
      <c r="C4" s="1000"/>
      <c r="D4" s="1000"/>
      <c r="E4" s="1000"/>
      <c r="F4" s="1000"/>
      <c r="G4" s="1000"/>
      <c r="H4" s="1000"/>
      <c r="I4" s="1000"/>
      <c r="J4" s="1000"/>
      <c r="K4" s="1000"/>
      <c r="L4" s="1000"/>
      <c r="M4" s="1000"/>
      <c r="N4" s="1000"/>
      <c r="O4" s="1000"/>
      <c r="P4" s="1000"/>
      <c r="Q4" s="1000"/>
      <c r="R4" s="1000"/>
    </row>
    <row r="5" spans="1:24" ht="15.75">
      <c r="A5" s="345"/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462"/>
      <c r="P5" s="345"/>
      <c r="Q5" s="345"/>
      <c r="R5" s="345"/>
    </row>
    <row r="6" spans="1:24" ht="15.75" customHeight="1">
      <c r="A6" s="996" t="s">
        <v>1</v>
      </c>
      <c r="B6" s="996"/>
      <c r="C6" s="996" t="s">
        <v>679</v>
      </c>
      <c r="D6" s="996" t="s">
        <v>685</v>
      </c>
      <c r="E6" s="996" t="s">
        <v>2361</v>
      </c>
      <c r="F6" s="996" t="s">
        <v>2359</v>
      </c>
      <c r="G6" s="996" t="s">
        <v>680</v>
      </c>
      <c r="H6" s="996" t="s">
        <v>2347</v>
      </c>
      <c r="I6" s="996" t="s">
        <v>2349</v>
      </c>
      <c r="J6" s="996" t="s">
        <v>2350</v>
      </c>
      <c r="K6" s="996" t="s">
        <v>2360</v>
      </c>
      <c r="L6" s="996" t="s">
        <v>2355</v>
      </c>
      <c r="M6" s="996" t="s">
        <v>2351</v>
      </c>
      <c r="N6" s="996" t="s">
        <v>2352</v>
      </c>
      <c r="O6" s="996" t="s">
        <v>2354</v>
      </c>
      <c r="P6" s="996" t="s">
        <v>2353</v>
      </c>
      <c r="Q6" s="997" t="s">
        <v>681</v>
      </c>
      <c r="R6" s="997"/>
    </row>
    <row r="7" spans="1:24">
      <c r="A7" s="996"/>
      <c r="B7" s="996"/>
      <c r="C7" s="996"/>
      <c r="D7" s="996"/>
      <c r="E7" s="996"/>
      <c r="F7" s="996"/>
      <c r="G7" s="996"/>
      <c r="H7" s="996"/>
      <c r="I7" s="996"/>
      <c r="J7" s="996"/>
      <c r="K7" s="996"/>
      <c r="L7" s="996"/>
      <c r="M7" s="996"/>
      <c r="N7" s="996"/>
      <c r="O7" s="996"/>
      <c r="P7" s="996"/>
      <c r="Q7" s="996" t="s">
        <v>682</v>
      </c>
      <c r="R7" s="996" t="s">
        <v>683</v>
      </c>
    </row>
    <row r="8" spans="1:24">
      <c r="A8" s="996"/>
      <c r="B8" s="996"/>
      <c r="C8" s="996"/>
      <c r="D8" s="996"/>
      <c r="E8" s="996"/>
      <c r="F8" s="996"/>
      <c r="G8" s="996"/>
      <c r="H8" s="996"/>
      <c r="I8" s="996"/>
      <c r="J8" s="996"/>
      <c r="K8" s="996"/>
      <c r="L8" s="996"/>
      <c r="M8" s="996"/>
      <c r="N8" s="996"/>
      <c r="O8" s="996"/>
      <c r="P8" s="996"/>
      <c r="Q8" s="998"/>
      <c r="R8" s="998"/>
    </row>
    <row r="9" spans="1:24">
      <c r="A9" s="351" t="s">
        <v>22</v>
      </c>
      <c r="B9" s="509" t="s">
        <v>708</v>
      </c>
      <c r="C9" s="364"/>
      <c r="D9" s="510"/>
      <c r="E9" s="510"/>
      <c r="F9" s="510"/>
      <c r="G9" s="510"/>
      <c r="H9" s="510"/>
      <c r="I9" s="510"/>
      <c r="J9" s="510"/>
      <c r="K9" s="510"/>
      <c r="L9" s="510"/>
      <c r="M9" s="510"/>
      <c r="N9" s="510"/>
      <c r="O9" s="510"/>
      <c r="P9" s="510"/>
      <c r="Q9" s="510"/>
      <c r="R9" s="511"/>
    </row>
    <row r="10" spans="1:24">
      <c r="A10" s="508"/>
      <c r="B10" s="245" t="s">
        <v>709</v>
      </c>
      <c r="C10" s="346">
        <f>GRADE!D30</f>
        <v>119</v>
      </c>
      <c r="D10" s="346">
        <f>GRADE!E30</f>
        <v>1</v>
      </c>
      <c r="E10" s="346">
        <f>GRADE!F30</f>
        <v>1</v>
      </c>
      <c r="F10" s="346">
        <f>GRADE!G30</f>
        <v>10</v>
      </c>
      <c r="G10" s="346">
        <f>GRADE!H30</f>
        <v>8</v>
      </c>
      <c r="H10" s="346">
        <f>GRADE!I30</f>
        <v>7</v>
      </c>
      <c r="I10" s="346">
        <f>GRADE!J30</f>
        <v>1</v>
      </c>
      <c r="J10" s="346">
        <f>GRADE!K30</f>
        <v>5</v>
      </c>
      <c r="K10" s="346">
        <f>GRADE!L30</f>
        <v>4</v>
      </c>
      <c r="L10" s="346">
        <f>GRADE!M30</f>
        <v>0</v>
      </c>
      <c r="M10" s="346">
        <f>GRADE!N30</f>
        <v>3</v>
      </c>
      <c r="N10" s="346">
        <f>GRADE!O30</f>
        <v>5</v>
      </c>
      <c r="O10" s="346">
        <f>GRADE!P30</f>
        <v>6</v>
      </c>
      <c r="P10" s="346">
        <f>GRADE!Q30</f>
        <v>26</v>
      </c>
      <c r="Q10" s="346">
        <f>GRADE!R30</f>
        <v>14</v>
      </c>
      <c r="R10" s="346">
        <f>GRADE!S30</f>
        <v>28</v>
      </c>
      <c r="W10" s="5" t="s">
        <v>2510</v>
      </c>
    </row>
    <row r="11" spans="1:24">
      <c r="A11" s="348"/>
      <c r="B11" s="355" t="s">
        <v>710</v>
      </c>
      <c r="C11" s="350">
        <f>SUM(D11:R11)</f>
        <v>130</v>
      </c>
      <c r="D11" s="506"/>
      <c r="E11" s="506"/>
      <c r="F11" s="715">
        <f>X14</f>
        <v>2</v>
      </c>
      <c r="G11" s="506"/>
      <c r="H11" s="506"/>
      <c r="I11" s="506"/>
      <c r="J11" s="506"/>
      <c r="K11" s="506"/>
      <c r="L11" s="507"/>
      <c r="M11" s="507"/>
      <c r="N11" s="350">
        <f>X16</f>
        <v>1</v>
      </c>
      <c r="O11" s="716">
        <f>X15</f>
        <v>3</v>
      </c>
      <c r="P11" s="350">
        <f>X12+X13+X11</f>
        <v>39</v>
      </c>
      <c r="Q11" s="350">
        <f>Q55</f>
        <v>85</v>
      </c>
      <c r="R11" s="350"/>
      <c r="W11" s="5" t="s">
        <v>2508</v>
      </c>
      <c r="X11" s="5">
        <v>29</v>
      </c>
    </row>
    <row r="12" spans="1:24">
      <c r="A12" s="352"/>
      <c r="B12" s="364" t="s">
        <v>517</v>
      </c>
      <c r="C12" s="351">
        <f>SUM(C10:C11)</f>
        <v>249</v>
      </c>
      <c r="D12" s="354">
        <f t="shared" ref="D12:N12" si="0">SUM(D10:D11)</f>
        <v>1</v>
      </c>
      <c r="E12" s="354">
        <f t="shared" si="0"/>
        <v>1</v>
      </c>
      <c r="F12" s="354">
        <f t="shared" si="0"/>
        <v>12</v>
      </c>
      <c r="G12" s="354">
        <f t="shared" si="0"/>
        <v>8</v>
      </c>
      <c r="H12" s="354">
        <f t="shared" si="0"/>
        <v>7</v>
      </c>
      <c r="I12" s="354">
        <f t="shared" si="0"/>
        <v>1</v>
      </c>
      <c r="J12" s="354">
        <f t="shared" si="0"/>
        <v>5</v>
      </c>
      <c r="K12" s="354">
        <f t="shared" si="0"/>
        <v>4</v>
      </c>
      <c r="L12" s="354">
        <f t="shared" si="0"/>
        <v>0</v>
      </c>
      <c r="M12" s="354">
        <f t="shared" si="0"/>
        <v>3</v>
      </c>
      <c r="N12" s="354">
        <f t="shared" si="0"/>
        <v>6</v>
      </c>
      <c r="O12" s="354">
        <f>SUM(O10:O11)</f>
        <v>9</v>
      </c>
      <c r="P12" s="351">
        <f>SUM(P10:P11)</f>
        <v>65</v>
      </c>
      <c r="Q12" s="351">
        <f>SUM(Q10:Q11)</f>
        <v>99</v>
      </c>
      <c r="R12" s="351">
        <f>SUM(R10:R11)</f>
        <v>28</v>
      </c>
      <c r="W12" s="5" t="s">
        <v>2509</v>
      </c>
      <c r="X12" s="5">
        <v>5</v>
      </c>
    </row>
    <row r="13" spans="1:24">
      <c r="A13" s="335"/>
      <c r="B13" s="235"/>
      <c r="C13" s="328"/>
      <c r="D13" s="335"/>
      <c r="E13" s="335"/>
      <c r="F13" s="328"/>
      <c r="G13" s="335"/>
      <c r="H13" s="335"/>
      <c r="I13" s="335"/>
      <c r="J13" s="335"/>
      <c r="K13" s="335"/>
      <c r="L13" s="246"/>
      <c r="M13" s="246"/>
      <c r="N13" s="335"/>
      <c r="O13" s="247"/>
      <c r="P13" s="328"/>
      <c r="Q13" s="335"/>
      <c r="R13" s="328"/>
      <c r="W13" s="5" t="s">
        <v>2511</v>
      </c>
      <c r="X13" s="5">
        <v>5</v>
      </c>
    </row>
    <row r="14" spans="1:24">
      <c r="A14" s="351" t="s">
        <v>17</v>
      </c>
      <c r="B14" s="364" t="s">
        <v>535</v>
      </c>
      <c r="C14" s="512"/>
      <c r="D14" s="513"/>
      <c r="E14" s="513"/>
      <c r="F14" s="513"/>
      <c r="G14" s="513"/>
      <c r="H14" s="513"/>
      <c r="I14" s="513"/>
      <c r="J14" s="513"/>
      <c r="K14" s="513"/>
      <c r="L14" s="513"/>
      <c r="M14" s="513"/>
      <c r="N14" s="513"/>
      <c r="O14" s="513"/>
      <c r="P14" s="513"/>
      <c r="Q14" s="513"/>
      <c r="R14" s="353"/>
      <c r="W14" s="5" t="s">
        <v>2513</v>
      </c>
      <c r="X14" s="5">
        <v>2</v>
      </c>
    </row>
    <row r="15" spans="1:24">
      <c r="A15" s="347"/>
      <c r="B15" s="245" t="s">
        <v>711</v>
      </c>
      <c r="C15" s="329">
        <f ca="1">SUM(D15:R15)</f>
        <v>96</v>
      </c>
      <c r="D15" s="488">
        <f>COUNTIF('DATA KARYAWAN &amp; ALAMAT'!$J$8,"L")</f>
        <v>1</v>
      </c>
      <c r="E15" s="488">
        <f>COUNTIF('DATA KARYAWAN &amp; ALAMAT'!$J$11,"L")</f>
        <v>1</v>
      </c>
      <c r="F15" s="488">
        <f ca="1">COUNTIF('DATA KARYAWAN &amp; ALAMAT'!$J$12:$J$21,"L")</f>
        <v>8</v>
      </c>
      <c r="G15" s="488">
        <f>COUNTIF('DATA KARYAWAN &amp; ALAMAT'!$J$24:$J$31,"L")</f>
        <v>5</v>
      </c>
      <c r="H15" s="488">
        <f>COUNTIF('DATA KARYAWAN &amp; ALAMAT'!$J$34:$J$40,"L")</f>
        <v>5</v>
      </c>
      <c r="I15" s="488">
        <f>COUNTIF('DATA KARYAWAN &amp; ALAMAT'!$J$43,"L")</f>
        <v>1</v>
      </c>
      <c r="J15" s="372">
        <f>COUNTIF('DATA KARYAWAN &amp; ALAMAT'!$J$44:$J$48,"L")</f>
        <v>1</v>
      </c>
      <c r="K15" s="488">
        <f>COUNTIF('DATA KARYAWAN &amp; ALAMAT'!$J$51:$J$54,"L")</f>
        <v>3</v>
      </c>
      <c r="L15" s="488">
        <f>COUNTIF('DATA KARYAWAN &amp; ALAMAT'!$J$57,"L")</f>
        <v>0</v>
      </c>
      <c r="M15" s="488">
        <f>COUNTIF('DATA KARYAWAN &amp; ALAMAT'!$J$58:$J$60,"L")</f>
        <v>2</v>
      </c>
      <c r="N15" s="488">
        <f>COUNTIF('DATA KARYAWAN &amp; ALAMAT'!$J$63:$J$67,"L")</f>
        <v>4</v>
      </c>
      <c r="O15" s="488">
        <f>COUNTIF('DATA KARYAWAN &amp; ALAMAT'!$J$70:$J$75,"L")</f>
        <v>4</v>
      </c>
      <c r="P15" s="488">
        <f>COUNTIF('DATA KARYAWAN &amp; ALAMAT'!$J$78:$J$103,"L")</f>
        <v>26</v>
      </c>
      <c r="Q15" s="372">
        <f>COUNTIF('DATA KARYAWAN &amp; ALAMAT'!$J$106:$J$120,"L")</f>
        <v>10</v>
      </c>
      <c r="R15" s="372">
        <f>COUNTIF('DATA KARYAWAN &amp; ALAMAT'!$J$122:$J$149,"L")</f>
        <v>25</v>
      </c>
      <c r="W15" s="5" t="s">
        <v>2512</v>
      </c>
      <c r="X15" s="5">
        <v>3</v>
      </c>
    </row>
    <row r="16" spans="1:24">
      <c r="A16" s="348"/>
      <c r="B16" s="355" t="s">
        <v>712</v>
      </c>
      <c r="C16" s="329">
        <f ca="1">SUM(D16:R16)</f>
        <v>23</v>
      </c>
      <c r="D16" s="502"/>
      <c r="E16" s="502"/>
      <c r="F16" s="488">
        <f ca="1">COUNTIF('DATA KARYAWAN &amp; ALAMAT'!$J$11:$J$21,"P")</f>
        <v>2</v>
      </c>
      <c r="G16" s="372">
        <f>COUNTIF('DATA KARYAWAN &amp; ALAMAT'!$J$24:$J$31,"P")</f>
        <v>3</v>
      </c>
      <c r="H16" s="372">
        <f>COUNTIF('DATA KARYAWAN &amp; ALAMAT'!$J$34:$J$40,"P")</f>
        <v>2</v>
      </c>
      <c r="I16" s="502"/>
      <c r="J16" s="372">
        <f>COUNTIF('DATA KARYAWAN &amp; ALAMAT'!$J$44:$J$48,"P")</f>
        <v>4</v>
      </c>
      <c r="K16" s="372">
        <f>COUNTIF('DATA KARYAWAN &amp; ALAMAT'!$J$51:$J$54,"P")</f>
        <v>1</v>
      </c>
      <c r="L16" s="502"/>
      <c r="M16" s="488">
        <f>COUNTIF('DATA KARYAWAN &amp; ALAMAT'!$J$58:$J$60,"P")</f>
        <v>1</v>
      </c>
      <c r="N16" s="488">
        <f>COUNTIF('DATA KARYAWAN &amp; ALAMAT'!$J$63:$J$67,"P")</f>
        <v>1</v>
      </c>
      <c r="O16" s="372">
        <f>COUNTIF('DATA KARYAWAN &amp; ALAMAT'!$J$70:$J$75,"P")</f>
        <v>2</v>
      </c>
      <c r="P16" s="372">
        <f>COUNTIF('DATA KARYAWAN &amp; ALAMAT'!$J$78:$J$103,"P")</f>
        <v>0</v>
      </c>
      <c r="Q16" s="372">
        <f>COUNTIF('DATA KARYAWAN &amp; ALAMAT'!$J$106:$J$120,"P")</f>
        <v>4</v>
      </c>
      <c r="R16" s="372">
        <f>COUNTIF('DATA KARYAWAN &amp; ALAMAT'!$J$122:$J$149,"P")</f>
        <v>3</v>
      </c>
      <c r="W16" s="5" t="s">
        <v>2514</v>
      </c>
      <c r="X16" s="5">
        <v>1</v>
      </c>
    </row>
    <row r="17" spans="1:25">
      <c r="A17" s="351"/>
      <c r="B17" s="356" t="s">
        <v>517</v>
      </c>
      <c r="C17" s="329">
        <f ca="1">SUM(D17:R17)</f>
        <v>119</v>
      </c>
      <c r="D17" s="351">
        <f>SUM(D15:D16)</f>
        <v>1</v>
      </c>
      <c r="E17" s="351">
        <f t="shared" ref="E17:R17" si="1">SUM(E15:E16)</f>
        <v>1</v>
      </c>
      <c r="F17" s="351">
        <f t="shared" ca="1" si="1"/>
        <v>10</v>
      </c>
      <c r="G17" s="351">
        <f t="shared" si="1"/>
        <v>8</v>
      </c>
      <c r="H17" s="351">
        <f t="shared" si="1"/>
        <v>7</v>
      </c>
      <c r="I17" s="351">
        <f t="shared" si="1"/>
        <v>1</v>
      </c>
      <c r="J17" s="351">
        <f t="shared" si="1"/>
        <v>5</v>
      </c>
      <c r="K17" s="351">
        <f t="shared" si="1"/>
        <v>4</v>
      </c>
      <c r="L17" s="351">
        <f t="shared" si="1"/>
        <v>0</v>
      </c>
      <c r="M17" s="351">
        <f>SUM(M15:M16)</f>
        <v>3</v>
      </c>
      <c r="N17" s="351">
        <f>SUM(N15:N16)</f>
        <v>5</v>
      </c>
      <c r="O17" s="354">
        <f t="shared" ref="O17" si="2">SUM(O15:O16)</f>
        <v>6</v>
      </c>
      <c r="P17" s="351">
        <f>SUM(P15:P16)</f>
        <v>26</v>
      </c>
      <c r="Q17" s="351">
        <f>SUM(Q15:Q16)</f>
        <v>14</v>
      </c>
      <c r="R17" s="351">
        <f t="shared" si="1"/>
        <v>28</v>
      </c>
      <c r="W17" s="5" t="s">
        <v>2515</v>
      </c>
      <c r="X17" s="5">
        <v>77</v>
      </c>
    </row>
    <row r="18" spans="1:25">
      <c r="A18" s="328"/>
      <c r="B18" s="235"/>
      <c r="C18" s="328" t="s">
        <v>769</v>
      </c>
      <c r="D18" s="328"/>
      <c r="E18" s="328"/>
      <c r="F18" s="328"/>
      <c r="G18" s="328"/>
      <c r="H18" s="328"/>
      <c r="I18" s="328"/>
      <c r="J18" s="328"/>
      <c r="K18" s="328"/>
      <c r="L18" s="360"/>
      <c r="M18" s="360"/>
      <c r="N18" s="328"/>
      <c r="O18" s="361"/>
      <c r="P18" s="328"/>
      <c r="Q18" s="328"/>
      <c r="R18" s="328"/>
      <c r="W18" s="5" t="s">
        <v>2516</v>
      </c>
      <c r="X18" s="5">
        <f>SUM(X11:X17)</f>
        <v>122</v>
      </c>
    </row>
    <row r="19" spans="1:25">
      <c r="A19" s="351" t="s">
        <v>25</v>
      </c>
      <c r="B19" s="509" t="s">
        <v>2307</v>
      </c>
      <c r="C19" s="512"/>
      <c r="D19" s="513"/>
      <c r="E19" s="513"/>
      <c r="F19" s="513"/>
      <c r="G19" s="513"/>
      <c r="H19" s="513"/>
      <c r="I19" s="513"/>
      <c r="J19" s="513"/>
      <c r="K19" s="513"/>
      <c r="L19" s="513"/>
      <c r="M19" s="513"/>
      <c r="N19" s="513"/>
      <c r="O19" s="513"/>
      <c r="P19" s="513"/>
      <c r="Q19" s="513"/>
      <c r="R19" s="353"/>
    </row>
    <row r="20" spans="1:25">
      <c r="A20" s="346"/>
      <c r="B20" s="245" t="s">
        <v>713</v>
      </c>
      <c r="C20" s="329">
        <f>SUM(D20:R20)</f>
        <v>1</v>
      </c>
      <c r="D20" s="517"/>
      <c r="E20" s="517"/>
      <c r="F20" s="517"/>
      <c r="G20" s="517"/>
      <c r="H20" s="517"/>
      <c r="I20" s="517"/>
      <c r="J20" s="372">
        <f>COUNTIF('DATA KARYAWAN &amp; ALAMAT'!$G$44:$G$48,"TK")</f>
        <v>1</v>
      </c>
      <c r="K20" s="517"/>
      <c r="L20" s="517"/>
      <c r="M20" s="517"/>
      <c r="N20" s="517"/>
      <c r="O20" s="480"/>
      <c r="P20" s="517"/>
      <c r="Q20" s="517"/>
      <c r="R20" s="517"/>
    </row>
    <row r="21" spans="1:25">
      <c r="A21" s="329"/>
      <c r="B21" s="339" t="s">
        <v>714</v>
      </c>
      <c r="C21" s="329">
        <f ca="1">SUM(D21:R21)</f>
        <v>7</v>
      </c>
      <c r="D21" s="502"/>
      <c r="E21" s="502"/>
      <c r="F21" s="488">
        <f ca="1">COUNTIF('DATA KARYAWAN &amp; ALAMAT'!$G$12:$G$21,"J")</f>
        <v>1</v>
      </c>
      <c r="G21" s="372">
        <f>COUNTIF('DATA KARYAWAN &amp; ALAMAT'!$G$24:$G$31,"J")</f>
        <v>2</v>
      </c>
      <c r="H21" s="502"/>
      <c r="I21" s="502"/>
      <c r="J21" s="372">
        <f>COUNTIF('DATA KARYAWAN &amp; ALAMAT'!$G$44:$G$48,"J")</f>
        <v>2</v>
      </c>
      <c r="K21" s="463"/>
      <c r="L21" s="502"/>
      <c r="M21" s="502"/>
      <c r="N21" s="372">
        <f>COUNTIF('DATA KARYAWAN &amp; ALAMAT'!$G$63:$G$67,"J")</f>
        <v>1</v>
      </c>
      <c r="O21" s="502"/>
      <c r="P21" s="502"/>
      <c r="Q21" s="372">
        <f>COUNTIF('DATA KARYAWAN &amp; ALAMAT'!$G$106:$G$120,"J")</f>
        <v>1</v>
      </c>
      <c r="R21" s="502"/>
    </row>
    <row r="22" spans="1:25">
      <c r="A22" s="329"/>
      <c r="B22" s="339" t="s">
        <v>523</v>
      </c>
      <c r="C22" s="329">
        <f>SUM(D22:R22)</f>
        <v>1</v>
      </c>
      <c r="D22" s="502"/>
      <c r="E22" s="502"/>
      <c r="F22" s="502"/>
      <c r="G22" s="502"/>
      <c r="H22" s="502"/>
      <c r="I22" s="502"/>
      <c r="J22" s="502"/>
      <c r="K22" s="502"/>
      <c r="L22" s="502"/>
      <c r="M22" s="502"/>
      <c r="N22" s="502"/>
      <c r="O22" s="372">
        <f>COUNTIF('DATA KARYAWAN &amp; ALAMAT'!$G$70:$G$75,"D")</f>
        <v>1</v>
      </c>
      <c r="P22" s="502"/>
      <c r="Q22" s="502"/>
      <c r="R22" s="502"/>
    </row>
    <row r="23" spans="1:25">
      <c r="A23" s="350"/>
      <c r="B23" s="355" t="s">
        <v>522</v>
      </c>
      <c r="C23" s="329">
        <f ca="1">SUM(D23:R23)</f>
        <v>110</v>
      </c>
      <c r="D23" s="372">
        <f>COUNTIF('DATA KARYAWAN &amp; ALAMAT'!$G$8,"K")</f>
        <v>1</v>
      </c>
      <c r="E23" s="372">
        <f>COUNTIF('DATA KARYAWAN &amp; ALAMAT'!$G$11,"K")</f>
        <v>1</v>
      </c>
      <c r="F23" s="488">
        <f ca="1">COUNTIF('DATA KARYAWAN &amp; ALAMAT'!$G$12:$G$21,"K")</f>
        <v>9</v>
      </c>
      <c r="G23" s="372">
        <f>COUNTIF('DATA KARYAWAN &amp; ALAMAT'!$G$24:$G$31,"K")</f>
        <v>6</v>
      </c>
      <c r="H23" s="372">
        <f>COUNTIF('DATA KARYAWAN &amp; ALAMAT'!$G$34:$G$40,"K")</f>
        <v>7</v>
      </c>
      <c r="I23" s="372">
        <f>COUNTIF('DATA KARYAWAN &amp; ALAMAT'!$G$43,"K")</f>
        <v>1</v>
      </c>
      <c r="J23" s="372">
        <f>COUNTIF('DATA KARYAWAN &amp; ALAMAT'!$G$44:$G$48,"K")</f>
        <v>2</v>
      </c>
      <c r="K23" s="372">
        <f>COUNTIF('DATA KARYAWAN &amp; ALAMAT'!$G$51:$G$54,"K")</f>
        <v>4</v>
      </c>
      <c r="L23" s="372">
        <f>COUNTIF('DATA KARYAWAN &amp; ALAMAT'!$G$57,"K")</f>
        <v>0</v>
      </c>
      <c r="M23" s="372">
        <f>COUNTIF('DATA KARYAWAN &amp; ALAMAT'!$G$58:$G$60,"K")</f>
        <v>3</v>
      </c>
      <c r="N23" s="372">
        <f>COUNTIF('DATA KARYAWAN &amp; ALAMAT'!$G$63:$G$67,"K")</f>
        <v>4</v>
      </c>
      <c r="O23" s="372">
        <f>COUNTIF('DATA KARYAWAN &amp; ALAMAT'!$G$70:$G$75,"K")</f>
        <v>5</v>
      </c>
      <c r="P23" s="372">
        <f>COUNTIF('DATA KARYAWAN &amp; ALAMAT'!$G$78:$G$103,"K")</f>
        <v>26</v>
      </c>
      <c r="Q23" s="372">
        <f>COUNTIF('DATA KARYAWAN &amp; ALAMAT'!$G$106:$G$120,"K")</f>
        <v>13</v>
      </c>
      <c r="R23" s="372">
        <f>COUNTIF('DATA KARYAWAN &amp; ALAMAT'!$G$122:$G$149,"K")</f>
        <v>28</v>
      </c>
      <c r="T23" s="367"/>
    </row>
    <row r="24" spans="1:25">
      <c r="A24" s="351"/>
      <c r="B24" s="356" t="s">
        <v>517</v>
      </c>
      <c r="C24" s="351">
        <f ca="1">SUM(C19:C23)</f>
        <v>119</v>
      </c>
      <c r="D24" s="351">
        <f t="shared" ref="D24:Q24" si="3">SUM(D20:D23)</f>
        <v>1</v>
      </c>
      <c r="E24" s="351">
        <f t="shared" si="3"/>
        <v>1</v>
      </c>
      <c r="F24" s="351">
        <f t="shared" ca="1" si="3"/>
        <v>10</v>
      </c>
      <c r="G24" s="351">
        <f t="shared" si="3"/>
        <v>8</v>
      </c>
      <c r="H24" s="351">
        <f t="shared" si="3"/>
        <v>7</v>
      </c>
      <c r="I24" s="351">
        <f t="shared" si="3"/>
        <v>1</v>
      </c>
      <c r="J24" s="351">
        <f t="shared" si="3"/>
        <v>5</v>
      </c>
      <c r="K24" s="351">
        <f t="shared" si="3"/>
        <v>4</v>
      </c>
      <c r="L24" s="351">
        <f t="shared" si="3"/>
        <v>0</v>
      </c>
      <c r="M24" s="351">
        <f>M23</f>
        <v>3</v>
      </c>
      <c r="N24" s="351">
        <f>SUM(N20:N23)</f>
        <v>5</v>
      </c>
      <c r="O24" s="354">
        <f t="shared" ref="O24" si="4">SUM(O20:O23)</f>
        <v>6</v>
      </c>
      <c r="P24" s="351">
        <f t="shared" si="3"/>
        <v>26</v>
      </c>
      <c r="Q24" s="351">
        <f t="shared" si="3"/>
        <v>14</v>
      </c>
      <c r="R24" s="351">
        <f>SUM(R20:R23)</f>
        <v>28</v>
      </c>
    </row>
    <row r="25" spans="1:25">
      <c r="A25" s="328"/>
      <c r="B25" s="235"/>
      <c r="C25" s="328"/>
      <c r="D25" s="328"/>
      <c r="E25" s="328"/>
      <c r="F25" s="328"/>
      <c r="G25" s="328"/>
      <c r="H25" s="328"/>
      <c r="I25" s="328"/>
      <c r="J25" s="328"/>
      <c r="K25" s="328"/>
      <c r="L25" s="360"/>
      <c r="M25" s="360"/>
      <c r="N25" s="328"/>
      <c r="O25" s="361"/>
      <c r="P25" s="328"/>
      <c r="Q25" s="328"/>
      <c r="R25" s="328"/>
    </row>
    <row r="26" spans="1:25">
      <c r="A26" s="351" t="s">
        <v>27</v>
      </c>
      <c r="B26" s="364" t="s">
        <v>715</v>
      </c>
      <c r="C26" s="512"/>
      <c r="D26" s="513"/>
      <c r="E26" s="513"/>
      <c r="F26" s="513"/>
      <c r="G26" s="513"/>
      <c r="H26" s="513"/>
      <c r="I26" s="513"/>
      <c r="J26" s="513"/>
      <c r="K26" s="513"/>
      <c r="L26" s="513"/>
      <c r="M26" s="513"/>
      <c r="N26" s="513"/>
      <c r="O26" s="513"/>
      <c r="P26" s="513"/>
      <c r="Q26" s="513"/>
      <c r="R26" s="353"/>
    </row>
    <row r="27" spans="1:25">
      <c r="A27" s="347"/>
      <c r="B27" s="245" t="s">
        <v>524</v>
      </c>
      <c r="C27" s="346">
        <f>SUM(D27:R27)</f>
        <v>106</v>
      </c>
      <c r="D27" s="502"/>
      <c r="E27" s="488">
        <f>COUNTIF('DATA KARYAWAN &amp; ALAMAT'!$Q$11,"I")</f>
        <v>1</v>
      </c>
      <c r="F27" s="488">
        <f>COUNTIF('DATA KARYAWAN &amp; ALAMAT'!$Q$12:$Q$21,"I")</f>
        <v>10</v>
      </c>
      <c r="G27" s="488">
        <f>COUNTIF('DATA KARYAWAN &amp; ALAMAT'!$Q$24:$Q$31,"I")</f>
        <v>8</v>
      </c>
      <c r="H27" s="488">
        <f>COUNTIF('DATA KARYAWAN &amp; ALAMAT'!$Q$34:$Q$40,"I")</f>
        <v>7</v>
      </c>
      <c r="I27" s="488">
        <f>COUNTIF('DATA KARYAWAN &amp; ALAMAT'!$Q$43,"I")</f>
        <v>1</v>
      </c>
      <c r="J27" s="488">
        <f>COUNTIF('DATA KARYAWAN &amp; ALAMAT'!$Q$44:$Q$48,"I")</f>
        <v>4</v>
      </c>
      <c r="K27" s="488">
        <f>COUNTIF('DATA KARYAWAN &amp; ALAMAT'!$Q$51:$Q$54,"I")</f>
        <v>4</v>
      </c>
      <c r="L27" s="488">
        <f>COUNTIF('DATA KARYAWAN &amp; ALAMAT'!$Q$57,"I")</f>
        <v>0</v>
      </c>
      <c r="M27" s="488">
        <f>COUNTIF('DATA KARYAWAN &amp; ALAMAT'!$Q$58:$Q$60,"I")</f>
        <v>2</v>
      </c>
      <c r="N27" s="488">
        <f>COUNTIF('DATA KARYAWAN &amp; ALAMAT'!$Q$63:$Q$67,"I")</f>
        <v>5</v>
      </c>
      <c r="O27" s="488">
        <f>COUNTIF('DATA KARYAWAN &amp; ALAMAT'!$Q$70:$Q$75,"I")</f>
        <v>5</v>
      </c>
      <c r="P27" s="488">
        <f>COUNTIF('DATA KARYAWAN &amp; ALAMAT'!$Q$78:$Q$104,"I")</f>
        <v>23</v>
      </c>
      <c r="Q27" s="488">
        <f>COUNTIF('DATA KARYAWAN &amp; ALAMAT'!$Q$106:$Q$120,"I")</f>
        <v>14</v>
      </c>
      <c r="R27" s="488">
        <f>COUNTIF('DATA KARYAWAN &amp; ALAMAT'!$Q$122:$Q$149,"I")</f>
        <v>22</v>
      </c>
    </row>
    <row r="28" spans="1:25">
      <c r="A28" s="333"/>
      <c r="B28" s="339" t="s">
        <v>525</v>
      </c>
      <c r="C28" s="329">
        <f>SUM(D28:R28)</f>
        <v>6</v>
      </c>
      <c r="D28" s="488">
        <f>COUNTIF('DATA KARYAWAN &amp; ALAMAT'!$Q$8,"K")</f>
        <v>1</v>
      </c>
      <c r="E28" s="502"/>
      <c r="F28" s="502"/>
      <c r="G28" s="502"/>
      <c r="H28" s="502"/>
      <c r="I28" s="502"/>
      <c r="J28" s="488">
        <f>COUNTIF('DATA KARYAWAN &amp; ALAMAT'!$Q$44:$Q$47,"K")</f>
        <v>1</v>
      </c>
      <c r="K28" s="463"/>
      <c r="L28" s="463"/>
      <c r="M28" s="502"/>
      <c r="N28" s="372">
        <f>COUNTIF('DATA KARYAWAN &amp; ALAMAT'!$Q$63:$Q$66,"K")</f>
        <v>0</v>
      </c>
      <c r="O28" s="502"/>
      <c r="P28" s="372">
        <f>COUNTIF('DATA KARYAWAN &amp; ALAMAT'!$Q$78:$Q$103,"K")</f>
        <v>1</v>
      </c>
      <c r="Q28" s="372">
        <f>COUNTIF('DATA KARYAWAN &amp; ALAMAT'!$Q$106:$Q$120,"K")</f>
        <v>0</v>
      </c>
      <c r="R28" s="372">
        <f>COUNTIF('DATA KARYAWAN &amp; ALAMAT'!$Q$122:$Q$149,"k")</f>
        <v>3</v>
      </c>
      <c r="W28" s="43" t="s">
        <v>717</v>
      </c>
      <c r="X28" s="170">
        <f ca="1">C35</f>
        <v>2</v>
      </c>
      <c r="Y28" s="368">
        <f ca="1">X28/W32*100</f>
        <v>1.680672268907563</v>
      </c>
    </row>
    <row r="29" spans="1:25">
      <c r="A29" s="333"/>
      <c r="B29" s="339" t="s">
        <v>716</v>
      </c>
      <c r="C29" s="329">
        <f>SUM(D29:R29)</f>
        <v>6</v>
      </c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372">
        <f>COUNTIF('DATA KARYAWAN &amp; ALAMAT'!$Q$70:$Q$75,"P")</f>
        <v>1</v>
      </c>
      <c r="P29" s="372">
        <f>COUNTIF('DATA KARYAWAN &amp; ALAMAT'!$Q$78:$Q$103,"P")</f>
        <v>2</v>
      </c>
      <c r="Q29" s="372">
        <f>COUNTIF('DATA KARYAWAN &amp; ALAMAT'!$Q$106:$Q$120,"P")</f>
        <v>0</v>
      </c>
      <c r="R29" s="488">
        <f>COUNTIF('DATA KARYAWAN &amp; ALAMAT'!$Q$122:$Q$149,"p")</f>
        <v>3</v>
      </c>
      <c r="W29" s="43" t="s">
        <v>718</v>
      </c>
      <c r="X29" s="170">
        <f ca="1">C36</f>
        <v>59</v>
      </c>
      <c r="Y29" s="368">
        <f ca="1">X29/W32*100</f>
        <v>49.579831932773111</v>
      </c>
    </row>
    <row r="30" spans="1:25">
      <c r="A30" s="333"/>
      <c r="B30" s="339" t="s">
        <v>526</v>
      </c>
      <c r="C30" s="329">
        <f>SUM(D30:R30)</f>
        <v>1</v>
      </c>
      <c r="D30" s="502"/>
      <c r="E30" s="502"/>
      <c r="F30" s="502"/>
      <c r="G30" s="502"/>
      <c r="H30" s="502"/>
      <c r="I30" s="502"/>
      <c r="J30" s="502"/>
      <c r="K30" s="502"/>
      <c r="L30" s="502"/>
      <c r="M30" s="372">
        <f>COUNTIF('DATA KARYAWAN &amp; ALAMAT'!$Q$58:$Q$60,"H")</f>
        <v>1</v>
      </c>
      <c r="N30" s="502"/>
      <c r="O30" s="502"/>
      <c r="P30" s="502"/>
      <c r="Q30" s="502"/>
      <c r="R30" s="502"/>
      <c r="W30" s="43" t="s">
        <v>719</v>
      </c>
      <c r="X30" s="170">
        <f ca="1">C37</f>
        <v>57</v>
      </c>
      <c r="Y30" s="368">
        <f ca="1">X30/W32*100</f>
        <v>47.899159663865547</v>
      </c>
    </row>
    <row r="31" spans="1:25">
      <c r="A31" s="348"/>
      <c r="B31" s="355" t="s">
        <v>527</v>
      </c>
      <c r="C31" s="350">
        <f>SUM(D31:R31)</f>
        <v>0</v>
      </c>
      <c r="D31" s="502"/>
      <c r="E31" s="502"/>
      <c r="F31" s="502"/>
      <c r="G31" s="502"/>
      <c r="H31" s="502"/>
      <c r="I31" s="502"/>
      <c r="J31" s="502"/>
      <c r="K31" s="502"/>
      <c r="L31" s="502"/>
      <c r="M31" s="502"/>
      <c r="N31" s="502"/>
      <c r="O31" s="502"/>
      <c r="P31" s="502"/>
      <c r="Q31" s="502"/>
      <c r="R31" s="502"/>
      <c r="W31" s="169" t="s">
        <v>720</v>
      </c>
      <c r="X31" s="170">
        <f ca="1">C38</f>
        <v>1</v>
      </c>
      <c r="Y31" s="368">
        <f ca="1">X31/W32*100</f>
        <v>0.84033613445378152</v>
      </c>
    </row>
    <row r="32" spans="1:25">
      <c r="A32" s="351"/>
      <c r="B32" s="356" t="s">
        <v>517</v>
      </c>
      <c r="C32" s="351">
        <f>SUM(C27:C31)</f>
        <v>119</v>
      </c>
      <c r="D32" s="351">
        <f t="shared" ref="D32:Q32" si="5">SUM(D27:D31)</f>
        <v>1</v>
      </c>
      <c r="E32" s="351">
        <f t="shared" si="5"/>
        <v>1</v>
      </c>
      <c r="F32" s="351">
        <f t="shared" si="5"/>
        <v>10</v>
      </c>
      <c r="G32" s="351">
        <f t="shared" si="5"/>
        <v>8</v>
      </c>
      <c r="H32" s="351">
        <f t="shared" si="5"/>
        <v>7</v>
      </c>
      <c r="I32" s="351">
        <f t="shared" si="5"/>
        <v>1</v>
      </c>
      <c r="J32" s="351">
        <f t="shared" si="5"/>
        <v>5</v>
      </c>
      <c r="K32" s="351">
        <f t="shared" si="5"/>
        <v>4</v>
      </c>
      <c r="L32" s="351">
        <f t="shared" si="5"/>
        <v>0</v>
      </c>
      <c r="M32" s="351">
        <f>SUM(M27:M31)</f>
        <v>3</v>
      </c>
      <c r="N32" s="351">
        <f>SUM(N27:N31)</f>
        <v>5</v>
      </c>
      <c r="O32" s="354">
        <f t="shared" ref="O32" si="6">SUM(O27:O31)</f>
        <v>6</v>
      </c>
      <c r="P32" s="351">
        <f t="shared" si="5"/>
        <v>26</v>
      </c>
      <c r="Q32" s="351">
        <f t="shared" si="5"/>
        <v>14</v>
      </c>
      <c r="R32" s="351">
        <f>SUM(R27:R31)</f>
        <v>28</v>
      </c>
      <c r="W32" s="999">
        <f ca="1">SUM(X28:X31)</f>
        <v>119</v>
      </c>
      <c r="X32" s="999"/>
      <c r="Y32" s="368">
        <f ca="1">SUM(Y28:Y31)</f>
        <v>100</v>
      </c>
    </row>
    <row r="33" spans="1:25">
      <c r="A33" s="346"/>
      <c r="B33" s="357"/>
      <c r="C33" s="346"/>
      <c r="D33" s="346"/>
      <c r="E33" s="346"/>
      <c r="F33" s="346"/>
      <c r="G33" s="346"/>
      <c r="H33" s="346"/>
      <c r="I33" s="346"/>
      <c r="J33" s="346"/>
      <c r="K33" s="346"/>
      <c r="L33" s="358"/>
      <c r="M33" s="358"/>
      <c r="N33" s="346"/>
      <c r="O33" s="359"/>
      <c r="P33" s="346"/>
      <c r="Q33" s="346"/>
      <c r="R33" s="346"/>
      <c r="W33" s="369"/>
      <c r="X33" s="369"/>
      <c r="Y33" s="370"/>
    </row>
    <row r="34" spans="1:25">
      <c r="A34" s="329" t="s">
        <v>70</v>
      </c>
      <c r="B34" s="338" t="s">
        <v>809</v>
      </c>
      <c r="C34" s="340"/>
      <c r="D34" s="341"/>
      <c r="E34" s="341"/>
      <c r="F34" s="341"/>
      <c r="G34" s="341"/>
      <c r="H34" s="341"/>
      <c r="I34" s="341"/>
      <c r="J34" s="341"/>
      <c r="K34" s="341"/>
      <c r="L34" s="342"/>
      <c r="M34" s="342"/>
      <c r="N34" s="341"/>
      <c r="O34" s="343"/>
      <c r="P34" s="341"/>
      <c r="Q34" s="341"/>
      <c r="R34" s="341"/>
    </row>
    <row r="35" spans="1:25">
      <c r="A35" s="333"/>
      <c r="B35" s="339" t="s">
        <v>717</v>
      </c>
      <c r="C35" s="329">
        <f ca="1">SUM(D35:R35)</f>
        <v>2</v>
      </c>
      <c r="D35" s="514"/>
      <c r="E35" s="488">
        <f ca="1">COUNTIF('DATA KARYAWAN &amp; ALAMAT'!X11,"&gt;18")-SUM($E36:$E38)</f>
        <v>0</v>
      </c>
      <c r="F35" s="488">
        <f ca="1">COUNTIF('DATA KARYAWAN &amp; ALAMAT'!$X$12:$X$21,"&gt;18")-SUM($F36:$F38)</f>
        <v>0</v>
      </c>
      <c r="G35" s="488">
        <f ca="1">COUNTIF('DATA KARYAWAN &amp; ALAMAT'!$X$24:$X$31,"&gt;18")-SUM($G36:$G38)</f>
        <v>0</v>
      </c>
      <c r="H35" s="488">
        <f ca="1">COUNTIF('DATA KARYAWAN &amp; ALAMAT'!$X$34:$X$40,"&gt;18")-SUM($H36:$H38)</f>
        <v>0</v>
      </c>
      <c r="I35" s="488">
        <f ca="1">COUNTIF('DATA KARYAWAN &amp; ALAMAT'!$X$43:$X$43,"&gt;18")-SUM($I36:$I38)</f>
        <v>0</v>
      </c>
      <c r="J35" s="488">
        <f ca="1">COUNTIF('DATA KARYAWAN &amp; ALAMAT'!$X$44:$X$48,"&gt;18")-SUM($J36:$J38)</f>
        <v>0</v>
      </c>
      <c r="K35" s="488">
        <f ca="1">COUNTIF('DATA KARYAWAN &amp; ALAMAT'!$X$51:$X$54,"&gt;18")-SUM($K36:$K38)</f>
        <v>0</v>
      </c>
      <c r="L35" s="488">
        <f ca="1">COUNTIF('DATA KARYAWAN &amp; ALAMAT'!$X$57:$X$57,"&gt;18")-SUM($L36:$L38)</f>
        <v>0</v>
      </c>
      <c r="M35" s="488">
        <f ca="1">COUNTIF('DATA KARYAWAN &amp; ALAMAT'!$X$58:$X$60,"&gt;18")-SUM($M36:$M38)</f>
        <v>1</v>
      </c>
      <c r="N35" s="488">
        <f ca="1">COUNTIF('DATA KARYAWAN &amp; ALAMAT'!$X$63:$X$67,"&gt;18")-SUM($N36:$N38)</f>
        <v>0</v>
      </c>
      <c r="O35" s="488">
        <f ca="1">COUNTIF('DATA KARYAWAN &amp; ALAMAT'!$X$70:$X$75,"&gt;18")-SUM($O36:$O38)</f>
        <v>1</v>
      </c>
      <c r="P35" s="488">
        <f ca="1">COUNTIF('DATA KARYAWAN &amp; ALAMAT'!$X$78:$X$103,"&gt;18")-SUM($P36:$P38)</f>
        <v>0</v>
      </c>
      <c r="Q35" s="488">
        <f ca="1">COUNTIF('DATA KARYAWAN &amp; ALAMAT'!$X$106:$X$119,"&gt;18")-SUM($Q36:$Q38)</f>
        <v>0</v>
      </c>
      <c r="R35" s="488">
        <f ca="1">COUNTIF('DATA KARYAWAN &amp; ALAMAT'!$X$122:$X$149,"&gt;18")-SUM($R36:$R38)</f>
        <v>0</v>
      </c>
      <c r="T35" s="373"/>
    </row>
    <row r="36" spans="1:25">
      <c r="A36" s="333"/>
      <c r="B36" s="339" t="s">
        <v>718</v>
      </c>
      <c r="C36" s="329">
        <f ca="1">SUM(D36:R36)</f>
        <v>59</v>
      </c>
      <c r="D36" s="488">
        <f ca="1">COUNTIF('DATA KARYAWAN &amp; ALAMAT'!M12,"&gt;31;&lt;=45")</f>
        <v>1</v>
      </c>
      <c r="E36" s="488">
        <f ca="1">COUNTIF('DATA KARYAWAN &amp; ALAMAT'!$X$11,"&gt;31")-SUM($E$37:$E$38)</f>
        <v>0</v>
      </c>
      <c r="F36" s="488">
        <f ca="1">COUNTIF('DATA KARYAWAN &amp; ALAMAT'!$X$12:$X$21,"&gt;31")-SUM($F37:$F38)</f>
        <v>4</v>
      </c>
      <c r="G36" s="488">
        <f ca="1">COUNTIF('DATA KARYAWAN &amp; ALAMAT'!$X$24:$X$31,"&gt;31")-SUM($G37:$G38)</f>
        <v>1</v>
      </c>
      <c r="H36" s="488">
        <f ca="1">COUNTIF('DATA KARYAWAN &amp; ALAMAT'!$X$34:$X$40,"&gt;31")-SUM($H37:$H38)</f>
        <v>3</v>
      </c>
      <c r="I36" s="488">
        <f ca="1">COUNTIF('DATA KARYAWAN &amp; ALAMAT'!$X$43:$X$43,"&gt;31")-SUM($I37:$I38)</f>
        <v>1</v>
      </c>
      <c r="J36" s="488">
        <f ca="1">COUNTIF('DATA KARYAWAN &amp; ALAMAT'!$X$44:$X$48,"&gt;31")-SUM($J37:$J38)</f>
        <v>2</v>
      </c>
      <c r="K36" s="488">
        <f ca="1">COUNTIF('DATA KARYAWAN &amp; ALAMAT'!$X$51:$X$54,"&gt;31")-SUM($K37:$K38)</f>
        <v>2</v>
      </c>
      <c r="L36" s="488">
        <f ca="1">COUNTIF('DATA KARYAWAN &amp; ALAMAT'!$X$57:$X$57,"&gt;31")-SUM($L37:$L38)</f>
        <v>0</v>
      </c>
      <c r="M36" s="488">
        <f ca="1">COUNTIF('DATA KARYAWAN &amp; ALAMAT'!$X$58:$X$60,"&gt;31")-SUM($M37:$M38)</f>
        <v>2</v>
      </c>
      <c r="N36" s="488">
        <f ca="1">COUNTIF('DATA KARYAWAN &amp; ALAMAT'!$X$63:$X$67,"&gt;31")-SUM($N37:$N38)</f>
        <v>2</v>
      </c>
      <c r="O36" s="488">
        <f ca="1">COUNTIF('DATA KARYAWAN &amp; ALAMAT'!$X$70:$X$75,"&gt;31")-SUM($O37:$O38)</f>
        <v>2</v>
      </c>
      <c r="P36" s="488">
        <f ca="1">COUNTIF('DATA KARYAWAN &amp; ALAMAT'!$X$78:$X$103,"&gt;31")-SUM($P37:$P38)</f>
        <v>12</v>
      </c>
      <c r="Q36" s="488">
        <f ca="1">COUNTIF('DATA KARYAWAN &amp; ALAMAT'!$X$106:$X$119,"&gt;31")-SUM($Q37:$Q38)</f>
        <v>11</v>
      </c>
      <c r="R36" s="488">
        <f ca="1">COUNTIF('DATA KARYAWAN &amp; ALAMAT'!$X$122:$X$149,"&gt;31")-SUM($R37:$R38)</f>
        <v>16</v>
      </c>
      <c r="S36" s="36"/>
    </row>
    <row r="37" spans="1:25">
      <c r="A37" s="333"/>
      <c r="B37" s="339" t="s">
        <v>1863</v>
      </c>
      <c r="C37" s="329">
        <f ca="1">SUM(D37:R37)</f>
        <v>57</v>
      </c>
      <c r="D37" s="514"/>
      <c r="E37" s="488">
        <f ca="1">COUNTIF('DATA KARYAWAN &amp; ALAMAT'!X11,"&gt;46")-SUM($E$38:$E$38)</f>
        <v>1</v>
      </c>
      <c r="F37" s="488">
        <f ca="1">COUNTIF('DATA KARYAWAN &amp; ALAMAT'!$X$12:$X$21,"&gt;46")-SUM($F38)</f>
        <v>6</v>
      </c>
      <c r="G37" s="488">
        <f ca="1">COUNTIF('DATA KARYAWAN &amp; ALAMAT'!$X$24:$X$31,"&gt;46")-SUM($G38)</f>
        <v>7</v>
      </c>
      <c r="H37" s="488">
        <f ca="1">COUNTIF('DATA KARYAWAN &amp; ALAMAT'!$X$34:$X$40,"&gt;46")-SUM($H38)</f>
        <v>4</v>
      </c>
      <c r="I37" s="488">
        <f ca="1">COUNTIF('DATA KARYAWAN &amp; ALAMAT'!$X$43:$X$43,"&gt;46")-SUM($I38)</f>
        <v>0</v>
      </c>
      <c r="J37" s="488">
        <f ca="1">COUNTIF('DATA KARYAWAN &amp; ALAMAT'!$X$44:$X$48,"&gt;46")-SUM($J38)</f>
        <v>3</v>
      </c>
      <c r="K37" s="488">
        <f ca="1">COUNTIF('DATA KARYAWAN &amp; ALAMAT'!$X$51:$X$54,"&gt;46")-SUM($K38)</f>
        <v>2</v>
      </c>
      <c r="L37" s="488">
        <f ca="1">COUNTIF('DATA KARYAWAN &amp; ALAMAT'!$X$57:$X$57,"&gt;46")-SUM($L38)</f>
        <v>0</v>
      </c>
      <c r="M37" s="488">
        <f ca="1">COUNTIF('DATA KARYAWAN &amp; ALAMAT'!$X$58:$X$60,"&gt;46")-SUM($M38)</f>
        <v>0</v>
      </c>
      <c r="N37" s="488">
        <f ca="1">COUNTIF('DATA KARYAWAN &amp; ALAMAT'!$X$63:$X$67,"&gt;46")-SUM($N38)</f>
        <v>3</v>
      </c>
      <c r="O37" s="488">
        <f ca="1">COUNTIF('DATA KARYAWAN &amp; ALAMAT'!$X$70:$X$75,"&gt;46")-SUM($O38)</f>
        <v>3</v>
      </c>
      <c r="P37" s="488">
        <f ca="1">COUNTIF('DATA KARYAWAN &amp; ALAMAT'!$X$78:$X$103,"&gt;46")-SUM($P38)</f>
        <v>13</v>
      </c>
      <c r="Q37" s="488">
        <f ca="1">COUNTIF('DATA KARYAWAN &amp; ALAMAT'!$X$106:$X$119,"&gt;46")-SUM($Q38)</f>
        <v>3</v>
      </c>
      <c r="R37" s="488">
        <f ca="1">COUNTIF('DATA KARYAWAN &amp; ALAMAT'!$X$122:$X$149,"&gt;46")-SUM($R38)</f>
        <v>12</v>
      </c>
    </row>
    <row r="38" spans="1:25">
      <c r="A38" s="348"/>
      <c r="B38" s="362" t="s">
        <v>720</v>
      </c>
      <c r="C38" s="329">
        <f ca="1">SUM(D38:R38)</f>
        <v>1</v>
      </c>
      <c r="D38" s="506"/>
      <c r="E38" s="488">
        <f ca="1">COUNTIF('DATA KARYAWAN &amp; ALAMAT'!X14,"&gt;55")</f>
        <v>0</v>
      </c>
      <c r="F38" s="488">
        <f ca="1">COUNTIF('DATA KARYAWAN &amp; ALAMAT'!$X$12:$X$21,"&gt;55")</f>
        <v>0</v>
      </c>
      <c r="G38" s="488">
        <f ca="1">COUNTIF('DATA KARYAWAN &amp; ALAMAT'!$X$24:$X$31,"&gt;55")</f>
        <v>0</v>
      </c>
      <c r="H38" s="488">
        <f ca="1">COUNTIF('DATA KARYAWAN &amp; ALAMAT'!$X$34:$X$40,"&gt;55")</f>
        <v>0</v>
      </c>
      <c r="I38" s="488">
        <f ca="1">COUNTIF('DATA KARYAWAN &amp; ALAMAT'!$X$43:$X$43,"&gt;55")</f>
        <v>0</v>
      </c>
      <c r="J38" s="488">
        <f ca="1">COUNTIF('DATA KARYAWAN &amp; ALAMAT'!$X$44:$X$48,"&gt;55")</f>
        <v>0</v>
      </c>
      <c r="K38" s="488">
        <f ca="1">COUNTIF('DATA KARYAWAN &amp; ALAMAT'!$X$51:$X$54,"&gt;55")</f>
        <v>0</v>
      </c>
      <c r="L38" s="488">
        <f ca="1">COUNTIF('DATA KARYAWAN &amp; ALAMAT'!$X$57:$X$57,"&gt;55")</f>
        <v>0</v>
      </c>
      <c r="M38" s="488">
        <f ca="1">COUNTIF('DATA KARYAWAN &amp; ALAMAT'!$X$58:$X$60,"&gt;55")</f>
        <v>0</v>
      </c>
      <c r="N38" s="488">
        <f ca="1">COUNTIF('DATA KARYAWAN &amp; ALAMAT'!$X$63:$X$67,"&gt;55")</f>
        <v>0</v>
      </c>
      <c r="O38" s="488">
        <f ca="1">COUNTIF('DATA KARYAWAN &amp; ALAMAT'!$X$70:$X$75,"&gt;55")</f>
        <v>0</v>
      </c>
      <c r="P38" s="488">
        <f ca="1">COUNTIF('DATA KARYAWAN &amp; ALAMAT'!$X$78:$X$103,"&gt;55")</f>
        <v>1</v>
      </c>
      <c r="Q38" s="488">
        <f ca="1">COUNTIF('DATA KARYAWAN &amp; ALAMAT'!$X$106:$X$118,"&gt;55")</f>
        <v>0</v>
      </c>
      <c r="R38" s="488">
        <f ca="1">COUNTIF('DATA KARYAWAN &amp; ALAMAT'!$X$122:$X$149,"&gt;55")</f>
        <v>0</v>
      </c>
    </row>
    <row r="39" spans="1:25">
      <c r="A39" s="351"/>
      <c r="B39" s="371" t="s">
        <v>517</v>
      </c>
      <c r="C39" s="351">
        <f ca="1">SUM(C34:C38)</f>
        <v>119</v>
      </c>
      <c r="D39" s="351">
        <f ca="1">SUM(D35:D38)</f>
        <v>1</v>
      </c>
      <c r="E39" s="351">
        <f t="shared" ref="E39:L39" ca="1" si="7">SUM(E35:E38)</f>
        <v>1</v>
      </c>
      <c r="F39" s="351">
        <f t="shared" ca="1" si="7"/>
        <v>10</v>
      </c>
      <c r="G39" s="351">
        <f t="shared" ca="1" si="7"/>
        <v>8</v>
      </c>
      <c r="H39" s="351">
        <f t="shared" ca="1" si="7"/>
        <v>7</v>
      </c>
      <c r="I39" s="351">
        <f t="shared" ca="1" si="7"/>
        <v>1</v>
      </c>
      <c r="J39" s="351">
        <f t="shared" ca="1" si="7"/>
        <v>5</v>
      </c>
      <c r="K39" s="351">
        <f t="shared" ca="1" si="7"/>
        <v>4</v>
      </c>
      <c r="L39" s="351">
        <f t="shared" ca="1" si="7"/>
        <v>0</v>
      </c>
      <c r="M39" s="351">
        <f ca="1">SUM(M35:M38)</f>
        <v>3</v>
      </c>
      <c r="N39" s="351">
        <f ca="1">SUM(N35:N38)</f>
        <v>5</v>
      </c>
      <c r="O39" s="354">
        <f t="shared" ref="O39" ca="1" si="8">SUM(O35:O38)</f>
        <v>6</v>
      </c>
      <c r="P39" s="351">
        <f t="shared" ref="P39:R39" ca="1" si="9">SUM(P35:P38)</f>
        <v>26</v>
      </c>
      <c r="Q39" s="354">
        <f ca="1">SUM(Q35:Q38)</f>
        <v>14</v>
      </c>
      <c r="R39" s="351">
        <f t="shared" ca="1" si="9"/>
        <v>28</v>
      </c>
    </row>
    <row r="40" spans="1:25">
      <c r="A40" s="328"/>
      <c r="B40" s="527"/>
      <c r="C40" s="328"/>
      <c r="D40" s="328"/>
      <c r="E40" s="328"/>
      <c r="F40" s="328"/>
      <c r="G40" s="328"/>
      <c r="H40" s="328"/>
      <c r="I40" s="328"/>
      <c r="J40" s="328"/>
      <c r="K40" s="328"/>
      <c r="L40" s="360"/>
      <c r="M40" s="360"/>
      <c r="N40" s="328"/>
      <c r="O40" s="361"/>
      <c r="P40" s="328"/>
      <c r="Q40" s="361"/>
      <c r="R40" s="360"/>
      <c r="S40" s="5">
        <f>SUM(D40:R40)</f>
        <v>0</v>
      </c>
    </row>
    <row r="41" spans="1:25">
      <c r="A41" s="351" t="s">
        <v>30</v>
      </c>
      <c r="B41" s="371" t="s">
        <v>2329</v>
      </c>
      <c r="C41" s="351"/>
      <c r="D41" s="351"/>
      <c r="E41" s="351"/>
      <c r="F41" s="351"/>
      <c r="G41" s="351"/>
      <c r="H41" s="351"/>
      <c r="I41" s="351"/>
      <c r="J41" s="351"/>
      <c r="K41" s="351"/>
      <c r="L41" s="528"/>
      <c r="M41" s="528"/>
      <c r="N41" s="351"/>
      <c r="O41" s="354"/>
      <c r="P41" s="351"/>
      <c r="Q41" s="351"/>
      <c r="R41" s="528"/>
    </row>
    <row r="42" spans="1:25">
      <c r="A42" s="346"/>
      <c r="B42" s="508" t="s">
        <v>513</v>
      </c>
      <c r="C42" s="346">
        <f ca="1">SUM(D42:P42)</f>
        <v>2</v>
      </c>
      <c r="D42" s="488">
        <f ca="1">IFERROR(COUNTIF('DATA KARYAWAN &amp; ALAMAT'!$Y8,"&lt;5"),"")</f>
        <v>0</v>
      </c>
      <c r="E42" s="488">
        <f ca="1">IFERROR(COUNTIF('DATA KARYAWAN &amp; ALAMAT'!$Y11,"&lt;5"),"")</f>
        <v>0</v>
      </c>
      <c r="F42" s="488">
        <f ca="1">IFERROR(COUNTIF('DATA KARYAWAN &amp; ALAMAT'!$Y12:$Y21,"&lt;5"),"")</f>
        <v>0</v>
      </c>
      <c r="G42" s="488">
        <f ca="1">IFERROR(COUNTIF('DATA KARYAWAN &amp; ALAMAT'!$Y24:$Y31,"&lt;5"),"")</f>
        <v>0</v>
      </c>
      <c r="H42" s="488">
        <f ca="1">IFERROR(COUNTIF('DATA KARYAWAN &amp; ALAMAT'!$Y34:$Y40,"&lt;5"),"")</f>
        <v>0</v>
      </c>
      <c r="I42" s="488">
        <f ca="1">IFERROR(COUNTIF('DATA KARYAWAN &amp; ALAMAT'!$Y43:$Y43,"&lt;5"),"")</f>
        <v>0</v>
      </c>
      <c r="J42" s="488">
        <f ca="1">IFERROR(COUNTIF('DATA KARYAWAN &amp; ALAMAT'!$Y44:$Y48,"&lt;5"),"")</f>
        <v>0</v>
      </c>
      <c r="K42" s="488">
        <f ca="1">IFERROR(COUNTIF('DATA KARYAWAN &amp; ALAMAT'!$Y51:$Y54,"&lt;5"),"")</f>
        <v>0</v>
      </c>
      <c r="L42" s="488">
        <f ca="1">IFERROR(COUNTIF('DATA KARYAWAN &amp; ALAMAT'!$Y57:$Y57,"&lt;5"),"")</f>
        <v>0</v>
      </c>
      <c r="M42" s="488">
        <f ca="1">IFERROR(COUNTIF('DATA KARYAWAN &amp; ALAMAT'!$Y58:$Y60,"&lt;=5"),"")</f>
        <v>1</v>
      </c>
      <c r="N42" s="488">
        <f ca="1">IFERROR(COUNTIF('DATA KARYAWAN &amp; ALAMAT'!$Y63:$Y66,"&lt;=5"),"")</f>
        <v>0</v>
      </c>
      <c r="O42" s="488">
        <f ca="1">IFERROR(COUNTIF('DATA KARYAWAN &amp; ALAMAT'!$Y70:$Y75,"&lt;=5"),"")</f>
        <v>1</v>
      </c>
      <c r="P42" s="488">
        <f ca="1">IFERROR(COUNTIF('DATA KARYAWAN &amp; ALAMAT'!$Y78:$Y103,"&lt;5"),"")</f>
        <v>0</v>
      </c>
      <c r="Q42" s="488">
        <f ca="1">IFERROR(COUNTIF('DATA KARYAWAN &amp; ALAMAT'!$Y106:$Y118,"&lt;5"),"")</f>
        <v>0</v>
      </c>
      <c r="R42" s="488">
        <f ca="1">IFERROR(COUNTIF('DATA KARYAWAN &amp; ALAMAT'!$Y122:$Y149,"&lt;5"),"")</f>
        <v>0</v>
      </c>
    </row>
    <row r="43" spans="1:25">
      <c r="A43" s="329"/>
      <c r="B43" s="332" t="s">
        <v>514</v>
      </c>
      <c r="C43" s="329"/>
      <c r="D43" s="488">
        <f ca="1">COUNTIF('DATA KARYAWAN &amp; ALAMAT'!$Y8,"&gt;6")-SUM(D44:D48)</f>
        <v>0</v>
      </c>
      <c r="E43" s="488">
        <f ca="1">COUNTIF('DATA KARYAWAN &amp; ALAMAT'!$Y11,"&gt;6")-SUM(E44:E48)</f>
        <v>0</v>
      </c>
      <c r="F43" s="488">
        <f ca="1">COUNTIF('DATA KARYAWAN &amp; ALAMAT'!$Y12:$Y21,"&gt;6")-SUM(F44:F48)</f>
        <v>0</v>
      </c>
      <c r="G43" s="488">
        <f ca="1">COUNTIF('DATA KARYAWAN &amp; ALAMAT'!$Y24:$Y31,"&gt;6")-SUM(G44:G48)</f>
        <v>0</v>
      </c>
      <c r="H43" s="488">
        <f ca="1">COUNTIF('DATA KARYAWAN &amp; ALAMAT'!$Y34:$Y40,"&gt;6")-SUM(H44:H48)</f>
        <v>0</v>
      </c>
      <c r="I43" s="488">
        <f ca="1">COUNTIF('DATA KARYAWAN &amp; ALAMAT'!$Y43:$Y43,"&gt;6")-SUM(I44:I48)</f>
        <v>0</v>
      </c>
      <c r="J43" s="488">
        <f ca="1">COUNTIF('DATA KARYAWAN &amp; ALAMAT'!$Y44:$Y48,"&gt;6")-SUM(J44:J48)</f>
        <v>0</v>
      </c>
      <c r="K43" s="488">
        <f ca="1">COUNTIF('DATA KARYAWAN &amp; ALAMAT'!$Y51:$Y54,"&gt;6")-SUM(K44:K48)</f>
        <v>0</v>
      </c>
      <c r="L43" s="488">
        <f ca="1">COUNTIF('DATA KARYAWAN &amp; ALAMAT'!$Y57:$Y57,"&gt;6")-SUM(L44:L48)</f>
        <v>0</v>
      </c>
      <c r="M43" s="488">
        <f ca="1">COUNTIF('DATA KARYAWAN &amp; ALAMAT'!$Y58:$Y60,"&gt;6")-SUM(M44:M48)</f>
        <v>0</v>
      </c>
      <c r="N43" s="488"/>
      <c r="O43" s="488">
        <f ca="1">COUNTIF('DATA KARYAWAN &amp; ALAMAT'!$Y70:$Y75,"&gt;6")-SUM(O44:O48)</f>
        <v>0</v>
      </c>
      <c r="P43" s="488">
        <f ca="1">COUNTIF('DATA KARYAWAN &amp; ALAMAT'!$Y78:$Y103,"&gt;6")-SUM(P44:P48)</f>
        <v>0</v>
      </c>
      <c r="Q43" s="488">
        <f ca="1">COUNTIF('DATA KARYAWAN &amp; ALAMAT'!$Y106:$Y119,"&gt;6")-SUM(Q44:Q48)</f>
        <v>0</v>
      </c>
      <c r="R43" s="488">
        <f ca="1">COUNTIF('DATA KARYAWAN &amp; ALAMAT'!$Y122:$Y149,"&gt;6")-SUM(R44:R48)</f>
        <v>0</v>
      </c>
    </row>
    <row r="44" spans="1:25">
      <c r="A44" s="329"/>
      <c r="B44" s="332" t="s">
        <v>518</v>
      </c>
      <c r="C44" s="329">
        <f t="shared" ref="C44:C48" ca="1" si="10">SUM(D44:R44)</f>
        <v>3</v>
      </c>
      <c r="D44" s="488">
        <f ca="1">COUNTIF('DATA KARYAWAN &amp; ALAMAT'!Y8,"&gt;=11")-SUM(D45:D48)</f>
        <v>1</v>
      </c>
      <c r="E44" s="488">
        <f ca="1">COUNTIF('DATA KARYAWAN &amp; ALAMAT'!Y8,"&gt;=11")-SUM(E45:E48)</f>
        <v>0</v>
      </c>
      <c r="F44" s="488">
        <f ca="1">COUNTIF('DATA KARYAWAN &amp; ALAMAT'!$Y12:$Y21,"&gt;=11")-SUM(F45:F48)</f>
        <v>0</v>
      </c>
      <c r="G44" s="488">
        <f ca="1">COUNTIF('DATA KARYAWAN &amp; ALAMAT'!$Y24:$Y31,"&gt;=11")-SUM(G45:G48)</f>
        <v>0</v>
      </c>
      <c r="H44" s="488">
        <f ca="1">COUNTIF('DATA KARYAWAN &amp; ALAMAT'!$Y34:$Y40,"&gt;=11")-SUM(H45:H48)</f>
        <v>0</v>
      </c>
      <c r="I44" s="488">
        <f ca="1">COUNTIF('DATA KARYAWAN &amp; ALAMAT'!$Y43:$Y43,"&gt;=11")-SUM(I45:I48)</f>
        <v>0</v>
      </c>
      <c r="J44" s="488">
        <f ca="1">COUNTIF('DATA KARYAWAN &amp; ALAMAT'!$Y44:$Y48,"&gt;=11")-SUM(J45:J48)</f>
        <v>0</v>
      </c>
      <c r="K44" s="488">
        <f ca="1">COUNTIF('DATA KARYAWAN &amp; ALAMAT'!$Y51:$Y54,"&gt;=11")-SUM(K45:K48)</f>
        <v>0</v>
      </c>
      <c r="L44" s="488">
        <f ca="1">COUNTIF('DATA KARYAWAN &amp; ALAMAT'!$Y57:$Y57,"&gt;=11")-SUM(L45:L48)</f>
        <v>0</v>
      </c>
      <c r="M44" s="488">
        <f ca="1">COUNTIF('DATA KARYAWAN &amp; ALAMAT'!$Y58:$Y60,"&gt;=11")-SUM(M45:M48)</f>
        <v>0</v>
      </c>
      <c r="N44" s="488"/>
      <c r="O44" s="488">
        <f ca="1">COUNTIF('DATA KARYAWAN &amp; ALAMAT'!$Y70:$Y75,"&gt;=11")-SUM(O45:O48)</f>
        <v>0</v>
      </c>
      <c r="P44" s="488">
        <f ca="1">COUNTIF('DATA KARYAWAN &amp; ALAMAT'!$Y78:$Y103,"&gt;=11")-SUM(P45:P48)</f>
        <v>1</v>
      </c>
      <c r="Q44" s="488">
        <f ca="1">COUNTIF('DATA KARYAWAN &amp; ALAMAT'!$Y106:$Y119,"&gt;=11")-SUM(Q45:Q48)</f>
        <v>1</v>
      </c>
      <c r="R44" s="488">
        <f ca="1">COUNTIF('DATA KARYAWAN &amp; ALAMAT'!$Y122:$Y149,"&gt;=11")-SUM(R45:R48)</f>
        <v>0</v>
      </c>
    </row>
    <row r="45" spans="1:25">
      <c r="A45" s="329"/>
      <c r="B45" s="332" t="s">
        <v>519</v>
      </c>
      <c r="C45" s="329">
        <f t="shared" ca="1" si="10"/>
        <v>21</v>
      </c>
      <c r="D45" s="488">
        <f ca="1">COUNTIF('DATA KARYAWAN &amp; ALAMAT'!Y8,"&gt;=16")-SUM(D46:D48)</f>
        <v>0</v>
      </c>
      <c r="E45" s="488">
        <f ca="1">COUNTIF('DATA KARYAWAN &amp; ALAMAT'!Y11,"&gt;=16")-SUM(E46:E48)</f>
        <v>0</v>
      </c>
      <c r="F45" s="488">
        <f ca="1">COUNTIF('DATA KARYAWAN &amp; ALAMAT'!$Y12:$Y21,"&gt;=16")-SUM(F46:F48)</f>
        <v>2</v>
      </c>
      <c r="G45" s="488">
        <f ca="1">COUNTIF('DATA KARYAWAN &amp; ALAMAT'!$Y24:$Y31,"&gt;=16")-SUM(G46:G48)</f>
        <v>1</v>
      </c>
      <c r="H45" s="488">
        <f ca="1">COUNTIF('DATA KARYAWAN &amp; ALAMAT'!$Y34:$Y40,"&gt;=16")-SUM(H46:H48)</f>
        <v>3</v>
      </c>
      <c r="I45" s="488">
        <f ca="1">COUNTIF('DATA KARYAWAN &amp; ALAMAT'!$Y43:$Y43,"&gt;=16")-SUM(I46:I48)</f>
        <v>0</v>
      </c>
      <c r="J45" s="488">
        <f ca="1">COUNTIF('DATA KARYAWAN &amp; ALAMAT'!$Y44:$Y48,"&gt;=16")-SUM(J46:J48)</f>
        <v>1</v>
      </c>
      <c r="K45" s="488">
        <f ca="1">COUNTIF('DATA KARYAWAN &amp; ALAMAT'!$Y51:$Y54,"&gt;=16")-SUM(K46:K48)</f>
        <v>0</v>
      </c>
      <c r="L45" s="488">
        <f ca="1">COUNTIF('DATA KARYAWAN &amp; ALAMAT'!$Y57:$Y57,"&gt;=16")-SUM(L46:L48)</f>
        <v>0</v>
      </c>
      <c r="M45" s="488">
        <f ca="1">COUNTIF('DATA KARYAWAN &amp; ALAMAT'!$Y58:$Y60,"&gt;=16")-SUM(M46:M48)</f>
        <v>1</v>
      </c>
      <c r="N45" s="488"/>
      <c r="O45" s="488">
        <f ca="1">COUNTIF('DATA KARYAWAN &amp; ALAMAT'!$Y70:$Y75,"&gt;=16")-SUM(O46:O48)</f>
        <v>2</v>
      </c>
      <c r="P45" s="488">
        <f ca="1">COUNTIF('DATA KARYAWAN &amp; ALAMAT'!$Y78:$Y103,"&gt;=16")-SUM(P46:P48)</f>
        <v>3</v>
      </c>
      <c r="Q45" s="488">
        <f ca="1">COUNTIF('DATA KARYAWAN &amp; ALAMAT'!$Y106:$Y118,"&gt;=16")-SUM(Q46:Q48)</f>
        <v>3</v>
      </c>
      <c r="R45" s="488">
        <f ca="1">COUNTIF('DATA KARYAWAN &amp; ALAMAT'!$Y122:$Y149,"&gt;=16")-SUM(R46:R48)</f>
        <v>5</v>
      </c>
    </row>
    <row r="46" spans="1:25">
      <c r="A46" s="329"/>
      <c r="B46" s="332" t="s">
        <v>520</v>
      </c>
      <c r="C46" s="329">
        <f t="shared" ca="1" si="10"/>
        <v>44</v>
      </c>
      <c r="D46" s="488">
        <f ca="1">COUNTIF('DATA KARYAWAN &amp; ALAMAT'!Y20,"&gt;=21")-SUM($E$38:$E$38)</f>
        <v>0</v>
      </c>
      <c r="E46" s="488">
        <f ca="1">COUNTIF('DATA KARYAWAN &amp; ALAMAT'!Y11,"&gt;=21")-SUM($E$47:$E$48)</f>
        <v>0</v>
      </c>
      <c r="F46" s="488">
        <f ca="1">COUNTIF('DATA KARYAWAN &amp; ALAMAT'!$Y12:$Y21,"&gt;=21")-SUM($F$47:$F$48)</f>
        <v>4</v>
      </c>
      <c r="G46" s="488">
        <f ca="1">COUNTIF('DATA KARYAWAN &amp; ALAMAT'!$Y24:$Y31,"&gt;=21")-SUM(G47:G48)</f>
        <v>0</v>
      </c>
      <c r="H46" s="488">
        <f ca="1">COUNTIF('DATA KARYAWAN &amp; ALAMAT'!$Y34:$Y40,"&gt;=21")-SUM(H47:H48)</f>
        <v>0</v>
      </c>
      <c r="I46" s="488">
        <f ca="1">COUNTIF('DATA KARYAWAN &amp; ALAMAT'!$Y43:$Y43,"&gt;=21")-SUM(I47:I48)</f>
        <v>0</v>
      </c>
      <c r="J46" s="488">
        <f ca="1">COUNTIF('DATA KARYAWAN &amp; ALAMAT'!$Y44:$Y48,"&gt;=21")-SUM(J47:J48)</f>
        <v>1</v>
      </c>
      <c r="K46" s="488">
        <f ca="1">COUNTIF('DATA KARYAWAN &amp; ALAMAT'!$Y51:$Y54,"&gt;=21")-SUM(K47:K48)</f>
        <v>2</v>
      </c>
      <c r="L46" s="488">
        <f ca="1">COUNTIF('DATA KARYAWAN &amp; ALAMAT'!$Y57:$Y57,"&gt;=21")-SUM(L47:L48)</f>
        <v>0</v>
      </c>
      <c r="M46" s="488">
        <f ca="1">COUNTIF('DATA KARYAWAN &amp; ALAMAT'!$Y58:$Y60,"&gt;=21")-SUM(M47:M48)</f>
        <v>1</v>
      </c>
      <c r="N46" s="488">
        <f ca="1">COUNTIF('DATA KARYAWAN &amp; ALAMAT'!$Y63:$Y67,"&gt;=21")-SUM(N47:N48)</f>
        <v>3</v>
      </c>
      <c r="O46" s="488">
        <f ca="1">COUNTIF('DATA KARYAWAN &amp; ALAMAT'!$Y70:$Y75,"&gt;=21")-SUM(O47:O48)</f>
        <v>1</v>
      </c>
      <c r="P46" s="488">
        <f ca="1">COUNTIF('DATA KARYAWAN &amp; ALAMAT'!$Y78:$Y103,"&gt;=21")-SUM(P47:P48)</f>
        <v>11</v>
      </c>
      <c r="Q46" s="488">
        <f ca="1">COUNTIF('DATA KARYAWAN &amp; ALAMAT'!$Y106:$Y118,"&gt;=21")-SUM(Q47:Q48)</f>
        <v>7</v>
      </c>
      <c r="R46" s="488">
        <f ca="1">COUNTIF('DATA KARYAWAN &amp; ALAMAT'!$Y122:$Y149,"&gt;=21")-SUM(R47:R48)</f>
        <v>14</v>
      </c>
    </row>
    <row r="47" spans="1:25">
      <c r="A47" s="329">
        <v>39</v>
      </c>
      <c r="B47" s="332" t="s">
        <v>1861</v>
      </c>
      <c r="C47" s="329">
        <f t="shared" ca="1" si="10"/>
        <v>36</v>
      </c>
      <c r="D47" s="488">
        <f ca="1">COUNTIF('DATA KARYAWAN &amp; ALAMAT'!Y8,"&gt;=26")-SUM($E$38:$E$38)</f>
        <v>0</v>
      </c>
      <c r="E47" s="488">
        <f ca="1">COUNTIF('DATA KARYAWAN &amp; ALAMAT'!Y11,"&gt;=26")-SUM($E$48)</f>
        <v>0</v>
      </c>
      <c r="F47" s="488">
        <f ca="1">COUNTIF('DATA KARYAWAN &amp; ALAMAT'!$Y12:$Y21,"&gt;=26")-SUM($F$48)</f>
        <v>4</v>
      </c>
      <c r="G47" s="488">
        <f ca="1">COUNTIF('DATA KARYAWAN &amp; ALAMAT'!$Y24:$Y31,"&gt;=26")-SUM(G48)</f>
        <v>3</v>
      </c>
      <c r="H47" s="488">
        <f ca="1">COUNTIF('DATA KARYAWAN &amp; ALAMAT'!$Y34:$Y40,"&gt;=26")-SUM(H48)</f>
        <v>4</v>
      </c>
      <c r="I47" s="488">
        <f ca="1">COUNTIF('DATA KARYAWAN &amp; ALAMAT'!$Y43:$Y43,"&gt;=26")-SUM(I48)</f>
        <v>1</v>
      </c>
      <c r="J47" s="488">
        <f ca="1">COUNTIF('DATA KARYAWAN &amp; ALAMAT'!$Y44:$Y48,"&gt;=26")-SUM(J48)</f>
        <v>0</v>
      </c>
      <c r="K47" s="488">
        <f ca="1">COUNTIF('DATA KARYAWAN &amp; ALAMAT'!$Y51:$Y54,"&gt;=26")-SUM(K48)</f>
        <v>1</v>
      </c>
      <c r="L47" s="488">
        <f ca="1">COUNTIF('DATA KARYAWAN &amp; ALAMAT'!$Y57:$Y57,"&gt;=26")-SUM(L48)</f>
        <v>0</v>
      </c>
      <c r="M47" s="488">
        <f ca="1">COUNTIF('DATA KARYAWAN &amp; ALAMAT'!$Y58:$Y60,"&gt;=26")-SUM(M48)</f>
        <v>0</v>
      </c>
      <c r="N47" s="488">
        <f ca="1">COUNTIF('DATA KARYAWAN &amp; ALAMAT'!$Y63:$Y67,"&gt;=26")-SUM(N48)</f>
        <v>2</v>
      </c>
      <c r="O47" s="488">
        <f ca="1">COUNTIF('DATA KARYAWAN &amp; ALAMAT'!$Y70:$Y75,"&gt;=26")-SUM(O48)</f>
        <v>1</v>
      </c>
      <c r="P47" s="488">
        <f ca="1">COUNTIF('DATA KARYAWAN &amp; ALAMAT'!$Y78:$Y103,"&gt;=26")-SUM(P48)</f>
        <v>10</v>
      </c>
      <c r="Q47" s="488">
        <f ca="1">COUNTIF('DATA KARYAWAN &amp; ALAMAT'!$Y106:$Y118,"&gt;=26")-SUM(Q48)</f>
        <v>2</v>
      </c>
      <c r="R47" s="488">
        <f ca="1">COUNTIF('DATA KARYAWAN &amp; ALAMAT'!$Y122:$Y149,"&gt;=26")-SUM(R48)</f>
        <v>8</v>
      </c>
    </row>
    <row r="48" spans="1:25">
      <c r="A48" s="350"/>
      <c r="B48" s="363" t="s">
        <v>810</v>
      </c>
      <c r="C48" s="329">
        <f t="shared" ca="1" si="10"/>
        <v>13</v>
      </c>
      <c r="D48" s="488">
        <f ca="1">COUNTIF('DATA KARYAWAN &amp; ALAMAT'!Y8,"&gt;=31")</f>
        <v>0</v>
      </c>
      <c r="E48" s="488">
        <f ca="1">COUNTIF('DATA KARYAWAN &amp; ALAMAT'!Y11,"&gt;=31")</f>
        <v>1</v>
      </c>
      <c r="F48" s="488">
        <f ca="1">COUNTIF('DATA KARYAWAN &amp; ALAMAT'!$Y12:$Y21,"&gt;=31")</f>
        <v>0</v>
      </c>
      <c r="G48" s="488">
        <f ca="1">COUNTIF('DATA KARYAWAN &amp; ALAMAT'!$Y24:$Y31,"&gt;=31")</f>
        <v>4</v>
      </c>
      <c r="H48" s="488">
        <f ca="1">COUNTIF('DATA KARYAWAN &amp; ALAMAT'!$Y34:$Y40,"&gt;=31")</f>
        <v>0</v>
      </c>
      <c r="I48" s="488">
        <f ca="1">COUNTIF('DATA KARYAWAN &amp; ALAMAT'!$Y43:$Y43,"&gt;=31")</f>
        <v>0</v>
      </c>
      <c r="J48" s="488">
        <f ca="1">COUNTIF('DATA KARYAWAN &amp; ALAMAT'!$Y44:$Y48,"&gt;=31")</f>
        <v>3</v>
      </c>
      <c r="K48" s="488">
        <f ca="1">COUNTIF('DATA KARYAWAN &amp; ALAMAT'!$Y51:$Y54,"&gt;=31")</f>
        <v>1</v>
      </c>
      <c r="L48" s="488">
        <f ca="1">COUNTIF('DATA KARYAWAN &amp; ALAMAT'!$Y57:$Y57,"&gt;=31")</f>
        <v>0</v>
      </c>
      <c r="M48" s="488">
        <f ca="1">COUNTIF('DATA KARYAWAN &amp; ALAMAT'!$Y58:$Y60,"&gt;=31")</f>
        <v>0</v>
      </c>
      <c r="N48" s="488">
        <f ca="1">COUNTIF('DATA KARYAWAN &amp; ALAMAT'!$Y63:$Y66,"&gt;=31")</f>
        <v>0</v>
      </c>
      <c r="O48" s="488">
        <f ca="1">COUNTIF('DATA KARYAWAN &amp; ALAMAT'!$Y70:$Y75,"&gt;=31")</f>
        <v>1</v>
      </c>
      <c r="P48" s="488">
        <f ca="1">COUNTIF('DATA KARYAWAN &amp; ALAMAT'!$Y78:$Y103,"&gt;=31")</f>
        <v>1</v>
      </c>
      <c r="Q48" s="488">
        <f ca="1">COUNTIF('DATA KARYAWAN &amp; ALAMAT'!$Y106:$Y118,"&gt;=31")</f>
        <v>1</v>
      </c>
      <c r="R48" s="488">
        <f ca="1">COUNTIF('DATA KARYAWAN &amp; ALAMAT'!$Y122:$Y149,"&gt;=31")</f>
        <v>1</v>
      </c>
    </row>
    <row r="49" spans="1:18">
      <c r="A49" s="351"/>
      <c r="B49" s="364" t="s">
        <v>517</v>
      </c>
      <c r="C49" s="329">
        <f ca="1">SUM(D49:R49)</f>
        <v>119</v>
      </c>
      <c r="D49" s="351">
        <f t="shared" ref="D49:R49" ca="1" si="11">SUM(D42:D48)</f>
        <v>1</v>
      </c>
      <c r="E49" s="351">
        <f t="shared" ca="1" si="11"/>
        <v>1</v>
      </c>
      <c r="F49" s="351">
        <f t="shared" ca="1" si="11"/>
        <v>10</v>
      </c>
      <c r="G49" s="351">
        <f t="shared" ca="1" si="11"/>
        <v>8</v>
      </c>
      <c r="H49" s="351">
        <f t="shared" ca="1" si="11"/>
        <v>7</v>
      </c>
      <c r="I49" s="351">
        <f t="shared" ca="1" si="11"/>
        <v>1</v>
      </c>
      <c r="J49" s="351">
        <f t="shared" ca="1" si="11"/>
        <v>5</v>
      </c>
      <c r="K49" s="351">
        <f t="shared" ca="1" si="11"/>
        <v>4</v>
      </c>
      <c r="L49" s="351">
        <f t="shared" ca="1" si="11"/>
        <v>0</v>
      </c>
      <c r="M49" s="351">
        <f t="shared" ca="1" si="11"/>
        <v>3</v>
      </c>
      <c r="N49" s="351">
        <f ca="1">SUM(N42:N48)</f>
        <v>5</v>
      </c>
      <c r="O49" s="354">
        <f ca="1">SUM(O42:O48)</f>
        <v>6</v>
      </c>
      <c r="P49" s="351">
        <f ca="1">SUM(P42:P48)</f>
        <v>26</v>
      </c>
      <c r="Q49" s="351">
        <f ca="1">SUM(Q42:Q48)</f>
        <v>14</v>
      </c>
      <c r="R49" s="351">
        <f t="shared" ca="1" si="11"/>
        <v>28</v>
      </c>
    </row>
    <row r="50" spans="1:18">
      <c r="A50" s="328"/>
      <c r="B50" s="235"/>
      <c r="C50" s="328"/>
      <c r="D50" s="328"/>
      <c r="E50" s="328"/>
      <c r="F50" s="328"/>
      <c r="G50" s="328"/>
      <c r="H50" s="328"/>
      <c r="I50" s="328"/>
      <c r="J50" s="328"/>
      <c r="K50" s="328"/>
      <c r="L50" s="360"/>
      <c r="M50" s="360"/>
      <c r="N50" s="328"/>
      <c r="O50" s="361"/>
      <c r="P50" s="328"/>
      <c r="Q50" s="328"/>
      <c r="R50" s="360"/>
    </row>
    <row r="51" spans="1:18">
      <c r="A51" s="351" t="s">
        <v>2330</v>
      </c>
      <c r="B51" s="364" t="s">
        <v>2328</v>
      </c>
      <c r="C51" s="364"/>
      <c r="D51" s="510"/>
      <c r="E51" s="510"/>
      <c r="F51" s="510"/>
      <c r="G51" s="510"/>
      <c r="H51" s="510"/>
      <c r="I51" s="510"/>
      <c r="J51" s="510"/>
      <c r="K51" s="510"/>
      <c r="L51" s="510"/>
      <c r="M51" s="510"/>
      <c r="N51" s="510"/>
      <c r="O51" s="510"/>
      <c r="P51" s="510"/>
      <c r="Q51" s="510"/>
      <c r="R51" s="511"/>
    </row>
    <row r="52" spans="1:18">
      <c r="A52" s="347"/>
      <c r="B52" s="245" t="s">
        <v>591</v>
      </c>
      <c r="C52" s="346">
        <f>SUM(D52:R52)</f>
        <v>29</v>
      </c>
      <c r="D52" s="529"/>
      <c r="E52" s="529"/>
      <c r="F52" s="529"/>
      <c r="G52" s="529"/>
      <c r="H52" s="529"/>
      <c r="I52" s="529"/>
      <c r="J52" s="529"/>
      <c r="K52" s="529"/>
      <c r="L52" s="532"/>
      <c r="M52" s="532"/>
      <c r="N52" s="529"/>
      <c r="O52" s="530"/>
      <c r="P52" s="346">
        <v>29</v>
      </c>
      <c r="Q52" s="529"/>
      <c r="R52" s="532"/>
    </row>
    <row r="53" spans="1:18">
      <c r="A53" s="333"/>
      <c r="B53" s="339" t="s">
        <v>532</v>
      </c>
      <c r="C53" s="329">
        <f>SUM(D53:R53)</f>
        <v>5</v>
      </c>
      <c r="D53" s="515"/>
      <c r="E53" s="515"/>
      <c r="F53" s="515"/>
      <c r="G53" s="515"/>
      <c r="H53" s="515"/>
      <c r="I53" s="515"/>
      <c r="J53" s="515"/>
      <c r="K53" s="515"/>
      <c r="L53" s="516"/>
      <c r="M53" s="516"/>
      <c r="N53" s="515"/>
      <c r="O53" s="531"/>
      <c r="P53" s="329">
        <v>5</v>
      </c>
      <c r="Q53" s="515"/>
      <c r="R53" s="516"/>
    </row>
    <row r="54" spans="1:18">
      <c r="A54" s="333"/>
      <c r="B54" s="339" t="s">
        <v>2362</v>
      </c>
      <c r="C54" s="329">
        <f>SUM(D54:R54)</f>
        <v>11</v>
      </c>
      <c r="D54" s="515"/>
      <c r="E54" s="329">
        <v>2</v>
      </c>
      <c r="F54" s="515"/>
      <c r="G54" s="515"/>
      <c r="H54" s="515"/>
      <c r="I54" s="515"/>
      <c r="J54" s="515"/>
      <c r="K54" s="515"/>
      <c r="L54" s="516"/>
      <c r="M54" s="330">
        <v>1</v>
      </c>
      <c r="N54" s="515"/>
      <c r="O54" s="331">
        <v>3</v>
      </c>
      <c r="P54" s="329">
        <v>5</v>
      </c>
      <c r="Q54" s="515"/>
      <c r="R54" s="516"/>
    </row>
    <row r="55" spans="1:18">
      <c r="A55" s="333"/>
      <c r="B55" s="339" t="s">
        <v>533</v>
      </c>
      <c r="C55" s="329">
        <f>SUM(D55:R55)</f>
        <v>85</v>
      </c>
      <c r="D55" s="515"/>
      <c r="E55" s="515"/>
      <c r="F55" s="515"/>
      <c r="G55" s="515"/>
      <c r="H55" s="515"/>
      <c r="I55" s="515"/>
      <c r="J55" s="515"/>
      <c r="K55" s="515"/>
      <c r="L55" s="516"/>
      <c r="M55" s="516"/>
      <c r="N55" s="515"/>
      <c r="O55" s="531"/>
      <c r="P55" s="515"/>
      <c r="Q55" s="329">
        <v>85</v>
      </c>
      <c r="R55" s="516"/>
    </row>
    <row r="56" spans="1:18">
      <c r="A56" s="504"/>
      <c r="B56" s="505" t="s">
        <v>517</v>
      </c>
      <c r="C56" s="504">
        <f>SUM(C52:C55)</f>
        <v>130</v>
      </c>
      <c r="D56" s="533"/>
      <c r="E56" s="504">
        <f>SUM(E52:E55)</f>
        <v>2</v>
      </c>
      <c r="F56" s="533"/>
      <c r="G56" s="533"/>
      <c r="H56" s="533"/>
      <c r="I56" s="533"/>
      <c r="J56" s="533"/>
      <c r="K56" s="533"/>
      <c r="L56" s="533"/>
      <c r="M56" s="504">
        <f>SUM(M52:M55)</f>
        <v>1</v>
      </c>
      <c r="N56" s="515"/>
      <c r="O56" s="504">
        <f>SUM(O52:O55)</f>
        <v>3</v>
      </c>
      <c r="P56" s="504">
        <f>SUM(P52:P55)</f>
        <v>39</v>
      </c>
      <c r="Q56" s="504">
        <f>SUM(Q52:Q55)</f>
        <v>85</v>
      </c>
      <c r="R56" s="516"/>
    </row>
  </sheetData>
  <mergeCells count="22">
    <mergeCell ref="W32:X32"/>
    <mergeCell ref="A3:R3"/>
    <mergeCell ref="A4:R4"/>
    <mergeCell ref="A6:A8"/>
    <mergeCell ref="B6:B8"/>
    <mergeCell ref="C6:C8"/>
    <mergeCell ref="D6:D8"/>
    <mergeCell ref="E6:E8"/>
    <mergeCell ref="F6:F8"/>
    <mergeCell ref="G6:G8"/>
    <mergeCell ref="H6:H8"/>
    <mergeCell ref="M6:M8"/>
    <mergeCell ref="I6:I8"/>
    <mergeCell ref="J6:J8"/>
    <mergeCell ref="K6:K8"/>
    <mergeCell ref="L6:L8"/>
    <mergeCell ref="N6:N8"/>
    <mergeCell ref="P6:P8"/>
    <mergeCell ref="Q6:R6"/>
    <mergeCell ref="Q7:Q8"/>
    <mergeCell ref="R7:R8"/>
    <mergeCell ref="O6:O8"/>
  </mergeCells>
  <conditionalFormatting sqref="D35:R39">
    <cfRule type="cellIs" dxfId="4" priority="6" operator="lessThan">
      <formula>1</formula>
    </cfRule>
  </conditionalFormatting>
  <conditionalFormatting sqref="D43:E48 F44:R48">
    <cfRule type="cellIs" dxfId="3" priority="5" operator="lessThan">
      <formula>1</formula>
    </cfRule>
  </conditionalFormatting>
  <conditionalFormatting sqref="D42:E42">
    <cfRule type="cellIs" dxfId="2" priority="3" operator="lessThan">
      <formula>1</formula>
    </cfRule>
  </conditionalFormatting>
  <conditionalFormatting sqref="F42:R42">
    <cfRule type="cellIs" dxfId="1" priority="2" operator="lessThan">
      <formula>1</formula>
    </cfRule>
  </conditionalFormatting>
  <conditionalFormatting sqref="F43:R43">
    <cfRule type="cellIs" dxfId="0" priority="1" operator="lessThan">
      <formula>1</formula>
    </cfRule>
  </conditionalFormatting>
  <printOptions horizontalCentered="1"/>
  <pageMargins left="0.5" right="0.5" top="0" bottom="0" header="0.3" footer="0.3"/>
  <pageSetup paperSize="9" scale="95" orientation="landscape" r:id="rId1"/>
  <rowBreaks count="1" manualBreakCount="1">
    <brk id="39" max="1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R250"/>
  <sheetViews>
    <sheetView view="pageBreakPreview" topLeftCell="A10" zoomScaleSheetLayoutView="100" workbookViewId="0">
      <selection activeCell="H43" sqref="H43"/>
    </sheetView>
  </sheetViews>
  <sheetFormatPr defaultRowHeight="15"/>
  <cols>
    <col min="1" max="1" width="6.140625" customWidth="1"/>
    <col min="2" max="2" width="34.28515625" bestFit="1" customWidth="1"/>
    <col min="3" max="3" width="8.140625" style="5" bestFit="1" customWidth="1"/>
    <col min="4" max="4" width="7.42578125" bestFit="1" customWidth="1"/>
    <col min="6" max="6" width="4.140625" bestFit="1" customWidth="1"/>
    <col min="7" max="7" width="56" bestFit="1" customWidth="1"/>
    <col min="8" max="8" width="8.140625" style="11" bestFit="1" customWidth="1"/>
    <col min="9" max="9" width="6.140625" style="11" bestFit="1" customWidth="1"/>
    <col min="16" max="16" width="28.85546875" bestFit="1" customWidth="1"/>
    <col min="17" max="17" width="6.140625" customWidth="1"/>
  </cols>
  <sheetData>
    <row r="1" spans="1:16">
      <c r="A1" s="41"/>
      <c r="B1" s="41"/>
      <c r="C1" s="41"/>
      <c r="D1" s="41"/>
      <c r="E1" s="41"/>
      <c r="F1" s="41"/>
      <c r="G1" s="41"/>
      <c r="H1" s="237"/>
      <c r="I1" s="237"/>
    </row>
    <row r="2" spans="1:16">
      <c r="A2" s="45" t="s">
        <v>677</v>
      </c>
      <c r="B2" s="3"/>
      <c r="C2" s="41"/>
      <c r="D2" s="41"/>
      <c r="E2" s="41"/>
      <c r="F2" s="41"/>
      <c r="G2" s="41"/>
      <c r="H2" s="237"/>
      <c r="I2" s="237"/>
    </row>
    <row r="3" spans="1:16">
      <c r="A3" s="45" t="s">
        <v>528</v>
      </c>
      <c r="B3" s="3"/>
      <c r="C3" s="41"/>
      <c r="D3" s="41"/>
      <c r="E3" s="41"/>
      <c r="F3" s="41"/>
      <c r="G3" s="41"/>
      <c r="H3" s="237"/>
      <c r="I3" s="237"/>
    </row>
    <row r="4" spans="1:16" ht="19.5">
      <c r="A4" s="951" t="s">
        <v>778</v>
      </c>
      <c r="B4" s="951"/>
      <c r="C4" s="951"/>
      <c r="D4" s="951"/>
      <c r="E4" s="951"/>
      <c r="F4" s="951"/>
      <c r="G4" s="951"/>
      <c r="H4" s="951"/>
      <c r="I4" s="951"/>
    </row>
    <row r="5" spans="1:16" ht="18">
      <c r="A5" s="1001" t="s">
        <v>2597</v>
      </c>
      <c r="B5" s="1001"/>
      <c r="C5" s="1001"/>
      <c r="D5" s="1001"/>
      <c r="E5" s="1001"/>
      <c r="F5" s="1001"/>
      <c r="G5" s="1001"/>
      <c r="H5" s="1001"/>
      <c r="I5" s="1001"/>
    </row>
    <row r="6" spans="1:16" ht="2.25" customHeight="1">
      <c r="A6" s="5"/>
      <c r="B6" s="5"/>
      <c r="D6" s="5"/>
      <c r="E6" s="5"/>
      <c r="F6" s="5"/>
      <c r="G6" s="5"/>
      <c r="H6" s="238"/>
      <c r="I6" s="238"/>
    </row>
    <row r="7" spans="1:16" s="42" customFormat="1" ht="14.25">
      <c r="A7" s="46" t="s">
        <v>515</v>
      </c>
      <c r="B7" s="46" t="s">
        <v>535</v>
      </c>
      <c r="C7" s="892" t="s">
        <v>521</v>
      </c>
      <c r="D7" s="46" t="s">
        <v>531</v>
      </c>
      <c r="E7" s="41"/>
      <c r="F7" s="47" t="s">
        <v>515</v>
      </c>
      <c r="G7" s="47" t="s">
        <v>516</v>
      </c>
      <c r="H7" s="47" t="s">
        <v>521</v>
      </c>
      <c r="I7" s="47" t="s">
        <v>531</v>
      </c>
    </row>
    <row r="8" spans="1:16" s="42" customFormat="1" ht="14.25">
      <c r="A8" s="257">
        <v>1</v>
      </c>
      <c r="B8" s="248" t="s">
        <v>536</v>
      </c>
      <c r="C8" s="891">
        <f ca="1">STATUS!C16</f>
        <v>23</v>
      </c>
      <c r="D8" s="259">
        <f ca="1">C8/C10*100</f>
        <v>20</v>
      </c>
      <c r="E8" s="41"/>
      <c r="F8" s="274" t="s">
        <v>568</v>
      </c>
      <c r="G8" s="258" t="s">
        <v>686</v>
      </c>
      <c r="H8" s="255">
        <v>1</v>
      </c>
      <c r="I8" s="275">
        <f>H8/H34*100</f>
        <v>0.83333333333333337</v>
      </c>
    </row>
    <row r="9" spans="1:16" s="42" customFormat="1" ht="14.25">
      <c r="A9" s="250">
        <v>2</v>
      </c>
      <c r="B9" s="263" t="s">
        <v>537</v>
      </c>
      <c r="C9" s="374">
        <f ca="1">STATUS!C15</f>
        <v>96</v>
      </c>
      <c r="D9" s="264">
        <f ca="1">C9/C10*100</f>
        <v>80</v>
      </c>
      <c r="E9" s="41"/>
      <c r="F9" s="276" t="s">
        <v>572</v>
      </c>
      <c r="G9" s="263" t="s">
        <v>779</v>
      </c>
      <c r="H9" s="253">
        <v>2</v>
      </c>
      <c r="I9" s="277">
        <f>H9/H33*100</f>
        <v>3.3333333333333335</v>
      </c>
    </row>
    <row r="10" spans="1:16" s="42" customFormat="1" ht="14.25">
      <c r="A10" s="260"/>
      <c r="B10" s="261" t="s">
        <v>517</v>
      </c>
      <c r="C10" s="262">
        <f ca="1">SUM(C8:C9)</f>
        <v>119</v>
      </c>
      <c r="D10" s="889">
        <f ca="1">SUM(D8:D9)</f>
        <v>100</v>
      </c>
      <c r="E10" s="41"/>
      <c r="F10" s="276" t="s">
        <v>567</v>
      </c>
      <c r="G10" s="263" t="s">
        <v>688</v>
      </c>
      <c r="H10" s="253">
        <v>8</v>
      </c>
      <c r="I10" s="277">
        <f>H10/H34*100</f>
        <v>6.666666666666667</v>
      </c>
    </row>
    <row r="11" spans="1:16" s="42" customFormat="1" ht="14.25">
      <c r="A11" s="41"/>
      <c r="B11" s="41"/>
      <c r="C11" s="41"/>
      <c r="D11" s="41"/>
      <c r="E11" s="41"/>
      <c r="F11" s="276" t="s">
        <v>573</v>
      </c>
      <c r="G11" s="263" t="s">
        <v>2452</v>
      </c>
      <c r="H11" s="253">
        <v>0</v>
      </c>
      <c r="I11" s="277">
        <f>H11/H34*100</f>
        <v>0</v>
      </c>
    </row>
    <row r="12" spans="1:16" s="42" customFormat="1" ht="14.25">
      <c r="A12" s="41"/>
      <c r="B12" s="41"/>
      <c r="C12" s="41"/>
      <c r="D12" s="41"/>
      <c r="E12" s="41"/>
      <c r="F12" s="276" t="s">
        <v>574</v>
      </c>
      <c r="G12" s="278" t="s">
        <v>2322</v>
      </c>
      <c r="H12" s="253">
        <v>0</v>
      </c>
      <c r="I12" s="277">
        <f>H12/H34*100%</f>
        <v>0</v>
      </c>
    </row>
    <row r="13" spans="1:16" s="42" customFormat="1" ht="14.25">
      <c r="A13" s="46" t="s">
        <v>515</v>
      </c>
      <c r="B13" s="46" t="s">
        <v>516</v>
      </c>
      <c r="C13" s="47" t="s">
        <v>521</v>
      </c>
      <c r="D13" s="46" t="s">
        <v>531</v>
      </c>
      <c r="E13" s="41"/>
      <c r="F13" s="276" t="s">
        <v>581</v>
      </c>
      <c r="G13" s="263" t="s">
        <v>774</v>
      </c>
      <c r="H13" s="253">
        <v>1</v>
      </c>
      <c r="I13" s="279">
        <v>1</v>
      </c>
    </row>
    <row r="14" spans="1:16" s="42" customFormat="1" ht="14.25">
      <c r="A14" s="265" t="s">
        <v>568</v>
      </c>
      <c r="B14" s="248" t="s">
        <v>686</v>
      </c>
      <c r="C14" s="258">
        <f>STATUS!D10</f>
        <v>1</v>
      </c>
      <c r="D14" s="259">
        <f>C14/C29*100</f>
        <v>0.84033613445378152</v>
      </c>
      <c r="E14" s="41"/>
      <c r="F14" s="276" t="s">
        <v>693</v>
      </c>
      <c r="G14" s="263" t="s">
        <v>2492</v>
      </c>
      <c r="H14" s="253">
        <v>1</v>
      </c>
      <c r="I14" s="277">
        <f>H14/H34*100</f>
        <v>0.83333333333333337</v>
      </c>
    </row>
    <row r="15" spans="1:16" s="42" customFormat="1" ht="14.25">
      <c r="A15" s="267" t="s">
        <v>572</v>
      </c>
      <c r="B15" s="249" t="s">
        <v>757</v>
      </c>
      <c r="C15" s="263">
        <f>STATUS!E10</f>
        <v>1</v>
      </c>
      <c r="D15" s="268">
        <f>C15/C29*100</f>
        <v>0.84033613445378152</v>
      </c>
      <c r="E15" s="41"/>
      <c r="F15" s="276" t="s">
        <v>694</v>
      </c>
      <c r="G15" s="263" t="s">
        <v>691</v>
      </c>
      <c r="H15" s="253">
        <v>1</v>
      </c>
      <c r="I15" s="277">
        <f>H15/H34*100</f>
        <v>0.83333333333333337</v>
      </c>
    </row>
    <row r="16" spans="1:16" s="42" customFormat="1" ht="14.25">
      <c r="A16" s="267" t="s">
        <v>567</v>
      </c>
      <c r="B16" s="263" t="s">
        <v>780</v>
      </c>
      <c r="C16" s="263">
        <f>STATUS!F10</f>
        <v>10</v>
      </c>
      <c r="D16" s="264">
        <f>C16/C29*100</f>
        <v>8.4033613445378155</v>
      </c>
      <c r="E16" s="41"/>
      <c r="F16" s="276" t="s">
        <v>695</v>
      </c>
      <c r="G16" s="263" t="s">
        <v>689</v>
      </c>
      <c r="H16" s="253">
        <v>29</v>
      </c>
      <c r="I16" s="277">
        <f>H16/H34*100</f>
        <v>24.369747899159663</v>
      </c>
      <c r="P16" s="42">
        <f>H23/H34*100</f>
        <v>49.579831932773111</v>
      </c>
    </row>
    <row r="17" spans="1:18" s="42" customFormat="1" ht="14.25">
      <c r="A17" s="267" t="s">
        <v>573</v>
      </c>
      <c r="B17" s="263" t="s">
        <v>758</v>
      </c>
      <c r="C17" s="263">
        <f>STATUS!G10</f>
        <v>8</v>
      </c>
      <c r="D17" s="264">
        <f>C17/C29*100</f>
        <v>6.7226890756302522</v>
      </c>
      <c r="E17" s="41"/>
      <c r="F17" s="276" t="s">
        <v>696</v>
      </c>
      <c r="G17" s="263" t="s">
        <v>692</v>
      </c>
      <c r="H17" s="253">
        <v>3</v>
      </c>
      <c r="I17" s="294">
        <f>H17/H34*100</f>
        <v>2.5</v>
      </c>
      <c r="P17" s="49">
        <f>H23/H34*100</f>
        <v>49.579831932773111</v>
      </c>
    </row>
    <row r="18" spans="1:18" s="42" customFormat="1" ht="14.25">
      <c r="A18" s="267" t="s">
        <v>574</v>
      </c>
      <c r="B18" s="263" t="s">
        <v>782</v>
      </c>
      <c r="C18" s="263">
        <f>STATUS!H10</f>
        <v>7</v>
      </c>
      <c r="D18" s="264">
        <f>C18/C29*100</f>
        <v>5.8823529411764701</v>
      </c>
      <c r="E18" s="41"/>
      <c r="F18" s="276" t="s">
        <v>697</v>
      </c>
      <c r="G18" s="263" t="s">
        <v>781</v>
      </c>
      <c r="H18" s="253">
        <v>10</v>
      </c>
      <c r="I18" s="277">
        <f>H18/H34*100</f>
        <v>8.3333333333333321</v>
      </c>
    </row>
    <row r="19" spans="1:18" s="42" customFormat="1" ht="14.25">
      <c r="A19" s="267" t="s">
        <v>581</v>
      </c>
      <c r="B19" s="263" t="s">
        <v>759</v>
      </c>
      <c r="C19" s="263">
        <v>1</v>
      </c>
      <c r="D19" s="264">
        <f>C19/C29*100</f>
        <v>0.84033613445378152</v>
      </c>
      <c r="E19" s="41"/>
      <c r="F19" s="276" t="s">
        <v>698</v>
      </c>
      <c r="G19" s="263" t="s">
        <v>783</v>
      </c>
      <c r="H19" s="253">
        <v>1</v>
      </c>
      <c r="I19" s="277">
        <f>H19/H34*100</f>
        <v>0.83333333333333337</v>
      </c>
    </row>
    <row r="20" spans="1:18" s="42" customFormat="1" ht="14.25">
      <c r="A20" s="267" t="s">
        <v>693</v>
      </c>
      <c r="B20" s="263" t="s">
        <v>760</v>
      </c>
      <c r="C20" s="263">
        <f>STATUS!K10</f>
        <v>4</v>
      </c>
      <c r="D20" s="264">
        <f>C20/C29*100</f>
        <v>3.3613445378151261</v>
      </c>
      <c r="E20" s="41"/>
      <c r="F20" s="276" t="s">
        <v>129</v>
      </c>
      <c r="G20" s="263" t="s">
        <v>690</v>
      </c>
      <c r="H20" s="253">
        <v>1</v>
      </c>
      <c r="I20" s="277">
        <f>H20/H34*100</f>
        <v>0.83333333333333337</v>
      </c>
      <c r="Q20" s="235"/>
      <c r="R20" s="236"/>
    </row>
    <row r="21" spans="1:18" s="42" customFormat="1" ht="14.25">
      <c r="A21" s="267" t="s">
        <v>694</v>
      </c>
      <c r="B21" s="263" t="s">
        <v>761</v>
      </c>
      <c r="C21" s="263">
        <f>STATUS!J10</f>
        <v>5</v>
      </c>
      <c r="D21" s="264">
        <f>C21/C29*100</f>
        <v>4.2016806722689077</v>
      </c>
      <c r="E21" s="41"/>
      <c r="F21" s="276" t="s">
        <v>699</v>
      </c>
      <c r="G21" s="263" t="s">
        <v>706</v>
      </c>
      <c r="H21" s="253">
        <v>1</v>
      </c>
      <c r="I21" s="277">
        <f>H21/H34*100</f>
        <v>0.83333333333333337</v>
      </c>
    </row>
    <row r="22" spans="1:18" s="42" customFormat="1" ht="14.25">
      <c r="A22" s="267" t="s">
        <v>695</v>
      </c>
      <c r="B22" s="263" t="s">
        <v>762</v>
      </c>
      <c r="C22" s="263">
        <f>STATUS!L10</f>
        <v>0</v>
      </c>
      <c r="D22" s="264">
        <f>C22/C29*100</f>
        <v>0</v>
      </c>
      <c r="E22" s="41"/>
      <c r="F22" s="276" t="s">
        <v>700</v>
      </c>
      <c r="G22" s="263" t="s">
        <v>705</v>
      </c>
      <c r="H22" s="253">
        <v>0</v>
      </c>
      <c r="I22" s="277">
        <f>H22/H34*100</f>
        <v>0</v>
      </c>
    </row>
    <row r="23" spans="1:18" s="42" customFormat="1" ht="14.25">
      <c r="A23" s="267" t="s">
        <v>696</v>
      </c>
      <c r="B23" s="263" t="s">
        <v>784</v>
      </c>
      <c r="C23" s="263">
        <f>STATUS!O10</f>
        <v>6</v>
      </c>
      <c r="D23" s="264">
        <f>C23/C29*100</f>
        <v>5.0420168067226889</v>
      </c>
      <c r="E23" s="41"/>
      <c r="F23" s="276"/>
      <c r="G23" s="280" t="s">
        <v>538</v>
      </c>
      <c r="H23" s="281">
        <f>SUM(H8:H22)</f>
        <v>59</v>
      </c>
      <c r="I23" s="282">
        <v>30</v>
      </c>
    </row>
    <row r="24" spans="1:18" s="42" customFormat="1" ht="14.25">
      <c r="A24" s="267" t="s">
        <v>697</v>
      </c>
      <c r="B24" s="263" t="s">
        <v>785</v>
      </c>
      <c r="C24" s="263">
        <f>STATUS!M10</f>
        <v>3</v>
      </c>
      <c r="D24" s="264">
        <f>C24/C29*100</f>
        <v>2.5210084033613445</v>
      </c>
      <c r="E24" s="41"/>
      <c r="F24" s="276"/>
      <c r="G24" s="326"/>
      <c r="H24" s="890"/>
      <c r="I24" s="326"/>
      <c r="P24" s="189">
        <f>149/211</f>
        <v>0.70616113744075826</v>
      </c>
    </row>
    <row r="25" spans="1:18" s="42" customFormat="1" ht="14.25">
      <c r="A25" s="267" t="s">
        <v>698</v>
      </c>
      <c r="B25" s="263" t="s">
        <v>763</v>
      </c>
      <c r="C25" s="263">
        <f>STATUS!N10</f>
        <v>5</v>
      </c>
      <c r="D25" s="264">
        <f>C24/C29*100</f>
        <v>2.5210084033613445</v>
      </c>
      <c r="E25" s="41"/>
      <c r="F25" s="276" t="s">
        <v>119</v>
      </c>
      <c r="G25" s="263" t="s">
        <v>539</v>
      </c>
      <c r="H25" s="253">
        <v>16</v>
      </c>
      <c r="I25" s="294">
        <f>H25/H34*100</f>
        <v>13.445378151260504</v>
      </c>
    </row>
    <row r="26" spans="1:18" s="42" customFormat="1" ht="14.25">
      <c r="A26" s="267" t="s">
        <v>129</v>
      </c>
      <c r="B26" s="263" t="s">
        <v>764</v>
      </c>
      <c r="C26" s="263">
        <f>STATUS!P10</f>
        <v>26</v>
      </c>
      <c r="D26" s="264">
        <f>C26/C29*100</f>
        <v>21.84873949579832</v>
      </c>
      <c r="E26" s="41"/>
      <c r="F26" s="276" t="s">
        <v>701</v>
      </c>
      <c r="G26" s="263" t="s">
        <v>786</v>
      </c>
      <c r="H26" s="253">
        <v>23</v>
      </c>
      <c r="I26" s="294">
        <f>H26/H34*100</f>
        <v>19.166666666666668</v>
      </c>
    </row>
    <row r="27" spans="1:18" s="42" customFormat="1" ht="14.25">
      <c r="A27" s="267" t="s">
        <v>699</v>
      </c>
      <c r="B27" s="263" t="s">
        <v>540</v>
      </c>
      <c r="C27" s="263">
        <f>STATUS!Q10</f>
        <v>14</v>
      </c>
      <c r="D27" s="264">
        <f>C27/C29*100</f>
        <v>11.76470588235294</v>
      </c>
      <c r="E27" s="41"/>
      <c r="F27" s="276" t="s">
        <v>702</v>
      </c>
      <c r="G27" s="263" t="s">
        <v>787</v>
      </c>
      <c r="H27" s="253">
        <v>0</v>
      </c>
      <c r="I27" s="295" t="s">
        <v>811</v>
      </c>
      <c r="P27" s="42" t="s">
        <v>2304</v>
      </c>
      <c r="Q27" s="42">
        <f>H23</f>
        <v>59</v>
      </c>
      <c r="R27" s="49">
        <f>Q27/Q29*100</f>
        <v>49.579831932773111</v>
      </c>
    </row>
    <row r="28" spans="1:18" s="42" customFormat="1" ht="14.25">
      <c r="A28" s="267" t="s">
        <v>700</v>
      </c>
      <c r="B28" s="263" t="s">
        <v>499</v>
      </c>
      <c r="C28" s="263">
        <f>STATUS!R10</f>
        <v>28</v>
      </c>
      <c r="D28" s="269">
        <f>C28/C29*100</f>
        <v>23.52941176470588</v>
      </c>
      <c r="E28" s="41"/>
      <c r="F28" s="276" t="s">
        <v>703</v>
      </c>
      <c r="G28" s="263" t="s">
        <v>788</v>
      </c>
      <c r="H28" s="253">
        <v>5</v>
      </c>
      <c r="I28" s="294">
        <f>H28/H34*100</f>
        <v>4.1666666666666661</v>
      </c>
      <c r="O28" s="48"/>
      <c r="P28" s="49" t="s">
        <v>2305</v>
      </c>
      <c r="Q28" s="42">
        <f>H33</f>
        <v>60</v>
      </c>
      <c r="R28" s="49">
        <f>Q28/Q29*100</f>
        <v>50.420168067226889</v>
      </c>
    </row>
    <row r="29" spans="1:18" s="42" customFormat="1" ht="14.25">
      <c r="A29" s="260"/>
      <c r="B29" s="261" t="s">
        <v>517</v>
      </c>
      <c r="C29" s="266">
        <f>SUM(C14:C28)</f>
        <v>119</v>
      </c>
      <c r="D29" s="318">
        <v>100</v>
      </c>
      <c r="E29" s="41"/>
      <c r="F29" s="276" t="s">
        <v>721</v>
      </c>
      <c r="G29" s="263" t="s">
        <v>687</v>
      </c>
      <c r="H29" s="253">
        <v>11</v>
      </c>
      <c r="I29" s="294">
        <f>H29/H34*100</f>
        <v>9.1666666666666661</v>
      </c>
      <c r="P29" s="49"/>
      <c r="Q29" s="42">
        <f>SUM(Q27:Q28)</f>
        <v>119</v>
      </c>
      <c r="R29" s="49">
        <f>SUM(R27:R28)</f>
        <v>100</v>
      </c>
    </row>
    <row r="30" spans="1:18" s="42" customFormat="1" ht="14.25">
      <c r="A30" s="29"/>
      <c r="B30" s="7"/>
      <c r="C30" s="7"/>
      <c r="D30" s="50"/>
      <c r="E30" s="41"/>
      <c r="F30" s="276" t="s">
        <v>130</v>
      </c>
      <c r="G30" s="263" t="s">
        <v>789</v>
      </c>
      <c r="H30" s="253">
        <v>0</v>
      </c>
      <c r="I30" s="295" t="s">
        <v>811</v>
      </c>
    </row>
    <row r="31" spans="1:18" s="42" customFormat="1" ht="14.25">
      <c r="A31" s="46" t="s">
        <v>515</v>
      </c>
      <c r="B31" s="46" t="s">
        <v>516</v>
      </c>
      <c r="C31" s="47" t="s">
        <v>521</v>
      </c>
      <c r="D31" s="46" t="s">
        <v>531</v>
      </c>
      <c r="E31" s="41"/>
      <c r="F31" s="276" t="s">
        <v>722</v>
      </c>
      <c r="G31" s="263" t="s">
        <v>790</v>
      </c>
      <c r="H31" s="253">
        <v>0</v>
      </c>
      <c r="I31" s="294">
        <f>H31/H34*100</f>
        <v>0</v>
      </c>
    </row>
    <row r="32" spans="1:18" s="42" customFormat="1" ht="14.25">
      <c r="A32" s="256">
        <v>1</v>
      </c>
      <c r="B32" s="258" t="s">
        <v>766</v>
      </c>
      <c r="C32" s="258">
        <f>C22+C23+C24+C25+C26+C27+C28</f>
        <v>82</v>
      </c>
      <c r="D32" s="317">
        <f>C32/$C$35*100</f>
        <v>68.907563025210081</v>
      </c>
      <c r="E32" s="41"/>
      <c r="F32" s="276" t="s">
        <v>723</v>
      </c>
      <c r="G32" s="263" t="s">
        <v>791</v>
      </c>
      <c r="H32" s="253">
        <v>5</v>
      </c>
      <c r="I32" s="294">
        <f>H32/H34*100</f>
        <v>4.1666666666666661</v>
      </c>
      <c r="P32" s="42">
        <f>H23+H33</f>
        <v>119</v>
      </c>
    </row>
    <row r="33" spans="1:15" s="42" customFormat="1" ht="14.25">
      <c r="A33" s="250">
        <f>A32+1</f>
        <v>2</v>
      </c>
      <c r="B33" s="263" t="s">
        <v>765</v>
      </c>
      <c r="C33" s="263">
        <f>C14+C15+C16+C17+C18</f>
        <v>27</v>
      </c>
      <c r="D33" s="317">
        <f t="shared" ref="D33:D34" si="0">C33/$C$35*100</f>
        <v>22.689075630252102</v>
      </c>
      <c r="E33" s="41"/>
      <c r="F33" s="276"/>
      <c r="G33" s="280" t="s">
        <v>541</v>
      </c>
      <c r="H33" s="281">
        <f>SUM(H25:H32)</f>
        <v>60</v>
      </c>
      <c r="I33" s="283">
        <v>70</v>
      </c>
      <c r="O33" s="189">
        <f>C43/212</f>
        <v>6.6037735849056603E-2</v>
      </c>
    </row>
    <row r="34" spans="1:15" s="42" customFormat="1" ht="14.25">
      <c r="A34" s="250">
        <f>A33+1</f>
        <v>3</v>
      </c>
      <c r="B34" s="263" t="s">
        <v>767</v>
      </c>
      <c r="C34" s="263">
        <f>C19+C20+C21</f>
        <v>10</v>
      </c>
      <c r="D34" s="317">
        <f t="shared" si="0"/>
        <v>8.4033613445378155</v>
      </c>
      <c r="E34" s="41"/>
      <c r="F34" s="284"/>
      <c r="G34" s="285" t="s">
        <v>517</v>
      </c>
      <c r="H34" s="286">
        <f>H23+H33</f>
        <v>119</v>
      </c>
      <c r="I34" s="287">
        <f>I23+I33</f>
        <v>100</v>
      </c>
    </row>
    <row r="35" spans="1:15" s="42" customFormat="1" ht="14.25">
      <c r="A35" s="270"/>
      <c r="B35" s="271" t="s">
        <v>517</v>
      </c>
      <c r="C35" s="319">
        <f>SUM(C32:C34)</f>
        <v>119</v>
      </c>
      <c r="D35" s="320">
        <f>SUM(D32:D34)</f>
        <v>100</v>
      </c>
      <c r="E35" s="41"/>
      <c r="F35" s="29"/>
      <c r="G35" s="51"/>
      <c r="H35" s="239"/>
      <c r="I35" s="29"/>
    </row>
    <row r="36" spans="1:15" s="42" customFormat="1" ht="14.25">
      <c r="A36" s="29"/>
      <c r="B36" s="7"/>
      <c r="C36" s="51"/>
      <c r="D36" s="52"/>
      <c r="E36" s="41"/>
      <c r="F36" s="1"/>
      <c r="G36" s="3"/>
      <c r="H36" s="1"/>
      <c r="I36" s="1"/>
      <c r="O36" s="189">
        <f>H43/212</f>
        <v>0.13207547169811321</v>
      </c>
    </row>
    <row r="37" spans="1:15" s="42" customFormat="1" ht="14.25">
      <c r="A37" s="47" t="s">
        <v>515</v>
      </c>
      <c r="B37" s="47" t="s">
        <v>516</v>
      </c>
      <c r="C37" s="47" t="s">
        <v>521</v>
      </c>
      <c r="D37" s="47" t="s">
        <v>531</v>
      </c>
      <c r="E37" s="41"/>
      <c r="F37" s="46" t="s">
        <v>515</v>
      </c>
      <c r="G37" s="46" t="s">
        <v>516</v>
      </c>
      <c r="H37" s="46" t="s">
        <v>521</v>
      </c>
      <c r="I37" s="46" t="s">
        <v>531</v>
      </c>
    </row>
    <row r="38" spans="1:15" s="42" customFormat="1" ht="14.25">
      <c r="A38" s="272">
        <v>1</v>
      </c>
      <c r="B38" s="258" t="s">
        <v>542</v>
      </c>
      <c r="C38" s="321">
        <v>1</v>
      </c>
      <c r="D38" s="322">
        <f>C38/C43*100</f>
        <v>7.1428571428571423</v>
      </c>
      <c r="E38" s="41"/>
      <c r="F38" s="288">
        <v>1</v>
      </c>
      <c r="G38" s="248" t="s">
        <v>543</v>
      </c>
      <c r="H38" s="252">
        <v>0</v>
      </c>
      <c r="I38" s="289">
        <f>H38/$H$43*100</f>
        <v>0</v>
      </c>
    </row>
    <row r="39" spans="1:15" s="42" customFormat="1" ht="14.25">
      <c r="A39" s="250">
        <f>A38+1</f>
        <v>2</v>
      </c>
      <c r="B39" s="263" t="s">
        <v>539</v>
      </c>
      <c r="C39" s="323">
        <f>GRADE!R19</f>
        <v>11</v>
      </c>
      <c r="D39" s="324">
        <f>C39/C43*100</f>
        <v>78.571428571428569</v>
      </c>
      <c r="E39" s="41"/>
      <c r="F39" s="250">
        <f>F38+1</f>
        <v>2</v>
      </c>
      <c r="G39" s="263" t="s">
        <v>539</v>
      </c>
      <c r="H39" s="254">
        <f>GRADE!S18</f>
        <v>5</v>
      </c>
      <c r="I39" s="292">
        <f>H39/H43*100</f>
        <v>17.857142857142858</v>
      </c>
    </row>
    <row r="40" spans="1:15" s="42" customFormat="1" ht="14.25">
      <c r="A40" s="250">
        <f>A39+1</f>
        <v>3</v>
      </c>
      <c r="B40" s="263" t="s">
        <v>768</v>
      </c>
      <c r="C40" s="323">
        <f>GRADE!R27</f>
        <v>2</v>
      </c>
      <c r="D40" s="324">
        <f>C40/C43*100</f>
        <v>14.285714285714285</v>
      </c>
      <c r="E40" s="41"/>
      <c r="F40" s="250">
        <f>F39+1</f>
        <v>3</v>
      </c>
      <c r="G40" s="263" t="s">
        <v>692</v>
      </c>
      <c r="H40" s="254">
        <v>1</v>
      </c>
      <c r="I40" s="292">
        <f>H40/H43*100</f>
        <v>3.5714285714285712</v>
      </c>
    </row>
    <row r="41" spans="1:15" s="42" customFormat="1" ht="14.25">
      <c r="A41" s="250">
        <f>A40+1</f>
        <v>4</v>
      </c>
      <c r="B41" s="263" t="s">
        <v>544</v>
      </c>
      <c r="C41" s="323">
        <v>0</v>
      </c>
      <c r="D41" s="324">
        <f>C41/C43*100</f>
        <v>0</v>
      </c>
      <c r="E41" s="41"/>
      <c r="F41" s="250">
        <f>F40+1</f>
        <v>4</v>
      </c>
      <c r="G41" s="263" t="s">
        <v>544</v>
      </c>
      <c r="H41" s="254">
        <v>20</v>
      </c>
      <c r="I41" s="292">
        <f>H41/H43*100</f>
        <v>71.428571428571431</v>
      </c>
    </row>
    <row r="42" spans="1:15" s="42" customFormat="1" ht="14.25">
      <c r="A42" s="251">
        <f>A41+1</f>
        <v>5</v>
      </c>
      <c r="B42" s="263" t="s">
        <v>545</v>
      </c>
      <c r="C42" s="323">
        <v>0</v>
      </c>
      <c r="D42" s="324">
        <f>C42/C43*100</f>
        <v>0</v>
      </c>
      <c r="E42" s="41"/>
      <c r="F42" s="251">
        <f>F41+1</f>
        <v>5</v>
      </c>
      <c r="G42" s="263" t="s">
        <v>545</v>
      </c>
      <c r="H42" s="254">
        <v>2</v>
      </c>
      <c r="I42" s="293">
        <f>H42/H43*100</f>
        <v>7.1428571428571423</v>
      </c>
    </row>
    <row r="43" spans="1:15" s="42" customFormat="1" ht="14.25">
      <c r="A43" s="273"/>
      <c r="B43" s="261" t="s">
        <v>517</v>
      </c>
      <c r="C43" s="319">
        <f>SUM(C38:C42)</f>
        <v>14</v>
      </c>
      <c r="D43" s="327">
        <f>SUM(D38:D42)</f>
        <v>100</v>
      </c>
      <c r="E43" s="41"/>
      <c r="F43" s="273"/>
      <c r="G43" s="261" t="s">
        <v>517</v>
      </c>
      <c r="H43" s="290">
        <f>SUM(H38:H42)</f>
        <v>28</v>
      </c>
      <c r="I43" s="291">
        <f>SUM(I38:I42)</f>
        <v>100</v>
      </c>
    </row>
    <row r="46" spans="1:15">
      <c r="C46"/>
      <c r="H46"/>
      <c r="I46"/>
    </row>
    <row r="47" spans="1:15">
      <c r="C47"/>
      <c r="H47"/>
      <c r="I47"/>
    </row>
    <row r="48" spans="1:15">
      <c r="C48"/>
      <c r="H48"/>
      <c r="I48"/>
    </row>
    <row r="49" spans="3:9">
      <c r="C49"/>
      <c r="H49"/>
      <c r="I49"/>
    </row>
    <row r="52" spans="3:9">
      <c r="C52"/>
      <c r="H52"/>
      <c r="I52"/>
    </row>
    <row r="53" spans="3:9">
      <c r="C53"/>
      <c r="H53"/>
      <c r="I53"/>
    </row>
    <row r="54" spans="3:9">
      <c r="C54"/>
      <c r="H54"/>
      <c r="I54"/>
    </row>
    <row r="57" spans="3:9">
      <c r="C57"/>
      <c r="H57"/>
      <c r="I57"/>
    </row>
    <row r="58" spans="3:9">
      <c r="C58"/>
      <c r="H58"/>
      <c r="I58"/>
    </row>
    <row r="59" spans="3:9">
      <c r="C59"/>
      <c r="H59"/>
      <c r="I59"/>
    </row>
    <row r="60" spans="3:9">
      <c r="C60"/>
      <c r="H60"/>
      <c r="I60"/>
    </row>
    <row r="66" spans="3:9">
      <c r="C66"/>
      <c r="H66"/>
      <c r="I66"/>
    </row>
    <row r="67" spans="3:9">
      <c r="C67"/>
      <c r="H67"/>
      <c r="I67"/>
    </row>
    <row r="68" spans="3:9">
      <c r="C68"/>
      <c r="H68"/>
      <c r="I68"/>
    </row>
    <row r="69" spans="3:9">
      <c r="C69"/>
      <c r="H69"/>
      <c r="I69"/>
    </row>
    <row r="75" spans="3:9">
      <c r="C75"/>
      <c r="H75"/>
      <c r="I75"/>
    </row>
    <row r="76" spans="3:9">
      <c r="C76"/>
      <c r="H76"/>
      <c r="I76"/>
    </row>
    <row r="77" spans="3:9">
      <c r="C77"/>
      <c r="H77"/>
      <c r="I77"/>
    </row>
    <row r="78" spans="3:9">
      <c r="C78"/>
      <c r="H78"/>
      <c r="I78"/>
    </row>
    <row r="79" spans="3:9">
      <c r="C79"/>
      <c r="H79"/>
      <c r="I79"/>
    </row>
    <row r="84" spans="3:9">
      <c r="C84"/>
      <c r="H84"/>
      <c r="I84"/>
    </row>
    <row r="85" spans="3:9">
      <c r="C85"/>
      <c r="H85"/>
      <c r="I85"/>
    </row>
    <row r="88" spans="3:9">
      <c r="C88"/>
      <c r="H88"/>
      <c r="I88"/>
    </row>
    <row r="89" spans="3:9">
      <c r="C89"/>
      <c r="H89"/>
      <c r="I89"/>
    </row>
    <row r="94" spans="3:9">
      <c r="C94"/>
      <c r="H94"/>
      <c r="I94"/>
    </row>
    <row r="95" spans="3:9">
      <c r="C95"/>
      <c r="H95"/>
      <c r="I95"/>
    </row>
    <row r="99" spans="3:9">
      <c r="C99"/>
      <c r="H99"/>
      <c r="I99"/>
    </row>
    <row r="100" spans="3:9">
      <c r="C100"/>
      <c r="H100"/>
      <c r="I100"/>
    </row>
    <row r="101" spans="3:9">
      <c r="C101"/>
      <c r="H101"/>
      <c r="I101"/>
    </row>
    <row r="110" spans="3:9">
      <c r="C110"/>
      <c r="H110"/>
      <c r="I110"/>
    </row>
    <row r="111" spans="3:9">
      <c r="C111"/>
      <c r="H111"/>
      <c r="I111"/>
    </row>
    <row r="112" spans="3:9">
      <c r="C112"/>
      <c r="H112"/>
      <c r="I112"/>
    </row>
    <row r="113" spans="3:9">
      <c r="C113"/>
      <c r="H113"/>
      <c r="I113"/>
    </row>
    <row r="114" spans="3:9">
      <c r="C114"/>
      <c r="H114"/>
      <c r="I114"/>
    </row>
    <row r="115" spans="3:9">
      <c r="C115"/>
      <c r="H115"/>
      <c r="I115"/>
    </row>
    <row r="116" spans="3:9">
      <c r="C116"/>
      <c r="H116"/>
      <c r="I116"/>
    </row>
    <row r="117" spans="3:9">
      <c r="C117"/>
      <c r="H117"/>
      <c r="I117"/>
    </row>
    <row r="118" spans="3:9">
      <c r="C118"/>
      <c r="H118"/>
      <c r="I118"/>
    </row>
    <row r="119" spans="3:9">
      <c r="C119"/>
      <c r="H119"/>
      <c r="I119"/>
    </row>
    <row r="120" spans="3:9">
      <c r="C120"/>
      <c r="H120"/>
      <c r="I120"/>
    </row>
    <row r="121" spans="3:9">
      <c r="C121"/>
      <c r="H121"/>
      <c r="I121"/>
    </row>
    <row r="122" spans="3:9">
      <c r="C122"/>
      <c r="H122"/>
      <c r="I122"/>
    </row>
    <row r="123" spans="3:9">
      <c r="C123"/>
      <c r="H123"/>
      <c r="I123"/>
    </row>
    <row r="128" spans="3:9">
      <c r="C128"/>
      <c r="H128"/>
      <c r="I128"/>
    </row>
    <row r="129" spans="3:9">
      <c r="C129"/>
      <c r="H129"/>
      <c r="I129"/>
    </row>
    <row r="130" spans="3:9">
      <c r="C130"/>
      <c r="H130"/>
      <c r="I130"/>
    </row>
    <row r="131" spans="3:9">
      <c r="C131"/>
      <c r="H131"/>
      <c r="I131"/>
    </row>
    <row r="132" spans="3:9">
      <c r="C132"/>
      <c r="H132"/>
      <c r="I132"/>
    </row>
    <row r="133" spans="3:9">
      <c r="C133"/>
      <c r="H133"/>
      <c r="I133"/>
    </row>
    <row r="134" spans="3:9">
      <c r="C134"/>
      <c r="H134"/>
      <c r="I134"/>
    </row>
    <row r="135" spans="3:9">
      <c r="C135"/>
      <c r="H135"/>
      <c r="I135"/>
    </row>
    <row r="136" spans="3:9">
      <c r="C136"/>
      <c r="H136"/>
      <c r="I136"/>
    </row>
    <row r="138" spans="3:9">
      <c r="C138"/>
      <c r="H138"/>
      <c r="I138"/>
    </row>
    <row r="148" spans="3:9">
      <c r="C148"/>
      <c r="H148"/>
      <c r="I148"/>
    </row>
    <row r="149" spans="3:9">
      <c r="C149"/>
      <c r="H149"/>
      <c r="I149"/>
    </row>
    <row r="151" spans="3:9">
      <c r="C151"/>
      <c r="H151"/>
      <c r="I151"/>
    </row>
    <row r="153" spans="3:9">
      <c r="C153"/>
      <c r="H153"/>
      <c r="I153"/>
    </row>
    <row r="156" spans="3:9">
      <c r="C156"/>
      <c r="H156"/>
      <c r="I156"/>
    </row>
    <row r="157" spans="3:9">
      <c r="C157"/>
      <c r="H157"/>
      <c r="I157"/>
    </row>
    <row r="158" spans="3:9">
      <c r="C158"/>
      <c r="H158"/>
      <c r="I158"/>
    </row>
    <row r="159" spans="3:9">
      <c r="C159"/>
      <c r="H159"/>
      <c r="I159"/>
    </row>
    <row r="160" spans="3:9">
      <c r="C160"/>
      <c r="H160"/>
      <c r="I160"/>
    </row>
    <row r="161" spans="3:9">
      <c r="C161"/>
      <c r="H161"/>
      <c r="I161"/>
    </row>
    <row r="162" spans="3:9">
      <c r="C162"/>
      <c r="H162"/>
      <c r="I162"/>
    </row>
    <row r="163" spans="3:9">
      <c r="C163"/>
      <c r="H163"/>
      <c r="I163"/>
    </row>
    <row r="164" spans="3:9">
      <c r="C164"/>
      <c r="H164"/>
      <c r="I164"/>
    </row>
    <row r="165" spans="3:9">
      <c r="C165"/>
      <c r="H165"/>
      <c r="I165"/>
    </row>
    <row r="166" spans="3:9">
      <c r="C166"/>
      <c r="H166"/>
      <c r="I166"/>
    </row>
    <row r="167" spans="3:9">
      <c r="C167"/>
      <c r="H167"/>
      <c r="I167"/>
    </row>
    <row r="168" spans="3:9">
      <c r="C168"/>
      <c r="H168"/>
      <c r="I168"/>
    </row>
    <row r="169" spans="3:9">
      <c r="C169"/>
      <c r="H169"/>
      <c r="I169"/>
    </row>
    <row r="170" spans="3:9">
      <c r="C170"/>
      <c r="H170"/>
      <c r="I170"/>
    </row>
    <row r="171" spans="3:9">
      <c r="C171"/>
      <c r="H171"/>
      <c r="I171"/>
    </row>
    <row r="172" spans="3:9">
      <c r="C172"/>
      <c r="H172"/>
      <c r="I172"/>
    </row>
    <row r="173" spans="3:9">
      <c r="C173"/>
      <c r="H173"/>
      <c r="I173"/>
    </row>
    <row r="174" spans="3:9">
      <c r="C174"/>
      <c r="H174"/>
      <c r="I174"/>
    </row>
    <row r="175" spans="3:9">
      <c r="C175"/>
      <c r="H175"/>
      <c r="I175"/>
    </row>
    <row r="176" spans="3:9">
      <c r="C176"/>
      <c r="H176"/>
      <c r="I176"/>
    </row>
    <row r="177" spans="3:9">
      <c r="C177"/>
      <c r="H177"/>
      <c r="I177"/>
    </row>
    <row r="178" spans="3:9">
      <c r="C178"/>
      <c r="H178"/>
      <c r="I178"/>
    </row>
    <row r="179" spans="3:9">
      <c r="C179"/>
      <c r="H179"/>
      <c r="I179"/>
    </row>
    <row r="180" spans="3:9">
      <c r="C180"/>
      <c r="H180"/>
      <c r="I180"/>
    </row>
    <row r="181" spans="3:9">
      <c r="C181"/>
      <c r="H181"/>
      <c r="I181"/>
    </row>
    <row r="182" spans="3:9">
      <c r="C182"/>
      <c r="H182"/>
      <c r="I182"/>
    </row>
    <row r="183" spans="3:9">
      <c r="C183"/>
      <c r="H183"/>
      <c r="I183"/>
    </row>
    <row r="184" spans="3:9">
      <c r="C184"/>
      <c r="H184"/>
      <c r="I184"/>
    </row>
    <row r="185" spans="3:9">
      <c r="C185"/>
      <c r="H185"/>
      <c r="I185"/>
    </row>
    <row r="186" spans="3:9">
      <c r="C186"/>
      <c r="H186"/>
      <c r="I186"/>
    </row>
    <row r="187" spans="3:9">
      <c r="C187"/>
      <c r="H187"/>
      <c r="I187"/>
    </row>
    <row r="188" spans="3:9">
      <c r="C188"/>
      <c r="H188"/>
      <c r="I188"/>
    </row>
    <row r="189" spans="3:9">
      <c r="C189"/>
      <c r="H189"/>
      <c r="I189"/>
    </row>
    <row r="190" spans="3:9">
      <c r="C190"/>
      <c r="H190"/>
      <c r="I190"/>
    </row>
    <row r="191" spans="3:9">
      <c r="C191"/>
      <c r="H191"/>
      <c r="I191"/>
    </row>
    <row r="192" spans="3:9">
      <c r="C192"/>
      <c r="H192"/>
      <c r="I192"/>
    </row>
    <row r="193" spans="3:9">
      <c r="C193"/>
      <c r="H193"/>
      <c r="I193"/>
    </row>
    <row r="194" spans="3:9">
      <c r="C194"/>
      <c r="H194"/>
      <c r="I194"/>
    </row>
    <row r="195" spans="3:9">
      <c r="C195"/>
      <c r="H195"/>
      <c r="I195"/>
    </row>
    <row r="196" spans="3:9">
      <c r="C196"/>
      <c r="H196"/>
      <c r="I196"/>
    </row>
    <row r="197" spans="3:9">
      <c r="C197"/>
      <c r="H197"/>
      <c r="I197"/>
    </row>
    <row r="198" spans="3:9">
      <c r="C198"/>
      <c r="H198"/>
      <c r="I198"/>
    </row>
    <row r="199" spans="3:9">
      <c r="C199"/>
      <c r="H199"/>
      <c r="I199"/>
    </row>
    <row r="200" spans="3:9">
      <c r="C200"/>
      <c r="H200"/>
      <c r="I200"/>
    </row>
    <row r="201" spans="3:9">
      <c r="C201"/>
      <c r="H201"/>
      <c r="I201"/>
    </row>
    <row r="202" spans="3:9">
      <c r="C202"/>
      <c r="H202"/>
      <c r="I202"/>
    </row>
    <row r="203" spans="3:9">
      <c r="C203"/>
      <c r="H203"/>
      <c r="I203"/>
    </row>
    <row r="204" spans="3:9">
      <c r="C204"/>
      <c r="H204"/>
      <c r="I204"/>
    </row>
    <row r="205" spans="3:9">
      <c r="C205"/>
      <c r="H205"/>
      <c r="I205"/>
    </row>
    <row r="206" spans="3:9">
      <c r="C206"/>
      <c r="H206"/>
      <c r="I206"/>
    </row>
    <row r="212" spans="3:9">
      <c r="C212"/>
      <c r="H212"/>
      <c r="I212"/>
    </row>
    <row r="213" spans="3:9">
      <c r="C213"/>
      <c r="H213"/>
      <c r="I213"/>
    </row>
    <row r="214" spans="3:9">
      <c r="C214"/>
      <c r="H214"/>
      <c r="I214"/>
    </row>
    <row r="215" spans="3:9">
      <c r="C215"/>
      <c r="H215"/>
      <c r="I215"/>
    </row>
    <row r="216" spans="3:9">
      <c r="C216"/>
      <c r="H216"/>
      <c r="I216"/>
    </row>
    <row r="217" spans="3:9">
      <c r="C217"/>
      <c r="H217"/>
      <c r="I217"/>
    </row>
    <row r="220" spans="3:9">
      <c r="C220"/>
      <c r="H220"/>
      <c r="I220"/>
    </row>
    <row r="226" spans="3:9">
      <c r="C226"/>
      <c r="H226"/>
      <c r="I226"/>
    </row>
    <row r="227" spans="3:9">
      <c r="C227"/>
      <c r="H227"/>
      <c r="I227"/>
    </row>
    <row r="228" spans="3:9">
      <c r="C228"/>
      <c r="H228"/>
      <c r="I228"/>
    </row>
    <row r="229" spans="3:9">
      <c r="C229"/>
      <c r="H229"/>
      <c r="I229"/>
    </row>
    <row r="230" spans="3:9">
      <c r="C230"/>
      <c r="H230"/>
      <c r="I230"/>
    </row>
    <row r="231" spans="3:9">
      <c r="C231"/>
      <c r="H231"/>
      <c r="I231"/>
    </row>
    <row r="232" spans="3:9">
      <c r="C232"/>
      <c r="H232"/>
      <c r="I232"/>
    </row>
    <row r="233" spans="3:9">
      <c r="C233"/>
      <c r="H233"/>
      <c r="I233"/>
    </row>
    <row r="234" spans="3:9">
      <c r="C234"/>
      <c r="H234"/>
      <c r="I234"/>
    </row>
    <row r="235" spans="3:9">
      <c r="C235"/>
      <c r="H235"/>
      <c r="I235"/>
    </row>
    <row r="236" spans="3:9">
      <c r="C236"/>
      <c r="H236"/>
      <c r="I236"/>
    </row>
    <row r="237" spans="3:9">
      <c r="C237"/>
      <c r="H237"/>
      <c r="I237"/>
    </row>
    <row r="238" spans="3:9">
      <c r="C238"/>
      <c r="H238"/>
      <c r="I238"/>
    </row>
    <row r="239" spans="3:9">
      <c r="C239"/>
      <c r="H239"/>
      <c r="I239"/>
    </row>
    <row r="240" spans="3:9">
      <c r="C240"/>
      <c r="H240"/>
      <c r="I240"/>
    </row>
    <row r="241" spans="3:9">
      <c r="C241"/>
      <c r="H241"/>
      <c r="I241"/>
    </row>
    <row r="242" spans="3:9">
      <c r="C242"/>
      <c r="H242"/>
      <c r="I242"/>
    </row>
    <row r="243" spans="3:9">
      <c r="C243"/>
      <c r="H243"/>
      <c r="I243"/>
    </row>
    <row r="244" spans="3:9">
      <c r="C244"/>
      <c r="H244"/>
      <c r="I244"/>
    </row>
    <row r="245" spans="3:9">
      <c r="C245"/>
      <c r="H245"/>
      <c r="I245"/>
    </row>
    <row r="246" spans="3:9">
      <c r="C246"/>
      <c r="H246"/>
      <c r="I246"/>
    </row>
    <row r="247" spans="3:9">
      <c r="C247"/>
      <c r="H247"/>
      <c r="I247"/>
    </row>
    <row r="248" spans="3:9">
      <c r="C248"/>
      <c r="H248"/>
      <c r="I248"/>
    </row>
    <row r="249" spans="3:9">
      <c r="C249"/>
      <c r="H249"/>
      <c r="I249"/>
    </row>
    <row r="250" spans="3:9">
      <c r="C250"/>
      <c r="H250"/>
      <c r="I250"/>
    </row>
  </sheetData>
  <mergeCells count="2">
    <mergeCell ref="A4:I4"/>
    <mergeCell ref="A5:I5"/>
  </mergeCells>
  <printOptions horizontalCentered="1"/>
  <pageMargins left="0.5" right="0.5" top="0.5" bottom="0.75" header="0.3" footer="0.3"/>
  <pageSetup paperSize="5"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P25"/>
  <sheetViews>
    <sheetView view="pageBreakPreview" zoomScale="115" zoomScaleSheetLayoutView="115" workbookViewId="0">
      <selection activeCell="L10" sqref="L10"/>
    </sheetView>
  </sheetViews>
  <sheetFormatPr defaultRowHeight="15"/>
  <cols>
    <col min="1" max="1" width="4.28515625" customWidth="1"/>
    <col min="2" max="2" width="57.28515625" bestFit="1" customWidth="1"/>
    <col min="3" max="4" width="8.140625" bestFit="1" customWidth="1"/>
    <col min="6" max="7" width="9.5703125" customWidth="1"/>
    <col min="12" max="12" width="9.42578125" customWidth="1"/>
  </cols>
  <sheetData>
    <row r="2" spans="1:16" ht="15.75">
      <c r="A2" s="1002" t="s">
        <v>548</v>
      </c>
      <c r="B2" s="1002"/>
      <c r="C2" s="1002"/>
      <c r="D2" s="1002"/>
      <c r="E2" s="1002"/>
      <c r="F2" s="1002"/>
      <c r="G2" s="1002"/>
      <c r="H2" s="1002"/>
      <c r="I2" s="1002"/>
      <c r="J2" s="1002"/>
      <c r="K2" s="1002"/>
      <c r="L2" s="1002"/>
    </row>
    <row r="3" spans="1:16" ht="15.75">
      <c r="A3" s="1002" t="s">
        <v>528</v>
      </c>
      <c r="B3" s="1002"/>
      <c r="C3" s="1002"/>
      <c r="D3" s="1002"/>
      <c r="E3" s="1002"/>
      <c r="F3" s="1002"/>
      <c r="G3" s="1002"/>
      <c r="H3" s="1002"/>
      <c r="I3" s="1002"/>
      <c r="J3" s="1002"/>
      <c r="K3" s="1002"/>
      <c r="L3" s="1002"/>
    </row>
    <row r="4" spans="1:16">
      <c r="A4" s="2"/>
      <c r="B4" s="2"/>
      <c r="C4" s="2"/>
      <c r="D4" s="2"/>
    </row>
    <row r="5" spans="1:16">
      <c r="A5" s="1003" t="s">
        <v>515</v>
      </c>
      <c r="B5" s="1004" t="s">
        <v>549</v>
      </c>
      <c r="C5" s="1005"/>
      <c r="D5" s="1005"/>
      <c r="E5" s="1005"/>
      <c r="F5" s="1005"/>
      <c r="G5" s="1005"/>
      <c r="H5" s="1005"/>
      <c r="I5" s="1005"/>
      <c r="J5" s="1005"/>
      <c r="K5" s="1005"/>
      <c r="L5" s="1006"/>
    </row>
    <row r="6" spans="1:16">
      <c r="A6" s="1003"/>
      <c r="B6" s="1004"/>
      <c r="C6" s="612">
        <v>2009</v>
      </c>
      <c r="D6" s="613" t="s">
        <v>550</v>
      </c>
      <c r="E6" s="614">
        <v>2011</v>
      </c>
      <c r="F6" s="325" t="s">
        <v>551</v>
      </c>
      <c r="G6" s="325" t="s">
        <v>552</v>
      </c>
      <c r="H6" s="325" t="s">
        <v>1867</v>
      </c>
      <c r="I6" s="325">
        <v>2015</v>
      </c>
      <c r="J6" s="325">
        <v>2016</v>
      </c>
      <c r="K6" s="325">
        <v>2017</v>
      </c>
      <c r="L6" s="325">
        <v>2018</v>
      </c>
      <c r="N6">
        <v>2011</v>
      </c>
      <c r="O6">
        <v>2012</v>
      </c>
      <c r="P6">
        <v>2013</v>
      </c>
    </row>
    <row r="7" spans="1:16">
      <c r="A7" s="615">
        <v>1</v>
      </c>
      <c r="B7" s="645" t="s">
        <v>553</v>
      </c>
      <c r="C7" s="616">
        <v>219</v>
      </c>
      <c r="D7" s="617">
        <v>210</v>
      </c>
      <c r="E7" s="617">
        <v>216</v>
      </c>
      <c r="F7" s="618">
        <v>216</v>
      </c>
      <c r="G7" s="618">
        <v>214</v>
      </c>
      <c r="H7" s="618">
        <v>211</v>
      </c>
      <c r="I7" s="619">
        <v>196</v>
      </c>
      <c r="J7" s="619">
        <v>182</v>
      </c>
      <c r="K7" s="619">
        <v>169</v>
      </c>
      <c r="L7" s="619">
        <v>127</v>
      </c>
      <c r="N7">
        <v>210</v>
      </c>
      <c r="O7">
        <v>210</v>
      </c>
      <c r="P7">
        <v>208</v>
      </c>
    </row>
    <row r="8" spans="1:16">
      <c r="A8" s="615">
        <f>A7+1</f>
        <v>2</v>
      </c>
      <c r="B8" s="645" t="s">
        <v>554</v>
      </c>
      <c r="C8" s="616">
        <v>219</v>
      </c>
      <c r="D8" s="617">
        <v>210</v>
      </c>
      <c r="E8" s="617">
        <v>216</v>
      </c>
      <c r="F8" s="620">
        <v>216</v>
      </c>
      <c r="G8" s="620">
        <v>214</v>
      </c>
      <c r="H8" s="621">
        <v>212</v>
      </c>
      <c r="I8" s="622">
        <v>196</v>
      </c>
      <c r="J8" s="622">
        <v>183</v>
      </c>
      <c r="K8" s="622">
        <v>167</v>
      </c>
      <c r="L8" s="622">
        <v>120</v>
      </c>
      <c r="N8">
        <v>210</v>
      </c>
      <c r="O8">
        <v>210</v>
      </c>
      <c r="P8">
        <v>208</v>
      </c>
    </row>
    <row r="9" spans="1:16">
      <c r="A9" s="615">
        <f t="shared" ref="A9:A18" si="0">A8+1</f>
        <v>3</v>
      </c>
      <c r="B9" s="645" t="s">
        <v>555</v>
      </c>
      <c r="C9" s="616">
        <v>219</v>
      </c>
      <c r="D9" s="617">
        <v>212</v>
      </c>
      <c r="E9" s="617">
        <v>215</v>
      </c>
      <c r="F9" s="620">
        <v>216</v>
      </c>
      <c r="G9" s="620">
        <v>214</v>
      </c>
      <c r="H9" s="621">
        <v>211</v>
      </c>
      <c r="I9" s="622">
        <v>196</v>
      </c>
      <c r="J9" s="622">
        <v>183</v>
      </c>
      <c r="K9" s="622">
        <v>167</v>
      </c>
      <c r="L9" s="622">
        <v>119</v>
      </c>
      <c r="N9">
        <v>209</v>
      </c>
      <c r="O9">
        <v>210</v>
      </c>
      <c r="P9">
        <v>208</v>
      </c>
    </row>
    <row r="10" spans="1:16">
      <c r="A10" s="615">
        <f t="shared" si="0"/>
        <v>4</v>
      </c>
      <c r="B10" s="645" t="s">
        <v>556</v>
      </c>
      <c r="C10" s="616">
        <v>219</v>
      </c>
      <c r="D10" s="617">
        <v>212</v>
      </c>
      <c r="E10" s="617">
        <v>218</v>
      </c>
      <c r="F10" s="620">
        <v>216</v>
      </c>
      <c r="G10" s="620">
        <v>214</v>
      </c>
      <c r="H10" s="621">
        <v>204</v>
      </c>
      <c r="I10" s="622">
        <v>194</v>
      </c>
      <c r="J10" s="622">
        <v>181</v>
      </c>
      <c r="K10" s="622">
        <v>167</v>
      </c>
      <c r="L10" s="622"/>
      <c r="N10">
        <v>211</v>
      </c>
      <c r="O10">
        <v>210</v>
      </c>
      <c r="P10">
        <v>208</v>
      </c>
    </row>
    <row r="11" spans="1:16">
      <c r="A11" s="615">
        <f t="shared" si="0"/>
        <v>5</v>
      </c>
      <c r="B11" s="645" t="s">
        <v>557</v>
      </c>
      <c r="C11" s="616">
        <v>219</v>
      </c>
      <c r="D11" s="617">
        <v>211</v>
      </c>
      <c r="E11" s="617">
        <v>216</v>
      </c>
      <c r="F11" s="620">
        <v>216</v>
      </c>
      <c r="G11" s="620">
        <v>214</v>
      </c>
      <c r="H11" s="622">
        <v>202</v>
      </c>
      <c r="I11" s="622">
        <v>191</v>
      </c>
      <c r="J11" s="622">
        <v>180</v>
      </c>
      <c r="K11" s="622">
        <v>166</v>
      </c>
      <c r="L11" s="622"/>
      <c r="N11">
        <v>210</v>
      </c>
      <c r="O11">
        <v>210</v>
      </c>
      <c r="P11">
        <v>208</v>
      </c>
    </row>
    <row r="12" spans="1:16">
      <c r="A12" s="615">
        <f t="shared" si="0"/>
        <v>6</v>
      </c>
      <c r="B12" s="645" t="s">
        <v>558</v>
      </c>
      <c r="C12" s="616">
        <v>200</v>
      </c>
      <c r="D12" s="623">
        <v>211</v>
      </c>
      <c r="E12" s="617">
        <v>216</v>
      </c>
      <c r="F12" s="620">
        <v>216</v>
      </c>
      <c r="G12" s="620">
        <v>213</v>
      </c>
      <c r="H12" s="622">
        <v>202</v>
      </c>
      <c r="I12" s="622">
        <v>191</v>
      </c>
      <c r="J12" s="622">
        <v>179</v>
      </c>
      <c r="K12" s="622">
        <v>166</v>
      </c>
      <c r="L12" s="622"/>
      <c r="N12">
        <v>210</v>
      </c>
      <c r="O12">
        <v>210</v>
      </c>
      <c r="P12">
        <v>207</v>
      </c>
    </row>
    <row r="13" spans="1:16">
      <c r="A13" s="615">
        <f t="shared" si="0"/>
        <v>7</v>
      </c>
      <c r="B13" s="645" t="s">
        <v>559</v>
      </c>
      <c r="C13" s="616">
        <v>208</v>
      </c>
      <c r="D13" s="623">
        <v>214</v>
      </c>
      <c r="E13" s="617">
        <v>216</v>
      </c>
      <c r="F13" s="620">
        <v>215</v>
      </c>
      <c r="G13" s="620">
        <v>213</v>
      </c>
      <c r="H13" s="622">
        <v>202</v>
      </c>
      <c r="I13" s="622">
        <v>189</v>
      </c>
      <c r="J13" s="622">
        <v>177</v>
      </c>
      <c r="K13" s="622">
        <v>166</v>
      </c>
      <c r="L13" s="622"/>
      <c r="N13">
        <v>210</v>
      </c>
      <c r="O13">
        <v>209</v>
      </c>
      <c r="P13">
        <v>207</v>
      </c>
    </row>
    <row r="14" spans="1:16">
      <c r="A14" s="615">
        <f t="shared" si="0"/>
        <v>8</v>
      </c>
      <c r="B14" s="645" t="s">
        <v>560</v>
      </c>
      <c r="C14" s="616">
        <v>208</v>
      </c>
      <c r="D14" s="617">
        <v>215</v>
      </c>
      <c r="E14" s="617">
        <v>217</v>
      </c>
      <c r="F14" s="620">
        <v>216</v>
      </c>
      <c r="G14" s="620">
        <v>212</v>
      </c>
      <c r="H14" s="622">
        <v>202</v>
      </c>
      <c r="I14" s="622">
        <v>186</v>
      </c>
      <c r="J14" s="622">
        <v>177</v>
      </c>
      <c r="K14" s="622">
        <v>165</v>
      </c>
      <c r="L14" s="622"/>
      <c r="N14">
        <v>208</v>
      </c>
      <c r="O14">
        <v>210</v>
      </c>
      <c r="P14">
        <v>206</v>
      </c>
    </row>
    <row r="15" spans="1:16">
      <c r="A15" s="615">
        <f t="shared" si="0"/>
        <v>9</v>
      </c>
      <c r="B15" s="646" t="s">
        <v>2378</v>
      </c>
      <c r="C15" s="616">
        <v>208</v>
      </c>
      <c r="D15" s="617">
        <v>219</v>
      </c>
      <c r="E15" s="617">
        <v>216</v>
      </c>
      <c r="F15" s="620">
        <v>215</v>
      </c>
      <c r="G15" s="620">
        <v>212</v>
      </c>
      <c r="H15" s="622">
        <v>198</v>
      </c>
      <c r="I15" s="622">
        <v>186</v>
      </c>
      <c r="J15" s="622">
        <v>176</v>
      </c>
      <c r="K15" s="622">
        <v>164</v>
      </c>
      <c r="L15" s="622"/>
      <c r="N15">
        <v>210</v>
      </c>
      <c r="O15">
        <v>209</v>
      </c>
    </row>
    <row r="16" spans="1:16">
      <c r="A16" s="615">
        <f t="shared" si="0"/>
        <v>10</v>
      </c>
      <c r="B16" s="645" t="s">
        <v>561</v>
      </c>
      <c r="C16" s="616">
        <v>211</v>
      </c>
      <c r="D16" s="617">
        <v>216</v>
      </c>
      <c r="E16" s="617">
        <v>216</v>
      </c>
      <c r="F16" s="616">
        <v>217</v>
      </c>
      <c r="G16" s="616">
        <v>212</v>
      </c>
      <c r="H16" s="625">
        <v>197</v>
      </c>
      <c r="I16" s="625">
        <v>184</v>
      </c>
      <c r="J16" s="625">
        <v>175</v>
      </c>
      <c r="K16" s="625">
        <v>164</v>
      </c>
      <c r="L16" s="625"/>
      <c r="N16">
        <v>210</v>
      </c>
      <c r="O16">
        <v>211</v>
      </c>
    </row>
    <row r="17" spans="1:16">
      <c r="A17" s="615">
        <f t="shared" si="0"/>
        <v>11</v>
      </c>
      <c r="B17" s="645" t="s">
        <v>562</v>
      </c>
      <c r="C17" s="616">
        <v>211</v>
      </c>
      <c r="D17" s="617">
        <v>217</v>
      </c>
      <c r="E17" s="616">
        <v>216</v>
      </c>
      <c r="F17" s="620">
        <v>215</v>
      </c>
      <c r="G17" s="620">
        <v>212</v>
      </c>
      <c r="H17" s="622">
        <v>197</v>
      </c>
      <c r="I17" s="622">
        <v>182</v>
      </c>
      <c r="J17" s="622">
        <v>174</v>
      </c>
      <c r="K17" s="622">
        <v>163</v>
      </c>
      <c r="L17" s="622"/>
      <c r="N17" s="39">
        <v>210</v>
      </c>
      <c r="O17" s="39">
        <v>209</v>
      </c>
    </row>
    <row r="18" spans="1:16">
      <c r="A18" s="615">
        <f t="shared" si="0"/>
        <v>12</v>
      </c>
      <c r="B18" s="646" t="s">
        <v>563</v>
      </c>
      <c r="C18" s="616">
        <v>211</v>
      </c>
      <c r="D18" s="617">
        <v>217</v>
      </c>
      <c r="E18" s="626">
        <v>215</v>
      </c>
      <c r="F18" s="627">
        <v>214</v>
      </c>
      <c r="G18" s="620">
        <v>212</v>
      </c>
      <c r="H18" s="622">
        <v>196</v>
      </c>
      <c r="I18" s="622">
        <v>182</v>
      </c>
      <c r="J18" s="622">
        <v>171</v>
      </c>
      <c r="K18" s="622">
        <v>148</v>
      </c>
      <c r="L18" s="622"/>
      <c r="N18">
        <v>209</v>
      </c>
      <c r="O18">
        <v>208</v>
      </c>
    </row>
    <row r="19" spans="1:16">
      <c r="A19" s="615"/>
      <c r="B19" s="645"/>
      <c r="C19" s="624"/>
      <c r="D19" s="628"/>
      <c r="E19" s="629"/>
      <c r="F19" s="628"/>
      <c r="G19" s="620"/>
      <c r="H19" s="190"/>
      <c r="I19" s="630"/>
      <c r="J19" s="630"/>
      <c r="K19" s="630"/>
      <c r="L19" s="630"/>
      <c r="N19" s="38">
        <f>AVERAGE(N7:N18)</f>
        <v>209.75</v>
      </c>
      <c r="O19" s="38">
        <f>AVERAGE(O7:O18)</f>
        <v>209.66666666666666</v>
      </c>
      <c r="P19" s="38">
        <f>AVERAGE(P7:P18)</f>
        <v>207.5</v>
      </c>
    </row>
    <row r="20" spans="1:16">
      <c r="A20" s="615"/>
      <c r="B20" s="647" t="s">
        <v>517</v>
      </c>
      <c r="C20" s="631">
        <f t="shared" ref="C20:G20" si="1">SUM(C7:C18)</f>
        <v>2552</v>
      </c>
      <c r="D20" s="631">
        <f t="shared" si="1"/>
        <v>2564</v>
      </c>
      <c r="E20" s="631">
        <f t="shared" si="1"/>
        <v>2593</v>
      </c>
      <c r="F20" s="631">
        <f t="shared" si="1"/>
        <v>2588</v>
      </c>
      <c r="G20" s="631">
        <f t="shared" si="1"/>
        <v>2556</v>
      </c>
      <c r="H20" s="632">
        <f>SUM(H7:H19)</f>
        <v>2434</v>
      </c>
      <c r="I20" s="633">
        <f>SUM(I7:I19)</f>
        <v>2273</v>
      </c>
      <c r="J20" s="634">
        <f>SUM(J7:J19)</f>
        <v>2138</v>
      </c>
      <c r="K20" s="634">
        <f>SUM(K7:K19)</f>
        <v>1972</v>
      </c>
      <c r="L20" s="634">
        <f>SUM(L7:L19)</f>
        <v>366</v>
      </c>
    </row>
    <row r="21" spans="1:16">
      <c r="A21" s="615"/>
      <c r="B21" s="647" t="s">
        <v>564</v>
      </c>
      <c r="C21" s="631">
        <f t="shared" ref="C21:F21" si="2">C20/12</f>
        <v>212.66666666666666</v>
      </c>
      <c r="D21" s="631">
        <f t="shared" si="2"/>
        <v>213.66666666666666</v>
      </c>
      <c r="E21" s="631">
        <f t="shared" si="2"/>
        <v>216.08333333333334</v>
      </c>
      <c r="F21" s="631">
        <f t="shared" si="2"/>
        <v>215.66666666666666</v>
      </c>
      <c r="G21" s="631">
        <f>G20/12</f>
        <v>213</v>
      </c>
      <c r="H21" s="635">
        <f>H20/12</f>
        <v>202.83333333333334</v>
      </c>
      <c r="I21" s="635">
        <f>AVERAGE(I7:I18)</f>
        <v>189.41666666666666</v>
      </c>
      <c r="J21" s="636">
        <f>AVERAGE(J7:J18)</f>
        <v>178.16666666666666</v>
      </c>
      <c r="K21" s="636">
        <f>AVERAGE(K7:K18)</f>
        <v>164.33333333333334</v>
      </c>
      <c r="L21" s="636">
        <f>AVERAGE(L7:L18)</f>
        <v>122</v>
      </c>
    </row>
    <row r="22" spans="1:16">
      <c r="A22" s="644"/>
      <c r="B22" s="648" t="s">
        <v>2419</v>
      </c>
      <c r="C22" s="14">
        <f t="shared" ref="C22:L22" si="3">C7</f>
        <v>219</v>
      </c>
      <c r="D22" s="14">
        <f t="shared" si="3"/>
        <v>210</v>
      </c>
      <c r="E22" s="14">
        <f t="shared" si="3"/>
        <v>216</v>
      </c>
      <c r="F22" s="14">
        <f t="shared" si="3"/>
        <v>216</v>
      </c>
      <c r="G22" s="14">
        <f t="shared" si="3"/>
        <v>214</v>
      </c>
      <c r="H22" s="14">
        <f t="shared" si="3"/>
        <v>211</v>
      </c>
      <c r="I22" s="14">
        <f t="shared" si="3"/>
        <v>196</v>
      </c>
      <c r="J22" s="14">
        <f t="shared" ref="J22:K22" si="4">J7</f>
        <v>182</v>
      </c>
      <c r="K22" s="14">
        <f t="shared" si="4"/>
        <v>169</v>
      </c>
      <c r="L22" s="14">
        <f t="shared" si="3"/>
        <v>127</v>
      </c>
    </row>
    <row r="23" spans="1:16">
      <c r="A23" s="644"/>
      <c r="B23" s="840" t="s">
        <v>2420</v>
      </c>
      <c r="C23" s="15">
        <f t="shared" ref="C23:L23" si="5">C7-C18</f>
        <v>8</v>
      </c>
      <c r="D23" s="15">
        <f t="shared" si="5"/>
        <v>-7</v>
      </c>
      <c r="E23" s="15">
        <f t="shared" si="5"/>
        <v>1</v>
      </c>
      <c r="F23" s="15">
        <f t="shared" si="5"/>
        <v>2</v>
      </c>
      <c r="G23" s="15">
        <f t="shared" si="5"/>
        <v>2</v>
      </c>
      <c r="H23" s="15">
        <f t="shared" si="5"/>
        <v>15</v>
      </c>
      <c r="I23" s="15">
        <f t="shared" si="5"/>
        <v>14</v>
      </c>
      <c r="J23" s="15">
        <f t="shared" si="5"/>
        <v>11</v>
      </c>
      <c r="K23" s="15">
        <f t="shared" ref="K23" si="6">K7-K18</f>
        <v>21</v>
      </c>
      <c r="L23" s="15">
        <f t="shared" si="5"/>
        <v>127</v>
      </c>
    </row>
    <row r="25" spans="1:16">
      <c r="C25" s="38">
        <f t="shared" ref="C25:L25" si="7">AVERAGE(C7:C18)</f>
        <v>212.66666666666666</v>
      </c>
      <c r="D25" s="38">
        <f t="shared" si="7"/>
        <v>213.66666666666666</v>
      </c>
      <c r="E25" s="38">
        <f t="shared" si="7"/>
        <v>216.08333333333334</v>
      </c>
      <c r="F25" s="38">
        <f t="shared" si="7"/>
        <v>215.66666666666666</v>
      </c>
      <c r="G25" s="38">
        <f t="shared" si="7"/>
        <v>213</v>
      </c>
      <c r="H25" s="38">
        <f t="shared" si="7"/>
        <v>202.83333333333334</v>
      </c>
      <c r="I25" s="38">
        <f t="shared" si="7"/>
        <v>189.41666666666666</v>
      </c>
      <c r="J25" s="38"/>
      <c r="K25" s="38"/>
      <c r="L25" s="38">
        <f t="shared" si="7"/>
        <v>122</v>
      </c>
    </row>
  </sheetData>
  <mergeCells count="5">
    <mergeCell ref="A2:L2"/>
    <mergeCell ref="A3:L3"/>
    <mergeCell ref="A5:A6"/>
    <mergeCell ref="B5:B6"/>
    <mergeCell ref="C5:L5"/>
  </mergeCells>
  <printOptions horizontalCentered="1"/>
  <pageMargins left="1.7" right="0.75" top="0.75" bottom="0.75" header="0.3" footer="0.3"/>
  <pageSetup paperSize="5" scale="9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2"/>
  <sheetViews>
    <sheetView view="pageBreakPreview" topLeftCell="A13" zoomScale="85" zoomScaleNormal="70" zoomScaleSheetLayoutView="85" workbookViewId="0">
      <selection activeCell="J36" sqref="J36"/>
    </sheetView>
  </sheetViews>
  <sheetFormatPr defaultRowHeight="15"/>
  <cols>
    <col min="1" max="1" width="6.42578125" customWidth="1"/>
    <col min="2" max="2" width="36.7109375" customWidth="1"/>
    <col min="3" max="3" width="13.85546875" style="11" bestFit="1" customWidth="1"/>
    <col min="4" max="4" width="20.140625" style="179" bestFit="1" customWidth="1"/>
    <col min="5" max="5" width="5.7109375" customWidth="1"/>
    <col min="6" max="6" width="25" customWidth="1"/>
    <col min="7" max="7" width="73.85546875" bestFit="1" customWidth="1"/>
    <col min="8" max="8" width="12.7109375" bestFit="1" customWidth="1"/>
    <col min="9" max="9" width="15.28515625" customWidth="1"/>
    <col min="10" max="10" width="20.140625" bestFit="1" customWidth="1"/>
    <col min="11" max="11" width="12.5703125" customWidth="1"/>
    <col min="12" max="12" width="6.85546875" customWidth="1"/>
    <col min="13" max="13" width="6.7109375" customWidth="1"/>
    <col min="14" max="14" width="20.42578125" bestFit="1" customWidth="1"/>
    <col min="15" max="15" width="20" bestFit="1" customWidth="1"/>
  </cols>
  <sheetData>
    <row r="1" spans="1:17" s="10" customFormat="1">
      <c r="A1" s="1007" t="s">
        <v>584</v>
      </c>
      <c r="B1" s="1007"/>
      <c r="C1" s="1007"/>
      <c r="D1" s="1007"/>
      <c r="E1" s="1007"/>
      <c r="F1" s="1007"/>
      <c r="G1" s="1007"/>
      <c r="H1" s="1007"/>
      <c r="I1" s="1007"/>
      <c r="J1" s="1007"/>
      <c r="K1" s="1007"/>
      <c r="L1" s="1007"/>
      <c r="M1" s="1007"/>
      <c r="N1" s="1007"/>
    </row>
    <row r="2" spans="1:17" s="10" customFormat="1">
      <c r="A2" s="1007" t="s">
        <v>528</v>
      </c>
      <c r="B2" s="1007"/>
      <c r="C2" s="1007"/>
      <c r="D2" s="1007"/>
      <c r="E2" s="1007"/>
      <c r="F2" s="1007"/>
      <c r="G2" s="1007"/>
      <c r="H2" s="1007"/>
      <c r="I2" s="1007"/>
      <c r="J2" s="1007"/>
      <c r="K2" s="1007"/>
      <c r="L2" s="1007"/>
      <c r="M2" s="1007"/>
      <c r="N2" s="1007"/>
    </row>
    <row r="3" spans="1:17" s="10" customFormat="1">
      <c r="A3" s="1007" t="s">
        <v>2736</v>
      </c>
      <c r="B3" s="1007"/>
      <c r="C3" s="1007"/>
      <c r="D3" s="1007"/>
      <c r="E3" s="1007"/>
      <c r="F3" s="1007"/>
      <c r="G3" s="1007"/>
      <c r="H3" s="1007"/>
      <c r="I3" s="1007"/>
      <c r="J3" s="1007"/>
      <c r="K3" s="1007"/>
      <c r="L3" s="1007"/>
      <c r="M3" s="1007"/>
      <c r="N3" s="1007"/>
    </row>
    <row r="4" spans="1:17" s="10" customFormat="1" ht="15.75" thickBot="1">
      <c r="A4" s="1013" t="s">
        <v>528</v>
      </c>
      <c r="B4" s="1013"/>
      <c r="C4" s="176"/>
      <c r="D4" s="177"/>
      <c r="E4" s="19"/>
      <c r="F4" s="1017"/>
      <c r="G4" s="1017"/>
      <c r="H4" s="1017"/>
      <c r="I4" s="1017"/>
      <c r="J4" s="1017"/>
      <c r="K4" s="1017"/>
      <c r="L4" s="1017"/>
      <c r="M4" s="1017"/>
    </row>
    <row r="5" spans="1:17" s="10" customFormat="1" ht="15" customHeight="1">
      <c r="A5" s="1008" t="s">
        <v>1</v>
      </c>
      <c r="B5" s="1008" t="s">
        <v>3</v>
      </c>
      <c r="C5" s="1008" t="s">
        <v>1783</v>
      </c>
      <c r="D5" s="1014" t="s">
        <v>1792</v>
      </c>
      <c r="E5" s="1008" t="s">
        <v>7</v>
      </c>
      <c r="F5" s="1008" t="s">
        <v>5</v>
      </c>
      <c r="G5" s="1008" t="s">
        <v>12</v>
      </c>
      <c r="H5" s="1008" t="s">
        <v>585</v>
      </c>
      <c r="I5" s="1008" t="s">
        <v>586</v>
      </c>
      <c r="J5" s="1012" t="s">
        <v>825</v>
      </c>
      <c r="K5" s="1008" t="s">
        <v>587</v>
      </c>
      <c r="L5" s="1010" t="s">
        <v>818</v>
      </c>
      <c r="M5" s="1012" t="s">
        <v>819</v>
      </c>
      <c r="N5" s="1008" t="s">
        <v>588</v>
      </c>
    </row>
    <row r="6" spans="1:17" s="10" customFormat="1" ht="15" customHeight="1">
      <c r="A6" s="1009"/>
      <c r="B6" s="1009"/>
      <c r="C6" s="1009"/>
      <c r="D6" s="1015"/>
      <c r="E6" s="1009"/>
      <c r="F6" s="1009"/>
      <c r="G6" s="1009"/>
      <c r="H6" s="1009"/>
      <c r="I6" s="1009"/>
      <c r="J6" s="1009"/>
      <c r="K6" s="1009"/>
      <c r="L6" s="1011"/>
      <c r="M6" s="1009"/>
      <c r="N6" s="1009"/>
    </row>
    <row r="7" spans="1:17" s="10" customFormat="1" ht="15.75" customHeight="1" thickBot="1">
      <c r="A7" s="1009"/>
      <c r="B7" s="1009"/>
      <c r="C7" s="1009"/>
      <c r="D7" s="1015"/>
      <c r="E7" s="1009"/>
      <c r="F7" s="1009"/>
      <c r="G7" s="1009"/>
      <c r="H7" s="1009"/>
      <c r="I7" s="1009"/>
      <c r="J7" s="1009"/>
      <c r="K7" s="1009"/>
      <c r="L7" s="1011"/>
      <c r="M7" s="1009"/>
      <c r="N7" s="1009"/>
      <c r="O7" s="25" t="s">
        <v>1771</v>
      </c>
      <c r="P7" s="10" t="s">
        <v>809</v>
      </c>
    </row>
    <row r="8" spans="1:17" s="25" customFormat="1" ht="18" customHeight="1">
      <c r="A8" s="534" t="s">
        <v>568</v>
      </c>
      <c r="B8" s="535" t="s">
        <v>2394</v>
      </c>
      <c r="C8" s="535" t="s">
        <v>1761</v>
      </c>
      <c r="D8" s="536">
        <v>28174</v>
      </c>
      <c r="E8" s="537" t="s">
        <v>20</v>
      </c>
      <c r="F8" s="537" t="s">
        <v>591</v>
      </c>
      <c r="G8" s="535" t="s">
        <v>841</v>
      </c>
      <c r="H8" s="537" t="s">
        <v>2401</v>
      </c>
      <c r="I8" s="538" t="s">
        <v>2402</v>
      </c>
      <c r="J8" s="591">
        <v>41532</v>
      </c>
      <c r="K8" s="537" t="s">
        <v>2399</v>
      </c>
      <c r="L8" s="537">
        <v>175</v>
      </c>
      <c r="M8" s="537">
        <v>71</v>
      </c>
      <c r="N8" s="535" t="s">
        <v>590</v>
      </c>
      <c r="O8" s="172">
        <f t="shared" ref="O8:O36" ca="1" si="0">NOW()</f>
        <v>43220.445934606483</v>
      </c>
      <c r="P8" s="173">
        <f t="shared" ref="P8:P36" ca="1" si="1">O8-D8</f>
        <v>15046.445934606483</v>
      </c>
      <c r="Q8" s="174">
        <f ca="1">P8/365</f>
        <v>41.223139546867074</v>
      </c>
    </row>
    <row r="9" spans="1:17" s="25" customFormat="1" ht="18" customHeight="1">
      <c r="A9" s="539" t="s">
        <v>572</v>
      </c>
      <c r="B9" s="540" t="s">
        <v>2737</v>
      </c>
      <c r="C9" s="540" t="s">
        <v>1787</v>
      </c>
      <c r="D9" s="541">
        <v>32695</v>
      </c>
      <c r="E9" s="542" t="s">
        <v>20</v>
      </c>
      <c r="F9" s="542" t="s">
        <v>591</v>
      </c>
      <c r="G9" s="540" t="s">
        <v>2738</v>
      </c>
      <c r="H9" s="542" t="s">
        <v>2401</v>
      </c>
      <c r="I9" s="543" t="s">
        <v>2402</v>
      </c>
      <c r="J9" s="590">
        <v>42828</v>
      </c>
      <c r="K9" s="542" t="s">
        <v>589</v>
      </c>
      <c r="L9" s="542">
        <v>169</v>
      </c>
      <c r="M9" s="542">
        <v>83</v>
      </c>
      <c r="N9" s="540" t="s">
        <v>590</v>
      </c>
      <c r="O9" s="172">
        <f ca="1">NOW()</f>
        <v>43220.445934606483</v>
      </c>
      <c r="P9" s="173">
        <f t="shared" ca="1" si="1"/>
        <v>10525.445934606483</v>
      </c>
      <c r="Q9" s="174">
        <f ca="1">P9/365</f>
        <v>28.836838177004065</v>
      </c>
    </row>
    <row r="10" spans="1:17" s="25" customFormat="1" ht="18" customHeight="1">
      <c r="A10" s="539" t="s">
        <v>567</v>
      </c>
      <c r="B10" s="544" t="s">
        <v>597</v>
      </c>
      <c r="C10" s="540" t="s">
        <v>1761</v>
      </c>
      <c r="D10" s="545">
        <v>26652</v>
      </c>
      <c r="E10" s="542" t="s">
        <v>20</v>
      </c>
      <c r="F10" s="542" t="s">
        <v>591</v>
      </c>
      <c r="G10" s="540" t="s">
        <v>821</v>
      </c>
      <c r="H10" s="542" t="s">
        <v>2401</v>
      </c>
      <c r="I10" s="543" t="s">
        <v>2402</v>
      </c>
      <c r="J10" s="590">
        <v>40269</v>
      </c>
      <c r="K10" s="542" t="s">
        <v>529</v>
      </c>
      <c r="L10" s="542">
        <v>174</v>
      </c>
      <c r="M10" s="542">
        <v>81</v>
      </c>
      <c r="N10" s="540" t="s">
        <v>590</v>
      </c>
      <c r="O10" s="172">
        <f t="shared" ca="1" si="0"/>
        <v>43220.445934606483</v>
      </c>
      <c r="P10" s="173">
        <f t="shared" ca="1" si="1"/>
        <v>16568.445934606483</v>
      </c>
      <c r="Q10" s="174">
        <f t="shared" ref="Q10:Q36" ca="1" si="2">P10/365</f>
        <v>45.393002560565705</v>
      </c>
    </row>
    <row r="11" spans="1:17" s="25" customFormat="1" ht="18" customHeight="1">
      <c r="A11" s="539" t="s">
        <v>573</v>
      </c>
      <c r="B11" s="540" t="s">
        <v>820</v>
      </c>
      <c r="C11" s="540" t="s">
        <v>1761</v>
      </c>
      <c r="D11" s="541">
        <v>28745</v>
      </c>
      <c r="E11" s="542" t="s">
        <v>20</v>
      </c>
      <c r="F11" s="542" t="s">
        <v>591</v>
      </c>
      <c r="G11" s="540" t="s">
        <v>822</v>
      </c>
      <c r="H11" s="542" t="s">
        <v>2401</v>
      </c>
      <c r="I11" s="543" t="s">
        <v>2402</v>
      </c>
      <c r="J11" s="590">
        <v>40269</v>
      </c>
      <c r="K11" s="542" t="s">
        <v>349</v>
      </c>
      <c r="L11" s="542">
        <v>172</v>
      </c>
      <c r="M11" s="542">
        <v>58</v>
      </c>
      <c r="N11" s="540" t="s">
        <v>590</v>
      </c>
      <c r="O11" s="172">
        <f t="shared" ca="1" si="0"/>
        <v>43220.445934606483</v>
      </c>
      <c r="P11" s="173">
        <f t="shared" ca="1" si="1"/>
        <v>14475.445934606483</v>
      </c>
      <c r="Q11" s="174">
        <f t="shared" ca="1" si="2"/>
        <v>39.658755985223245</v>
      </c>
    </row>
    <row r="12" spans="1:17" s="25" customFormat="1" ht="18" customHeight="1">
      <c r="A12" s="539" t="s">
        <v>574</v>
      </c>
      <c r="B12" s="540" t="s">
        <v>2406</v>
      </c>
      <c r="C12" s="540" t="s">
        <v>2407</v>
      </c>
      <c r="D12" s="541">
        <v>33468</v>
      </c>
      <c r="E12" s="542" t="s">
        <v>20</v>
      </c>
      <c r="F12" s="542" t="s">
        <v>591</v>
      </c>
      <c r="G12" s="540" t="s">
        <v>2408</v>
      </c>
      <c r="H12" s="542" t="s">
        <v>2401</v>
      </c>
      <c r="I12" s="543" t="s">
        <v>2402</v>
      </c>
      <c r="J12" s="590">
        <v>42404</v>
      </c>
      <c r="K12" s="542" t="s">
        <v>529</v>
      </c>
      <c r="L12" s="542">
        <v>174</v>
      </c>
      <c r="M12" s="542">
        <v>70</v>
      </c>
      <c r="N12" s="540" t="s">
        <v>590</v>
      </c>
      <c r="O12" s="172">
        <f t="shared" ca="1" si="0"/>
        <v>43220.445934606483</v>
      </c>
      <c r="P12" s="173">
        <f t="shared" ca="1" si="1"/>
        <v>9752.4459346064832</v>
      </c>
      <c r="Q12" s="174">
        <f t="shared" ca="1" si="2"/>
        <v>26.719029957825981</v>
      </c>
    </row>
    <row r="13" spans="1:17" s="25" customFormat="1" ht="18" customHeight="1">
      <c r="A13" s="539" t="s">
        <v>581</v>
      </c>
      <c r="B13" s="540" t="s">
        <v>598</v>
      </c>
      <c r="C13" s="540" t="s">
        <v>1761</v>
      </c>
      <c r="D13" s="541">
        <v>30518</v>
      </c>
      <c r="E13" s="542" t="s">
        <v>20</v>
      </c>
      <c r="F13" s="542" t="s">
        <v>591</v>
      </c>
      <c r="G13" s="540" t="s">
        <v>823</v>
      </c>
      <c r="H13" s="542" t="s">
        <v>2401</v>
      </c>
      <c r="I13" s="543" t="s">
        <v>2402</v>
      </c>
      <c r="J13" s="590">
        <v>40269</v>
      </c>
      <c r="K13" s="542" t="s">
        <v>529</v>
      </c>
      <c r="L13" s="542">
        <v>167</v>
      </c>
      <c r="M13" s="542">
        <v>79</v>
      </c>
      <c r="N13" s="540" t="s">
        <v>590</v>
      </c>
      <c r="O13" s="172">
        <f t="shared" ca="1" si="0"/>
        <v>43220.445934606483</v>
      </c>
      <c r="P13" s="173">
        <f t="shared" ca="1" si="1"/>
        <v>12702.445934606483</v>
      </c>
      <c r="Q13" s="174">
        <f t="shared" ca="1" si="2"/>
        <v>34.801221738647897</v>
      </c>
    </row>
    <row r="14" spans="1:17" s="25" customFormat="1" ht="18" customHeight="1">
      <c r="A14" s="539" t="s">
        <v>693</v>
      </c>
      <c r="B14" s="540" t="s">
        <v>826</v>
      </c>
      <c r="C14" s="540" t="s">
        <v>1761</v>
      </c>
      <c r="D14" s="541">
        <v>30665</v>
      </c>
      <c r="E14" s="542" t="s">
        <v>20</v>
      </c>
      <c r="F14" s="542" t="s">
        <v>591</v>
      </c>
      <c r="G14" s="540" t="s">
        <v>824</v>
      </c>
      <c r="H14" s="542" t="s">
        <v>2401</v>
      </c>
      <c r="I14" s="543" t="s">
        <v>2402</v>
      </c>
      <c r="J14" s="590">
        <v>41365</v>
      </c>
      <c r="K14" s="542" t="s">
        <v>529</v>
      </c>
      <c r="L14" s="542">
        <v>176</v>
      </c>
      <c r="M14" s="542">
        <v>74</v>
      </c>
      <c r="N14" s="540" t="s">
        <v>590</v>
      </c>
      <c r="O14" s="172">
        <f t="shared" ca="1" si="0"/>
        <v>43220.445934606483</v>
      </c>
      <c r="P14" s="173">
        <f t="shared" ca="1" si="1"/>
        <v>12555.445934606483</v>
      </c>
      <c r="Q14" s="174">
        <f t="shared" ca="1" si="2"/>
        <v>34.398482012620505</v>
      </c>
    </row>
    <row r="15" spans="1:17" s="25" customFormat="1" ht="18" customHeight="1">
      <c r="A15" s="539" t="s">
        <v>694</v>
      </c>
      <c r="B15" s="540" t="s">
        <v>2739</v>
      </c>
      <c r="C15" s="540" t="s">
        <v>2740</v>
      </c>
      <c r="D15" s="541">
        <v>30870</v>
      </c>
      <c r="E15" s="542" t="s">
        <v>20</v>
      </c>
      <c r="F15" s="542" t="s">
        <v>591</v>
      </c>
      <c r="G15" s="540" t="s">
        <v>2741</v>
      </c>
      <c r="H15" s="542" t="s">
        <v>2401</v>
      </c>
      <c r="I15" s="543" t="s">
        <v>2402</v>
      </c>
      <c r="J15" s="590">
        <v>43111</v>
      </c>
      <c r="K15" s="542" t="s">
        <v>529</v>
      </c>
      <c r="L15" s="542">
        <v>175</v>
      </c>
      <c r="M15" s="542">
        <v>75</v>
      </c>
      <c r="N15" s="540" t="s">
        <v>590</v>
      </c>
      <c r="O15" s="172">
        <f t="shared" ca="1" si="0"/>
        <v>43220.445934606483</v>
      </c>
      <c r="P15" s="173">
        <f t="shared" ca="1" si="1"/>
        <v>12350.445934606483</v>
      </c>
      <c r="Q15" s="174">
        <f t="shared" ca="1" si="2"/>
        <v>33.836838177004061</v>
      </c>
    </row>
    <row r="16" spans="1:17" s="25" customFormat="1" ht="18" customHeight="1">
      <c r="A16" s="539" t="s">
        <v>695</v>
      </c>
      <c r="B16" s="540" t="s">
        <v>593</v>
      </c>
      <c r="C16" s="540" t="s">
        <v>1784</v>
      </c>
      <c r="D16" s="541">
        <v>31439</v>
      </c>
      <c r="E16" s="542" t="s">
        <v>20</v>
      </c>
      <c r="F16" s="542" t="s">
        <v>591</v>
      </c>
      <c r="G16" s="540" t="s">
        <v>827</v>
      </c>
      <c r="H16" s="542" t="s">
        <v>2401</v>
      </c>
      <c r="I16" s="543" t="s">
        <v>2402</v>
      </c>
      <c r="J16" s="590">
        <v>41365</v>
      </c>
      <c r="K16" s="542" t="s">
        <v>529</v>
      </c>
      <c r="L16" s="542">
        <v>168</v>
      </c>
      <c r="M16" s="542">
        <v>65</v>
      </c>
      <c r="N16" s="540" t="s">
        <v>590</v>
      </c>
      <c r="O16" s="172">
        <f t="shared" ca="1" si="0"/>
        <v>43220.445934606483</v>
      </c>
      <c r="P16" s="173">
        <f t="shared" ca="1" si="1"/>
        <v>11781.445934606483</v>
      </c>
      <c r="Q16" s="174">
        <f t="shared" ca="1" si="2"/>
        <v>32.277934067415025</v>
      </c>
    </row>
    <row r="17" spans="1:17" s="25" customFormat="1" ht="18" customHeight="1">
      <c r="A17" s="539" t="s">
        <v>696</v>
      </c>
      <c r="B17" s="540" t="s">
        <v>600</v>
      </c>
      <c r="C17" s="540" t="s">
        <v>1761</v>
      </c>
      <c r="D17" s="541">
        <v>30287</v>
      </c>
      <c r="E17" s="542" t="s">
        <v>20</v>
      </c>
      <c r="F17" s="542" t="s">
        <v>591</v>
      </c>
      <c r="G17" s="540" t="s">
        <v>828</v>
      </c>
      <c r="H17" s="542" t="s">
        <v>2401</v>
      </c>
      <c r="I17" s="543" t="s">
        <v>2402</v>
      </c>
      <c r="J17" s="590">
        <v>40269</v>
      </c>
      <c r="K17" s="542" t="s">
        <v>38</v>
      </c>
      <c r="L17" s="542">
        <v>167</v>
      </c>
      <c r="M17" s="542">
        <v>68</v>
      </c>
      <c r="N17" s="540" t="s">
        <v>590</v>
      </c>
      <c r="O17" s="172">
        <f t="shared" ca="1" si="0"/>
        <v>43220.445934606483</v>
      </c>
      <c r="P17" s="173">
        <f t="shared" ca="1" si="1"/>
        <v>12933.445934606483</v>
      </c>
      <c r="Q17" s="174">
        <f t="shared" ca="1" si="2"/>
        <v>35.434098450976663</v>
      </c>
    </row>
    <row r="18" spans="1:17" s="25" customFormat="1" ht="18" customHeight="1">
      <c r="A18" s="539" t="s">
        <v>697</v>
      </c>
      <c r="B18" s="540" t="s">
        <v>829</v>
      </c>
      <c r="C18" s="540" t="s">
        <v>1761</v>
      </c>
      <c r="D18" s="541">
        <v>26866</v>
      </c>
      <c r="E18" s="542" t="s">
        <v>20</v>
      </c>
      <c r="F18" s="542" t="s">
        <v>591</v>
      </c>
      <c r="G18" s="540" t="s">
        <v>831</v>
      </c>
      <c r="H18" s="542" t="s">
        <v>2401</v>
      </c>
      <c r="I18" s="543" t="s">
        <v>2402</v>
      </c>
      <c r="J18" s="590">
        <v>40269</v>
      </c>
      <c r="K18" s="542" t="s">
        <v>38</v>
      </c>
      <c r="L18" s="542">
        <v>169</v>
      </c>
      <c r="M18" s="542">
        <v>83</v>
      </c>
      <c r="N18" s="540" t="s">
        <v>590</v>
      </c>
      <c r="O18" s="172">
        <f t="shared" ca="1" si="0"/>
        <v>43220.445934606483</v>
      </c>
      <c r="P18" s="173">
        <f t="shared" ca="1" si="1"/>
        <v>16354.445934606483</v>
      </c>
      <c r="Q18" s="174">
        <f t="shared" ca="1" si="2"/>
        <v>44.806701190702697</v>
      </c>
    </row>
    <row r="19" spans="1:17" s="25" customFormat="1" ht="18" customHeight="1">
      <c r="A19" s="539" t="s">
        <v>698</v>
      </c>
      <c r="B19" s="540" t="s">
        <v>830</v>
      </c>
      <c r="C19" s="540" t="s">
        <v>1761</v>
      </c>
      <c r="D19" s="541">
        <v>31540</v>
      </c>
      <c r="E19" s="542" t="s">
        <v>20</v>
      </c>
      <c r="F19" s="542" t="s">
        <v>591</v>
      </c>
      <c r="G19" s="546" t="s">
        <v>832</v>
      </c>
      <c r="H19" s="542" t="s">
        <v>2401</v>
      </c>
      <c r="I19" s="543" t="s">
        <v>2402</v>
      </c>
      <c r="J19" s="590">
        <v>41401</v>
      </c>
      <c r="K19" s="542" t="s">
        <v>529</v>
      </c>
      <c r="L19" s="542">
        <v>172</v>
      </c>
      <c r="M19" s="542">
        <v>71</v>
      </c>
      <c r="N19" s="540" t="s">
        <v>590</v>
      </c>
      <c r="O19" s="172">
        <f t="shared" ca="1" si="0"/>
        <v>43220.445934606483</v>
      </c>
      <c r="P19" s="173">
        <f t="shared" ca="1" si="1"/>
        <v>11680.445934606483</v>
      </c>
      <c r="Q19" s="174">
        <f t="shared" ca="1" si="2"/>
        <v>32.001221738647899</v>
      </c>
    </row>
    <row r="20" spans="1:17" s="25" customFormat="1" ht="18" customHeight="1">
      <c r="A20" s="539" t="s">
        <v>129</v>
      </c>
      <c r="B20" s="540" t="s">
        <v>595</v>
      </c>
      <c r="C20" s="540" t="s">
        <v>1785</v>
      </c>
      <c r="D20" s="541">
        <v>25685</v>
      </c>
      <c r="E20" s="542" t="s">
        <v>20</v>
      </c>
      <c r="F20" s="542" t="s">
        <v>591</v>
      </c>
      <c r="G20" s="540" t="s">
        <v>833</v>
      </c>
      <c r="H20" s="542" t="s">
        <v>2401</v>
      </c>
      <c r="I20" s="543" t="s">
        <v>2402</v>
      </c>
      <c r="J20" s="590">
        <v>40269</v>
      </c>
      <c r="K20" s="542" t="s">
        <v>529</v>
      </c>
      <c r="L20" s="542">
        <v>173</v>
      </c>
      <c r="M20" s="542">
        <v>63</v>
      </c>
      <c r="N20" s="540" t="s">
        <v>590</v>
      </c>
      <c r="O20" s="172">
        <f t="shared" ca="1" si="0"/>
        <v>43220.445934606483</v>
      </c>
      <c r="P20" s="173">
        <f t="shared" ca="1" si="1"/>
        <v>17535.445934606483</v>
      </c>
      <c r="Q20" s="174">
        <f t="shared" ca="1" si="2"/>
        <v>48.042317629058857</v>
      </c>
    </row>
    <row r="21" spans="1:17" s="25" customFormat="1" ht="18" customHeight="1">
      <c r="A21" s="539" t="s">
        <v>699</v>
      </c>
      <c r="B21" s="540" t="s">
        <v>602</v>
      </c>
      <c r="C21" s="540" t="s">
        <v>1786</v>
      </c>
      <c r="D21" s="541">
        <v>32493</v>
      </c>
      <c r="E21" s="542" t="s">
        <v>20</v>
      </c>
      <c r="F21" s="542" t="s">
        <v>591</v>
      </c>
      <c r="G21" s="540" t="s">
        <v>834</v>
      </c>
      <c r="H21" s="542" t="s">
        <v>2401</v>
      </c>
      <c r="I21" s="543" t="s">
        <v>2402</v>
      </c>
      <c r="J21" s="590">
        <v>40269</v>
      </c>
      <c r="K21" s="542" t="s">
        <v>529</v>
      </c>
      <c r="L21" s="542">
        <v>175</v>
      </c>
      <c r="M21" s="542">
        <v>85</v>
      </c>
      <c r="N21" s="540" t="s">
        <v>590</v>
      </c>
      <c r="O21" s="172">
        <f t="shared" ca="1" si="0"/>
        <v>43220.445934606483</v>
      </c>
      <c r="P21" s="173">
        <f t="shared" ca="1" si="1"/>
        <v>10727.445934606483</v>
      </c>
      <c r="Q21" s="174">
        <f t="shared" ca="1" si="2"/>
        <v>29.390262834538309</v>
      </c>
    </row>
    <row r="22" spans="1:17" s="25" customFormat="1" ht="18" customHeight="1">
      <c r="A22" s="539" t="s">
        <v>700</v>
      </c>
      <c r="B22" s="540" t="s">
        <v>835</v>
      </c>
      <c r="C22" s="540" t="s">
        <v>1761</v>
      </c>
      <c r="D22" s="541">
        <v>24751</v>
      </c>
      <c r="E22" s="542" t="s">
        <v>20</v>
      </c>
      <c r="F22" s="542" t="s">
        <v>591</v>
      </c>
      <c r="G22" s="540" t="s">
        <v>836</v>
      </c>
      <c r="H22" s="542" t="s">
        <v>2401</v>
      </c>
      <c r="I22" s="543" t="s">
        <v>2402</v>
      </c>
      <c r="J22" s="590">
        <v>40269</v>
      </c>
      <c r="K22" s="542" t="s">
        <v>529</v>
      </c>
      <c r="L22" s="542">
        <v>174</v>
      </c>
      <c r="M22" s="542">
        <v>76</v>
      </c>
      <c r="N22" s="540" t="s">
        <v>590</v>
      </c>
      <c r="O22" s="172">
        <f t="shared" ca="1" si="0"/>
        <v>43220.445934606483</v>
      </c>
      <c r="P22" s="173">
        <f t="shared" ca="1" si="1"/>
        <v>18469.445934606483</v>
      </c>
      <c r="Q22" s="174">
        <f t="shared" ca="1" si="2"/>
        <v>50.601221738647901</v>
      </c>
    </row>
    <row r="23" spans="1:17" s="25" customFormat="1" ht="18" customHeight="1">
      <c r="A23" s="539" t="s">
        <v>119</v>
      </c>
      <c r="B23" s="540" t="s">
        <v>601</v>
      </c>
      <c r="C23" s="540" t="s">
        <v>1761</v>
      </c>
      <c r="D23" s="541">
        <v>32185</v>
      </c>
      <c r="E23" s="542" t="s">
        <v>20</v>
      </c>
      <c r="F23" s="542" t="s">
        <v>591</v>
      </c>
      <c r="G23" s="540" t="s">
        <v>837</v>
      </c>
      <c r="H23" s="542" t="s">
        <v>2401</v>
      </c>
      <c r="I23" s="543" t="s">
        <v>2402</v>
      </c>
      <c r="J23" s="590">
        <v>40269</v>
      </c>
      <c r="K23" s="542" t="s">
        <v>594</v>
      </c>
      <c r="L23" s="542">
        <v>180</v>
      </c>
      <c r="M23" s="542">
        <v>75</v>
      </c>
      <c r="N23" s="540" t="s">
        <v>590</v>
      </c>
      <c r="O23" s="172">
        <f t="shared" ca="1" si="0"/>
        <v>43220.445934606483</v>
      </c>
      <c r="P23" s="173">
        <f t="shared" ca="1" si="1"/>
        <v>11035.445934606483</v>
      </c>
      <c r="Q23" s="174">
        <f t="shared" ca="1" si="2"/>
        <v>30.234098450976667</v>
      </c>
    </row>
    <row r="24" spans="1:17" s="25" customFormat="1" ht="18" customHeight="1">
      <c r="A24" s="539" t="s">
        <v>701</v>
      </c>
      <c r="B24" s="540" t="s">
        <v>599</v>
      </c>
      <c r="C24" s="540" t="s">
        <v>1785</v>
      </c>
      <c r="D24" s="541">
        <v>26005</v>
      </c>
      <c r="E24" s="542" t="s">
        <v>20</v>
      </c>
      <c r="F24" s="542" t="s">
        <v>591</v>
      </c>
      <c r="G24" s="540" t="s">
        <v>838</v>
      </c>
      <c r="H24" s="542" t="s">
        <v>2401</v>
      </c>
      <c r="I24" s="543" t="s">
        <v>2402</v>
      </c>
      <c r="J24" s="590">
        <v>40269</v>
      </c>
      <c r="K24" s="542" t="s">
        <v>594</v>
      </c>
      <c r="L24" s="542">
        <v>165</v>
      </c>
      <c r="M24" s="542">
        <v>60</v>
      </c>
      <c r="N24" s="540" t="s">
        <v>590</v>
      </c>
      <c r="O24" s="172">
        <f t="shared" ca="1" si="0"/>
        <v>43220.445934606483</v>
      </c>
      <c r="P24" s="173">
        <f t="shared" ca="1" si="1"/>
        <v>17215.445934606483</v>
      </c>
      <c r="Q24" s="174">
        <f t="shared" ca="1" si="2"/>
        <v>47.165605300291737</v>
      </c>
    </row>
    <row r="25" spans="1:17" s="25" customFormat="1" ht="18" customHeight="1">
      <c r="A25" s="539" t="s">
        <v>702</v>
      </c>
      <c r="B25" s="540" t="s">
        <v>2742</v>
      </c>
      <c r="C25" s="540" t="s">
        <v>1761</v>
      </c>
      <c r="D25" s="541">
        <v>31341</v>
      </c>
      <c r="E25" s="542" t="s">
        <v>20</v>
      </c>
      <c r="F25" s="542" t="s">
        <v>591</v>
      </c>
      <c r="G25" s="540" t="s">
        <v>2743</v>
      </c>
      <c r="H25" s="542" t="s">
        <v>2401</v>
      </c>
      <c r="I25" s="543" t="s">
        <v>2402</v>
      </c>
      <c r="J25" s="590">
        <v>43107</v>
      </c>
      <c r="K25" s="542" t="s">
        <v>529</v>
      </c>
      <c r="L25" s="542">
        <v>183</v>
      </c>
      <c r="M25" s="542">
        <v>68</v>
      </c>
      <c r="N25" s="540" t="s">
        <v>590</v>
      </c>
      <c r="O25" s="172">
        <f t="shared" ca="1" si="0"/>
        <v>43220.445934606483</v>
      </c>
      <c r="P25" s="173">
        <f t="shared" ca="1" si="1"/>
        <v>11879.445934606483</v>
      </c>
      <c r="Q25" s="174">
        <f t="shared" ca="1" si="2"/>
        <v>32.546427218099957</v>
      </c>
    </row>
    <row r="26" spans="1:17" s="25" customFormat="1" ht="18" customHeight="1">
      <c r="A26" s="539" t="s">
        <v>703</v>
      </c>
      <c r="B26" s="540" t="s">
        <v>1793</v>
      </c>
      <c r="C26" s="540" t="s">
        <v>1761</v>
      </c>
      <c r="D26" s="541">
        <v>29239</v>
      </c>
      <c r="E26" s="542" t="s">
        <v>20</v>
      </c>
      <c r="F26" s="542" t="s">
        <v>591</v>
      </c>
      <c r="G26" s="540" t="s">
        <v>1794</v>
      </c>
      <c r="H26" s="542" t="s">
        <v>2401</v>
      </c>
      <c r="I26" s="543" t="s">
        <v>2402</v>
      </c>
      <c r="J26" s="590">
        <v>41597</v>
      </c>
      <c r="K26" s="542" t="s">
        <v>594</v>
      </c>
      <c r="L26" s="542">
        <v>165</v>
      </c>
      <c r="M26" s="542">
        <v>58</v>
      </c>
      <c r="N26" s="540" t="s">
        <v>590</v>
      </c>
      <c r="O26" s="172">
        <f t="shared" ca="1" si="0"/>
        <v>43220.445934606483</v>
      </c>
      <c r="P26" s="173">
        <f t="shared" ca="1" si="1"/>
        <v>13981.445934606483</v>
      </c>
      <c r="Q26" s="174">
        <f t="shared" ca="1" si="2"/>
        <v>38.305331327688997</v>
      </c>
    </row>
    <row r="27" spans="1:17" s="25" customFormat="1" ht="18" customHeight="1">
      <c r="A27" s="539" t="s">
        <v>721</v>
      </c>
      <c r="B27" s="540" t="s">
        <v>1795</v>
      </c>
      <c r="C27" s="540" t="s">
        <v>1761</v>
      </c>
      <c r="D27" s="541">
        <v>31560</v>
      </c>
      <c r="E27" s="542" t="s">
        <v>20</v>
      </c>
      <c r="F27" s="542" t="s">
        <v>591</v>
      </c>
      <c r="G27" s="540" t="s">
        <v>2405</v>
      </c>
      <c r="H27" s="542" t="s">
        <v>2401</v>
      </c>
      <c r="I27" s="543" t="s">
        <v>2402</v>
      </c>
      <c r="J27" s="590">
        <v>41602</v>
      </c>
      <c r="K27" s="542" t="s">
        <v>35</v>
      </c>
      <c r="L27" s="542">
        <v>168</v>
      </c>
      <c r="M27" s="542">
        <v>74</v>
      </c>
      <c r="N27" s="540" t="s">
        <v>590</v>
      </c>
      <c r="O27" s="172">
        <f t="shared" ca="1" si="0"/>
        <v>43220.445934606483</v>
      </c>
      <c r="P27" s="173">
        <f t="shared" ca="1" si="1"/>
        <v>11660.445934606483</v>
      </c>
      <c r="Q27" s="174">
        <f t="shared" ca="1" si="2"/>
        <v>31.946427218099952</v>
      </c>
    </row>
    <row r="28" spans="1:17" s="25" customFormat="1" ht="18" customHeight="1">
      <c r="A28" s="539" t="s">
        <v>130</v>
      </c>
      <c r="B28" s="540" t="s">
        <v>592</v>
      </c>
      <c r="C28" s="540" t="s">
        <v>1787</v>
      </c>
      <c r="D28" s="541">
        <v>25179</v>
      </c>
      <c r="E28" s="542" t="s">
        <v>20</v>
      </c>
      <c r="F28" s="542" t="s">
        <v>591</v>
      </c>
      <c r="G28" s="540" t="s">
        <v>839</v>
      </c>
      <c r="H28" s="542" t="s">
        <v>2401</v>
      </c>
      <c r="I28" s="543" t="s">
        <v>2402</v>
      </c>
      <c r="J28" s="590">
        <v>40269</v>
      </c>
      <c r="K28" s="542" t="s">
        <v>529</v>
      </c>
      <c r="L28" s="542">
        <v>165</v>
      </c>
      <c r="M28" s="542">
        <v>75</v>
      </c>
      <c r="N28" s="540" t="s">
        <v>590</v>
      </c>
      <c r="O28" s="172">
        <f t="shared" ca="1" si="0"/>
        <v>43220.445934606483</v>
      </c>
      <c r="P28" s="173">
        <f t="shared" ca="1" si="1"/>
        <v>18041.445934606483</v>
      </c>
      <c r="Q28" s="174">
        <f t="shared" ca="1" si="2"/>
        <v>49.42861899892187</v>
      </c>
    </row>
    <row r="29" spans="1:17" s="25" customFormat="1" ht="18" customHeight="1">
      <c r="A29" s="539" t="s">
        <v>722</v>
      </c>
      <c r="B29" s="540" t="s">
        <v>596</v>
      </c>
      <c r="C29" s="540" t="s">
        <v>1788</v>
      </c>
      <c r="D29" s="541">
        <v>28217</v>
      </c>
      <c r="E29" s="542" t="s">
        <v>20</v>
      </c>
      <c r="F29" s="542" t="s">
        <v>591</v>
      </c>
      <c r="G29" s="540" t="s">
        <v>840</v>
      </c>
      <c r="H29" s="542" t="s">
        <v>2401</v>
      </c>
      <c r="I29" s="543" t="s">
        <v>2402</v>
      </c>
      <c r="J29" s="590">
        <v>40269</v>
      </c>
      <c r="K29" s="542" t="s">
        <v>113</v>
      </c>
      <c r="L29" s="542">
        <v>176</v>
      </c>
      <c r="M29" s="542">
        <v>72</v>
      </c>
      <c r="N29" s="540" t="s">
        <v>590</v>
      </c>
      <c r="O29" s="172">
        <f t="shared" ca="1" si="0"/>
        <v>43220.445934606483</v>
      </c>
      <c r="P29" s="173">
        <f t="shared" ca="1" si="1"/>
        <v>15003.445934606483</v>
      </c>
      <c r="Q29" s="174">
        <f t="shared" ca="1" si="2"/>
        <v>41.105331327688994</v>
      </c>
    </row>
    <row r="30" spans="1:17" s="25" customFormat="1" ht="18" customHeight="1">
      <c r="A30" s="539">
        <v>23</v>
      </c>
      <c r="B30" s="540" t="s">
        <v>842</v>
      </c>
      <c r="C30" s="540" t="s">
        <v>1761</v>
      </c>
      <c r="D30" s="541">
        <v>30370</v>
      </c>
      <c r="E30" s="542" t="s">
        <v>20</v>
      </c>
      <c r="F30" s="542" t="s">
        <v>591</v>
      </c>
      <c r="G30" s="540" t="s">
        <v>843</v>
      </c>
      <c r="H30" s="542" t="s">
        <v>2401</v>
      </c>
      <c r="I30" s="543" t="s">
        <v>2402</v>
      </c>
      <c r="J30" s="590">
        <v>40269</v>
      </c>
      <c r="K30" s="542" t="s">
        <v>529</v>
      </c>
      <c r="L30" s="542">
        <v>167</v>
      </c>
      <c r="M30" s="542">
        <v>80</v>
      </c>
      <c r="N30" s="540" t="s">
        <v>590</v>
      </c>
      <c r="O30" s="172">
        <f t="shared" ca="1" si="0"/>
        <v>43220.445934143521</v>
      </c>
      <c r="P30" s="173">
        <f t="shared" ref="P30:P31" ca="1" si="3">O30-D30</f>
        <v>12850.445934143521</v>
      </c>
      <c r="Q30" s="174">
        <f t="shared" ref="Q30:Q31" ca="1" si="4">P30/365</f>
        <v>35.206701189434305</v>
      </c>
    </row>
    <row r="31" spans="1:17" s="25" customFormat="1" ht="18" customHeight="1">
      <c r="A31" s="596">
        <v>24</v>
      </c>
      <c r="B31" s="593" t="s">
        <v>2744</v>
      </c>
      <c r="C31" s="593" t="s">
        <v>1790</v>
      </c>
      <c r="D31" s="594">
        <v>34860</v>
      </c>
      <c r="E31" s="595" t="s">
        <v>20</v>
      </c>
      <c r="F31" s="595" t="s">
        <v>591</v>
      </c>
      <c r="G31" s="593" t="s">
        <v>2745</v>
      </c>
      <c r="H31" s="597" t="s">
        <v>2401</v>
      </c>
      <c r="I31" s="598" t="s">
        <v>2402</v>
      </c>
      <c r="J31" s="589">
        <v>43111</v>
      </c>
      <c r="K31" s="597" t="s">
        <v>2657</v>
      </c>
      <c r="L31" s="597">
        <v>175</v>
      </c>
      <c r="M31" s="597">
        <v>75</v>
      </c>
      <c r="N31" s="599" t="s">
        <v>590</v>
      </c>
      <c r="O31" s="172">
        <f t="shared" ca="1" si="0"/>
        <v>43220.445934143521</v>
      </c>
      <c r="P31" s="173">
        <f t="shared" ca="1" si="3"/>
        <v>8360.4459341435213</v>
      </c>
      <c r="Q31" s="174">
        <f t="shared" ca="1" si="4"/>
        <v>22.905331326420605</v>
      </c>
    </row>
    <row r="32" spans="1:17" s="25" customFormat="1" ht="18" customHeight="1">
      <c r="A32" s="539">
        <v>25</v>
      </c>
      <c r="B32" s="593" t="s">
        <v>2746</v>
      </c>
      <c r="C32" s="593" t="s">
        <v>1786</v>
      </c>
      <c r="D32" s="594">
        <v>35389</v>
      </c>
      <c r="E32" s="595" t="s">
        <v>20</v>
      </c>
      <c r="F32" s="595" t="s">
        <v>591</v>
      </c>
      <c r="G32" s="593" t="s">
        <v>2747</v>
      </c>
      <c r="H32" s="597" t="s">
        <v>2401</v>
      </c>
      <c r="I32" s="598" t="s">
        <v>2402</v>
      </c>
      <c r="J32" s="589">
        <v>42826</v>
      </c>
      <c r="K32" s="597" t="s">
        <v>594</v>
      </c>
      <c r="L32" s="597">
        <v>168</v>
      </c>
      <c r="M32" s="597">
        <v>67</v>
      </c>
      <c r="N32" s="599" t="s">
        <v>590</v>
      </c>
      <c r="O32" s="172">
        <f t="shared" ca="1" si="0"/>
        <v>43220.445934143521</v>
      </c>
      <c r="P32" s="173">
        <f t="shared" ref="P32:P35" ca="1" si="5">O32-D32</f>
        <v>7831.4459341435213</v>
      </c>
      <c r="Q32" s="174">
        <f t="shared" ref="Q32:Q35" ca="1" si="6">P32/365</f>
        <v>21.456016257927455</v>
      </c>
    </row>
    <row r="33" spans="1:17" s="25" customFormat="1" ht="18" customHeight="1">
      <c r="A33" s="596">
        <v>26</v>
      </c>
      <c r="B33" s="593" t="s">
        <v>2748</v>
      </c>
      <c r="C33" s="593" t="s">
        <v>1761</v>
      </c>
      <c r="D33" s="594">
        <v>35548</v>
      </c>
      <c r="E33" s="595" t="s">
        <v>20</v>
      </c>
      <c r="F33" s="595" t="s">
        <v>591</v>
      </c>
      <c r="G33" s="593" t="s">
        <v>2749</v>
      </c>
      <c r="H33" s="597" t="s">
        <v>2401</v>
      </c>
      <c r="I33" s="598" t="s">
        <v>2402</v>
      </c>
      <c r="J33" s="589">
        <v>43111</v>
      </c>
      <c r="K33" s="597" t="s">
        <v>594</v>
      </c>
      <c r="L33" s="597">
        <v>165</v>
      </c>
      <c r="M33" s="597">
        <v>55</v>
      </c>
      <c r="N33" s="599" t="s">
        <v>590</v>
      </c>
      <c r="O33" s="172">
        <f t="shared" ca="1" si="0"/>
        <v>43220.445934143521</v>
      </c>
      <c r="P33" s="173">
        <f t="shared" ca="1" si="5"/>
        <v>7672.4459341435213</v>
      </c>
      <c r="Q33" s="174">
        <f t="shared" ca="1" si="6"/>
        <v>21.020399819571292</v>
      </c>
    </row>
    <row r="34" spans="1:17" s="25" customFormat="1" ht="18" customHeight="1">
      <c r="A34" s="539">
        <v>27</v>
      </c>
      <c r="B34" s="593" t="s">
        <v>2750</v>
      </c>
      <c r="C34" s="593" t="s">
        <v>1761</v>
      </c>
      <c r="D34" s="594">
        <v>35939</v>
      </c>
      <c r="E34" s="595" t="s">
        <v>20</v>
      </c>
      <c r="F34" s="595" t="s">
        <v>591</v>
      </c>
      <c r="G34" s="593" t="s">
        <v>2751</v>
      </c>
      <c r="H34" s="597" t="s">
        <v>2401</v>
      </c>
      <c r="I34" s="598" t="s">
        <v>2402</v>
      </c>
      <c r="J34" s="589">
        <v>43111</v>
      </c>
      <c r="K34" s="597" t="s">
        <v>594</v>
      </c>
      <c r="L34" s="597">
        <v>171</v>
      </c>
      <c r="M34" s="597">
        <v>70</v>
      </c>
      <c r="N34" s="599" t="s">
        <v>590</v>
      </c>
      <c r="O34" s="172">
        <f t="shared" ca="1" si="0"/>
        <v>43220.445934143521</v>
      </c>
      <c r="P34" s="173">
        <f t="shared" ca="1" si="5"/>
        <v>7281.4459341435213</v>
      </c>
      <c r="Q34" s="174">
        <f t="shared" ca="1" si="6"/>
        <v>19.949166942858962</v>
      </c>
    </row>
    <row r="35" spans="1:17" s="25" customFormat="1" ht="18" customHeight="1">
      <c r="A35" s="596">
        <v>28</v>
      </c>
      <c r="B35" s="593" t="s">
        <v>2752</v>
      </c>
      <c r="C35" s="593" t="s">
        <v>1761</v>
      </c>
      <c r="D35" s="594">
        <v>28234</v>
      </c>
      <c r="E35" s="595" t="s">
        <v>20</v>
      </c>
      <c r="F35" s="595" t="s">
        <v>591</v>
      </c>
      <c r="G35" s="593" t="s">
        <v>2753</v>
      </c>
      <c r="H35" s="597" t="s">
        <v>2401</v>
      </c>
      <c r="I35" s="598" t="s">
        <v>2402</v>
      </c>
      <c r="J35" s="589">
        <v>42826</v>
      </c>
      <c r="K35" s="597" t="s">
        <v>2657</v>
      </c>
      <c r="L35" s="597">
        <v>175</v>
      </c>
      <c r="M35" s="597">
        <v>75</v>
      </c>
      <c r="N35" s="599" t="s">
        <v>590</v>
      </c>
      <c r="O35" s="172">
        <f t="shared" ca="1" si="0"/>
        <v>43220.445934143521</v>
      </c>
      <c r="P35" s="173">
        <f t="shared" ca="1" si="5"/>
        <v>14986.445934143521</v>
      </c>
      <c r="Q35" s="174">
        <f t="shared" ca="1" si="6"/>
        <v>41.058755983954853</v>
      </c>
    </row>
    <row r="36" spans="1:17" s="25" customFormat="1" ht="18" customHeight="1" thickBot="1">
      <c r="A36" s="600">
        <v>29</v>
      </c>
      <c r="B36" s="601" t="s">
        <v>2403</v>
      </c>
      <c r="C36" s="601" t="s">
        <v>1761</v>
      </c>
      <c r="D36" s="602">
        <v>35190</v>
      </c>
      <c r="E36" s="603" t="s">
        <v>20</v>
      </c>
      <c r="F36" s="603" t="s">
        <v>591</v>
      </c>
      <c r="G36" s="601" t="s">
        <v>2404</v>
      </c>
      <c r="H36" s="603" t="s">
        <v>2401</v>
      </c>
      <c r="I36" s="604" t="s">
        <v>2402</v>
      </c>
      <c r="J36" s="605">
        <v>42461</v>
      </c>
      <c r="K36" s="603" t="s">
        <v>529</v>
      </c>
      <c r="L36" s="603">
        <v>167</v>
      </c>
      <c r="M36" s="603">
        <v>80</v>
      </c>
      <c r="N36" s="601" t="s">
        <v>590</v>
      </c>
      <c r="O36" s="172">
        <f t="shared" ca="1" si="0"/>
        <v>43220.445934606483</v>
      </c>
      <c r="P36" s="173">
        <f t="shared" ca="1" si="1"/>
        <v>8030.4459346064832</v>
      </c>
      <c r="Q36" s="174">
        <f t="shared" ca="1" si="2"/>
        <v>22.001221738647899</v>
      </c>
    </row>
    <row r="37" spans="1:17" s="10" customFormat="1" ht="14.25">
      <c r="A37" s="18"/>
      <c r="B37" s="20"/>
      <c r="C37" s="16"/>
      <c r="D37" s="171"/>
      <c r="E37" s="18"/>
      <c r="F37" s="18"/>
      <c r="G37" s="18"/>
      <c r="H37" s="21"/>
      <c r="I37" s="21"/>
      <c r="J37" s="18"/>
      <c r="K37" s="18"/>
      <c r="L37" s="18"/>
      <c r="M37" s="22"/>
      <c r="N37" s="25"/>
    </row>
    <row r="38" spans="1:17" s="10" customFormat="1" thickBot="1">
      <c r="A38" s="23" t="s">
        <v>2392</v>
      </c>
      <c r="B38" s="24"/>
      <c r="C38" s="24"/>
      <c r="D38" s="178"/>
      <c r="E38" s="24"/>
      <c r="F38" s="16"/>
      <c r="G38" s="16"/>
      <c r="H38" s="16"/>
      <c r="I38" s="16"/>
      <c r="J38" s="16"/>
      <c r="K38" s="16"/>
      <c r="L38" s="16"/>
      <c r="M38" s="16"/>
      <c r="O38" s="17"/>
    </row>
    <row r="39" spans="1:17" s="10" customFormat="1" ht="15" customHeight="1">
      <c r="A39" s="1008" t="s">
        <v>1</v>
      </c>
      <c r="B39" s="1008" t="s">
        <v>3</v>
      </c>
      <c r="C39" s="1008" t="s">
        <v>1783</v>
      </c>
      <c r="D39" s="1014" t="s">
        <v>1792</v>
      </c>
      <c r="E39" s="1008" t="s">
        <v>7</v>
      </c>
      <c r="F39" s="1008" t="s">
        <v>5</v>
      </c>
      <c r="G39" s="1008" t="s">
        <v>12</v>
      </c>
      <c r="H39" s="1008" t="s">
        <v>585</v>
      </c>
      <c r="I39" s="1008" t="s">
        <v>586</v>
      </c>
      <c r="J39" s="1012" t="s">
        <v>846</v>
      </c>
      <c r="K39" s="1012" t="s">
        <v>845</v>
      </c>
      <c r="L39" s="1010" t="s">
        <v>818</v>
      </c>
      <c r="M39" s="1012" t="s">
        <v>819</v>
      </c>
      <c r="N39" s="1008" t="s">
        <v>588</v>
      </c>
      <c r="O39" s="40"/>
      <c r="P39" s="17"/>
    </row>
    <row r="40" spans="1:17" s="10" customFormat="1" ht="15" customHeight="1">
      <c r="A40" s="1009"/>
      <c r="B40" s="1009"/>
      <c r="C40" s="1009"/>
      <c r="D40" s="1015"/>
      <c r="E40" s="1009"/>
      <c r="F40" s="1009"/>
      <c r="G40" s="1009"/>
      <c r="H40" s="1009"/>
      <c r="I40" s="1009"/>
      <c r="J40" s="1009"/>
      <c r="K40" s="1009"/>
      <c r="L40" s="1011"/>
      <c r="M40" s="1009"/>
      <c r="N40" s="1009"/>
    </row>
    <row r="41" spans="1:17" s="10" customFormat="1" ht="15.75" customHeight="1" thickBot="1">
      <c r="A41" s="1009"/>
      <c r="B41" s="1009"/>
      <c r="C41" s="1009"/>
      <c r="D41" s="1015"/>
      <c r="E41" s="1009"/>
      <c r="F41" s="1009"/>
      <c r="G41" s="1009"/>
      <c r="H41" s="1009"/>
      <c r="I41" s="1009"/>
      <c r="J41" s="1009"/>
      <c r="K41" s="1009"/>
      <c r="L41" s="1011"/>
      <c r="M41" s="1009"/>
      <c r="N41" s="1009"/>
      <c r="Q41" s="25"/>
    </row>
    <row r="42" spans="1:17" s="10" customFormat="1" ht="18" customHeight="1">
      <c r="A42" s="547">
        <v>1</v>
      </c>
      <c r="B42" s="548" t="s">
        <v>603</v>
      </c>
      <c r="C42" s="548" t="s">
        <v>1789</v>
      </c>
      <c r="D42" s="549">
        <v>31381</v>
      </c>
      <c r="E42" s="547" t="s">
        <v>20</v>
      </c>
      <c r="F42" s="547" t="s">
        <v>844</v>
      </c>
      <c r="G42" s="550" t="s">
        <v>1777</v>
      </c>
      <c r="H42" s="551" t="s">
        <v>2364</v>
      </c>
      <c r="I42" s="552" t="s">
        <v>2365</v>
      </c>
      <c r="J42" s="592">
        <v>40603</v>
      </c>
      <c r="K42" s="547" t="s">
        <v>23</v>
      </c>
      <c r="L42" s="553" t="s">
        <v>604</v>
      </c>
      <c r="M42" s="547">
        <v>69</v>
      </c>
      <c r="N42" s="554" t="s">
        <v>590</v>
      </c>
      <c r="O42" s="172">
        <f t="shared" ref="O42:O46" ca="1" si="7">NOW()</f>
        <v>43220.445934606483</v>
      </c>
      <c r="P42" s="173">
        <f ca="1">O42-D42</f>
        <v>11839.445934606483</v>
      </c>
      <c r="Q42" s="174">
        <f t="shared" ref="Q42:Q46" ca="1" si="8">P42/365</f>
        <v>32.436838177004063</v>
      </c>
    </row>
    <row r="43" spans="1:17" s="10" customFormat="1" ht="18" customHeight="1">
      <c r="A43" s="555">
        <v>2</v>
      </c>
      <c r="B43" s="556" t="s">
        <v>605</v>
      </c>
      <c r="C43" s="556" t="s">
        <v>1761</v>
      </c>
      <c r="D43" s="545">
        <v>30150</v>
      </c>
      <c r="E43" s="555" t="s">
        <v>20</v>
      </c>
      <c r="F43" s="555" t="s">
        <v>844</v>
      </c>
      <c r="G43" s="544" t="s">
        <v>1778</v>
      </c>
      <c r="H43" s="557" t="s">
        <v>2364</v>
      </c>
      <c r="I43" s="542" t="s">
        <v>2365</v>
      </c>
      <c r="J43" s="590">
        <v>40603</v>
      </c>
      <c r="K43" s="555" t="s">
        <v>23</v>
      </c>
      <c r="L43" s="558" t="s">
        <v>606</v>
      </c>
      <c r="M43" s="555">
        <v>69</v>
      </c>
      <c r="N43" s="540" t="s">
        <v>590</v>
      </c>
      <c r="O43" s="172">
        <f t="shared" ca="1" si="7"/>
        <v>43220.445934606483</v>
      </c>
      <c r="P43" s="173">
        <f ca="1">O43-D43</f>
        <v>13070.445934606483</v>
      </c>
      <c r="Q43" s="174">
        <f t="shared" ca="1" si="8"/>
        <v>35.80944091673009</v>
      </c>
    </row>
    <row r="44" spans="1:17" s="10" customFormat="1" ht="18" customHeight="1">
      <c r="A44" s="542">
        <v>3</v>
      </c>
      <c r="B44" s="556" t="s">
        <v>1779</v>
      </c>
      <c r="C44" s="556" t="s">
        <v>1790</v>
      </c>
      <c r="D44" s="545">
        <v>30797</v>
      </c>
      <c r="E44" s="555" t="s">
        <v>20</v>
      </c>
      <c r="F44" s="542" t="s">
        <v>844</v>
      </c>
      <c r="G44" s="540" t="s">
        <v>1780</v>
      </c>
      <c r="H44" s="557" t="s">
        <v>2364</v>
      </c>
      <c r="I44" s="542" t="s">
        <v>2365</v>
      </c>
      <c r="J44" s="590">
        <v>40603</v>
      </c>
      <c r="K44" s="542" t="s">
        <v>23</v>
      </c>
      <c r="L44" s="542">
        <v>169</v>
      </c>
      <c r="M44" s="542">
        <v>65</v>
      </c>
      <c r="N44" s="540" t="s">
        <v>590</v>
      </c>
      <c r="O44" s="172">
        <f t="shared" ca="1" si="7"/>
        <v>43220.445934606483</v>
      </c>
      <c r="P44" s="173">
        <f ca="1">O44-D44</f>
        <v>12423.445934606483</v>
      </c>
      <c r="Q44" s="174">
        <f t="shared" ca="1" si="8"/>
        <v>34.036838177004064</v>
      </c>
    </row>
    <row r="45" spans="1:17" s="10" customFormat="1" ht="18.75" customHeight="1">
      <c r="A45" s="559">
        <v>4</v>
      </c>
      <c r="B45" s="560" t="s">
        <v>2429</v>
      </c>
      <c r="C45" s="561" t="s">
        <v>1786</v>
      </c>
      <c r="D45" s="562">
        <v>33089</v>
      </c>
      <c r="E45" s="555" t="s">
        <v>20</v>
      </c>
      <c r="F45" s="559" t="s">
        <v>844</v>
      </c>
      <c r="G45" s="563" t="s">
        <v>2430</v>
      </c>
      <c r="H45" s="557" t="s">
        <v>2364</v>
      </c>
      <c r="I45" s="542" t="s">
        <v>2365</v>
      </c>
      <c r="J45" s="590">
        <v>42524</v>
      </c>
      <c r="K45" s="559" t="s">
        <v>2385</v>
      </c>
      <c r="L45" s="559">
        <v>172</v>
      </c>
      <c r="M45" s="559">
        <v>68</v>
      </c>
      <c r="N45" s="540" t="s">
        <v>590</v>
      </c>
      <c r="O45" s="172">
        <f t="shared" ca="1" si="7"/>
        <v>43220.445934606483</v>
      </c>
      <c r="P45" s="173">
        <f ca="1">O45-D45</f>
        <v>10131.445934606483</v>
      </c>
      <c r="Q45" s="174">
        <f t="shared" ca="1" si="8"/>
        <v>27.757386122209542</v>
      </c>
    </row>
    <row r="46" spans="1:17" s="10" customFormat="1" ht="18" customHeight="1" thickBot="1">
      <c r="A46" s="564">
        <v>5</v>
      </c>
      <c r="B46" s="565" t="s">
        <v>2382</v>
      </c>
      <c r="C46" s="566" t="s">
        <v>2383</v>
      </c>
      <c r="D46" s="567">
        <v>32490</v>
      </c>
      <c r="E46" s="568" t="s">
        <v>20</v>
      </c>
      <c r="F46" s="564" t="s">
        <v>844</v>
      </c>
      <c r="G46" s="566" t="s">
        <v>2384</v>
      </c>
      <c r="H46" s="569" t="s">
        <v>2364</v>
      </c>
      <c r="I46" s="569" t="s">
        <v>2365</v>
      </c>
      <c r="J46" s="605">
        <v>42309</v>
      </c>
      <c r="K46" s="564" t="s">
        <v>2385</v>
      </c>
      <c r="L46" s="564">
        <v>171</v>
      </c>
      <c r="M46" s="564">
        <v>70</v>
      </c>
      <c r="N46" s="570" t="s">
        <v>590</v>
      </c>
      <c r="O46" s="172">
        <f t="shared" ca="1" si="7"/>
        <v>43220.445934606483</v>
      </c>
      <c r="P46" s="173">
        <f ca="1">O46-D46</f>
        <v>10730.445934606483</v>
      </c>
      <c r="Q46" s="174">
        <f t="shared" ca="1" si="8"/>
        <v>29.398482012620502</v>
      </c>
    </row>
    <row r="47" spans="1:17" s="10" customFormat="1" ht="18" customHeight="1">
      <c r="A47" s="18"/>
      <c r="B47" s="17"/>
      <c r="C47" s="175"/>
      <c r="D47" s="171"/>
      <c r="E47" s="18"/>
      <c r="F47" s="18"/>
      <c r="G47" s="16"/>
      <c r="H47" s="16"/>
      <c r="I47" s="18"/>
      <c r="J47" s="18"/>
      <c r="K47" s="18"/>
      <c r="L47" s="18"/>
      <c r="M47" s="26"/>
      <c r="N47" s="25"/>
    </row>
    <row r="48" spans="1:17" s="10" customFormat="1" ht="18" customHeight="1" thickBot="1">
      <c r="A48" s="23" t="s">
        <v>2393</v>
      </c>
      <c r="B48" s="24"/>
      <c r="C48" s="24"/>
      <c r="D48" s="178"/>
      <c r="E48" s="24"/>
      <c r="F48" s="16"/>
      <c r="G48" s="16"/>
      <c r="H48" s="16"/>
      <c r="I48" s="16"/>
      <c r="J48" s="16"/>
      <c r="K48" s="16"/>
      <c r="L48" s="16"/>
      <c r="M48" s="16"/>
      <c r="N48" s="25"/>
    </row>
    <row r="49" spans="1:17" s="10" customFormat="1" ht="18" customHeight="1">
      <c r="A49" s="1008" t="s">
        <v>1</v>
      </c>
      <c r="B49" s="1008" t="s">
        <v>3</v>
      </c>
      <c r="C49" s="1008" t="s">
        <v>1783</v>
      </c>
      <c r="D49" s="1016" t="s">
        <v>1792</v>
      </c>
      <c r="E49" s="1008" t="s">
        <v>7</v>
      </c>
      <c r="F49" s="1008" t="s">
        <v>5</v>
      </c>
      <c r="G49" s="1008" t="s">
        <v>12</v>
      </c>
      <c r="H49" s="1008" t="s">
        <v>585</v>
      </c>
      <c r="I49" s="1008" t="s">
        <v>586</v>
      </c>
      <c r="J49" s="1012" t="s">
        <v>846</v>
      </c>
      <c r="K49" s="1012" t="s">
        <v>845</v>
      </c>
      <c r="L49" s="1010" t="s">
        <v>818</v>
      </c>
      <c r="M49" s="1012" t="s">
        <v>819</v>
      </c>
      <c r="N49" s="1008" t="s">
        <v>588</v>
      </c>
      <c r="O49" s="25"/>
    </row>
    <row r="50" spans="1:17" s="10" customFormat="1" ht="18" customHeight="1">
      <c r="A50" s="1009"/>
      <c r="B50" s="1009"/>
      <c r="C50" s="1009"/>
      <c r="D50" s="1015"/>
      <c r="E50" s="1009"/>
      <c r="F50" s="1009"/>
      <c r="G50" s="1009"/>
      <c r="H50" s="1009"/>
      <c r="I50" s="1009"/>
      <c r="J50" s="1009"/>
      <c r="K50" s="1009"/>
      <c r="L50" s="1011"/>
      <c r="M50" s="1009"/>
      <c r="N50" s="1009"/>
      <c r="O50" s="25"/>
    </row>
    <row r="51" spans="1:17" s="10" customFormat="1" ht="18" customHeight="1" thickBot="1">
      <c r="A51" s="1009"/>
      <c r="B51" s="1009"/>
      <c r="C51" s="1009"/>
      <c r="D51" s="1015"/>
      <c r="E51" s="1009"/>
      <c r="F51" s="1009"/>
      <c r="G51" s="1009"/>
      <c r="H51" s="1009"/>
      <c r="I51" s="1009"/>
      <c r="J51" s="1009"/>
      <c r="K51" s="1009"/>
      <c r="L51" s="1011"/>
      <c r="M51" s="1009"/>
      <c r="N51" s="1009"/>
      <c r="O51" s="25"/>
    </row>
    <row r="52" spans="1:17" s="10" customFormat="1" ht="18" customHeight="1">
      <c r="A52" s="571" t="s">
        <v>568</v>
      </c>
      <c r="B52" s="548" t="s">
        <v>607</v>
      </c>
      <c r="C52" s="548" t="s">
        <v>1761</v>
      </c>
      <c r="D52" s="549">
        <v>30200</v>
      </c>
      <c r="E52" s="547" t="s">
        <v>20</v>
      </c>
      <c r="F52" s="550" t="s">
        <v>608</v>
      </c>
      <c r="G52" s="550" t="s">
        <v>1773</v>
      </c>
      <c r="H52" s="551" t="s">
        <v>2366</v>
      </c>
      <c r="I52" s="552" t="s">
        <v>2365</v>
      </c>
      <c r="J52" s="587" t="s">
        <v>609</v>
      </c>
      <c r="K52" s="547" t="s">
        <v>38</v>
      </c>
      <c r="L52" s="553" t="s">
        <v>610</v>
      </c>
      <c r="M52" s="547">
        <v>69</v>
      </c>
      <c r="N52" s="554" t="s">
        <v>590</v>
      </c>
      <c r="O52" s="172">
        <f t="shared" ref="O52:O62" ca="1" si="9">NOW()</f>
        <v>43220.445934143521</v>
      </c>
      <c r="P52" s="173">
        <f t="shared" ref="P52:P62" ca="1" si="10">O52-D52</f>
        <v>13020.445934143521</v>
      </c>
      <c r="Q52" s="174">
        <f t="shared" ref="Q52:Q62" ca="1" si="11">P52/365</f>
        <v>35.672454614091841</v>
      </c>
    </row>
    <row r="53" spans="1:17" s="10" customFormat="1" ht="18" customHeight="1">
      <c r="A53" s="572" t="s">
        <v>572</v>
      </c>
      <c r="B53" s="573" t="s">
        <v>208</v>
      </c>
      <c r="C53" s="563" t="s">
        <v>1761</v>
      </c>
      <c r="D53" s="562">
        <v>30967</v>
      </c>
      <c r="E53" s="559" t="s">
        <v>20</v>
      </c>
      <c r="F53" s="563" t="s">
        <v>2390</v>
      </c>
      <c r="G53" s="563" t="s">
        <v>1772</v>
      </c>
      <c r="H53" s="862" t="s">
        <v>2366</v>
      </c>
      <c r="I53" s="542" t="s">
        <v>2365</v>
      </c>
      <c r="J53" s="588" t="s">
        <v>609</v>
      </c>
      <c r="K53" s="559" t="s">
        <v>67</v>
      </c>
      <c r="L53" s="559">
        <v>165</v>
      </c>
      <c r="M53" s="559">
        <v>60</v>
      </c>
      <c r="N53" s="540" t="s">
        <v>590</v>
      </c>
      <c r="O53" s="172">
        <f t="shared" ca="1" si="9"/>
        <v>43220.445934143521</v>
      </c>
      <c r="P53" s="173">
        <f t="shared" ca="1" si="10"/>
        <v>12253.445934143521</v>
      </c>
      <c r="Q53" s="174">
        <f t="shared" ca="1" si="11"/>
        <v>33.571084751078139</v>
      </c>
    </row>
    <row r="54" spans="1:17" s="10" customFormat="1" ht="18" customHeight="1">
      <c r="A54" s="572" t="s">
        <v>567</v>
      </c>
      <c r="B54" s="573" t="s">
        <v>611</v>
      </c>
      <c r="C54" s="563" t="s">
        <v>1761</v>
      </c>
      <c r="D54" s="562">
        <v>31305</v>
      </c>
      <c r="E54" s="559" t="s">
        <v>20</v>
      </c>
      <c r="F54" s="563" t="s">
        <v>2390</v>
      </c>
      <c r="G54" s="563" t="s">
        <v>1776</v>
      </c>
      <c r="H54" s="862" t="s">
        <v>2366</v>
      </c>
      <c r="I54" s="542" t="s">
        <v>2365</v>
      </c>
      <c r="J54" s="588" t="s">
        <v>609</v>
      </c>
      <c r="K54" s="559" t="s">
        <v>175</v>
      </c>
      <c r="L54" s="559">
        <v>160</v>
      </c>
      <c r="M54" s="559">
        <v>55</v>
      </c>
      <c r="N54" s="540" t="s">
        <v>590</v>
      </c>
      <c r="O54" s="172">
        <f t="shared" ca="1" si="9"/>
        <v>43220.445934143521</v>
      </c>
      <c r="P54" s="173">
        <f t="shared" ca="1" si="10"/>
        <v>11915.445934143521</v>
      </c>
      <c r="Q54" s="174">
        <f t="shared" ca="1" si="11"/>
        <v>32.645057353817869</v>
      </c>
    </row>
    <row r="55" spans="1:17" s="10" customFormat="1" ht="18" customHeight="1">
      <c r="A55" s="572" t="s">
        <v>573</v>
      </c>
      <c r="B55" s="583" t="s">
        <v>634</v>
      </c>
      <c r="C55" s="584" t="s">
        <v>1786</v>
      </c>
      <c r="D55" s="585">
        <v>27550</v>
      </c>
      <c r="E55" s="586" t="s">
        <v>20</v>
      </c>
      <c r="F55" s="584" t="s">
        <v>2390</v>
      </c>
      <c r="G55" s="584" t="s">
        <v>1775</v>
      </c>
      <c r="H55" s="597" t="s">
        <v>2366</v>
      </c>
      <c r="I55" s="597" t="s">
        <v>2365</v>
      </c>
      <c r="J55" s="606"/>
      <c r="K55" s="586" t="s">
        <v>35</v>
      </c>
      <c r="L55" s="586"/>
      <c r="M55" s="586"/>
      <c r="N55" s="599" t="s">
        <v>590</v>
      </c>
      <c r="O55" s="172">
        <f t="shared" ca="1" si="9"/>
        <v>43220.445934143521</v>
      </c>
      <c r="P55" s="173">
        <f ca="1">O55-D55</f>
        <v>15670.445934143521</v>
      </c>
      <c r="Q55" s="174">
        <f t="shared" ca="1" si="11"/>
        <v>42.93272858669458</v>
      </c>
    </row>
    <row r="56" spans="1:17" s="10" customFormat="1" ht="18" customHeight="1">
      <c r="A56" s="572" t="s">
        <v>574</v>
      </c>
      <c r="B56" s="573" t="s">
        <v>612</v>
      </c>
      <c r="C56" s="563" t="s">
        <v>1791</v>
      </c>
      <c r="D56" s="562">
        <v>25542</v>
      </c>
      <c r="E56" s="559" t="s">
        <v>20</v>
      </c>
      <c r="F56" s="563" t="s">
        <v>2391</v>
      </c>
      <c r="G56" s="563" t="s">
        <v>2409</v>
      </c>
      <c r="H56" s="862" t="s">
        <v>2366</v>
      </c>
      <c r="I56" s="542" t="s">
        <v>2365</v>
      </c>
      <c r="J56" s="588" t="s">
        <v>609</v>
      </c>
      <c r="K56" s="559" t="s">
        <v>67</v>
      </c>
      <c r="L56" s="559">
        <v>177</v>
      </c>
      <c r="M56" s="559">
        <v>70</v>
      </c>
      <c r="N56" s="540" t="s">
        <v>590</v>
      </c>
      <c r="O56" s="172">
        <f t="shared" ca="1" si="9"/>
        <v>43220.445934143521</v>
      </c>
      <c r="P56" s="173">
        <f t="shared" ca="1" si="10"/>
        <v>17678.445934143521</v>
      </c>
      <c r="Q56" s="174">
        <f t="shared" ca="1" si="11"/>
        <v>48.43409844970828</v>
      </c>
    </row>
    <row r="57" spans="1:17" s="10" customFormat="1" ht="18" customHeight="1">
      <c r="A57" s="572" t="s">
        <v>581</v>
      </c>
      <c r="B57" s="573" t="s">
        <v>613</v>
      </c>
      <c r="C57" s="563" t="s">
        <v>1762</v>
      </c>
      <c r="D57" s="562">
        <v>25867</v>
      </c>
      <c r="E57" s="559" t="s">
        <v>20</v>
      </c>
      <c r="F57" s="563" t="s">
        <v>608</v>
      </c>
      <c r="G57" s="563" t="s">
        <v>1774</v>
      </c>
      <c r="H57" s="862" t="s">
        <v>2366</v>
      </c>
      <c r="I57" s="542" t="s">
        <v>2365</v>
      </c>
      <c r="J57" s="588" t="s">
        <v>609</v>
      </c>
      <c r="K57" s="559" t="s">
        <v>35</v>
      </c>
      <c r="L57" s="559">
        <v>170</v>
      </c>
      <c r="M57" s="559">
        <v>76</v>
      </c>
      <c r="N57" s="540" t="s">
        <v>590</v>
      </c>
      <c r="O57" s="172">
        <f t="shared" ca="1" si="9"/>
        <v>43220.445934143521</v>
      </c>
      <c r="P57" s="173">
        <f t="shared" ca="1" si="10"/>
        <v>17353.445934143521</v>
      </c>
      <c r="Q57" s="174">
        <f t="shared" ca="1" si="11"/>
        <v>47.543687490804167</v>
      </c>
    </row>
    <row r="58" spans="1:17" s="10" customFormat="1" ht="18" customHeight="1">
      <c r="A58" s="572" t="s">
        <v>693</v>
      </c>
      <c r="B58" s="872" t="s">
        <v>2386</v>
      </c>
      <c r="C58" s="563" t="s">
        <v>1761</v>
      </c>
      <c r="D58" s="562">
        <v>35437</v>
      </c>
      <c r="E58" s="559" t="s">
        <v>20</v>
      </c>
      <c r="F58" s="563" t="s">
        <v>578</v>
      </c>
      <c r="G58" s="563" t="s">
        <v>2409</v>
      </c>
      <c r="H58" s="862" t="s">
        <v>2366</v>
      </c>
      <c r="I58" s="542" t="s">
        <v>2365</v>
      </c>
      <c r="J58" s="588"/>
      <c r="K58" s="559" t="s">
        <v>35</v>
      </c>
      <c r="L58" s="559"/>
      <c r="M58" s="559"/>
      <c r="N58" s="540" t="s">
        <v>590</v>
      </c>
      <c r="O58" s="172">
        <f t="shared" ca="1" si="9"/>
        <v>43220.445934143521</v>
      </c>
      <c r="P58" s="173">
        <f t="shared" ca="1" si="10"/>
        <v>7783.4459341435213</v>
      </c>
      <c r="Q58" s="174">
        <f t="shared" ca="1" si="11"/>
        <v>21.324509408612386</v>
      </c>
    </row>
    <row r="59" spans="1:17" s="10" customFormat="1" ht="18" customHeight="1">
      <c r="A59" s="572" t="s">
        <v>694</v>
      </c>
      <c r="B59" s="872" t="s">
        <v>2387</v>
      </c>
      <c r="C59" s="563" t="s">
        <v>1761</v>
      </c>
      <c r="D59" s="562">
        <v>34250</v>
      </c>
      <c r="E59" s="559" t="s">
        <v>20</v>
      </c>
      <c r="F59" s="563" t="s">
        <v>578</v>
      </c>
      <c r="G59" s="563" t="s">
        <v>1943</v>
      </c>
      <c r="H59" s="862" t="s">
        <v>2366</v>
      </c>
      <c r="I59" s="542" t="s">
        <v>2365</v>
      </c>
      <c r="J59" s="590">
        <v>42309</v>
      </c>
      <c r="K59" s="559" t="s">
        <v>35</v>
      </c>
      <c r="L59" s="559"/>
      <c r="M59" s="559"/>
      <c r="N59" s="540" t="s">
        <v>590</v>
      </c>
      <c r="O59" s="172">
        <f t="shared" ca="1" si="9"/>
        <v>43220.445934143521</v>
      </c>
      <c r="P59" s="173">
        <f t="shared" ca="1" si="10"/>
        <v>8970.4459341435213</v>
      </c>
      <c r="Q59" s="174">
        <f t="shared" ca="1" si="11"/>
        <v>24.576564203132936</v>
      </c>
    </row>
    <row r="60" spans="1:17" s="10" customFormat="1" ht="18" customHeight="1">
      <c r="A60" s="572" t="s">
        <v>695</v>
      </c>
      <c r="B60" s="573" t="s">
        <v>2729</v>
      </c>
      <c r="C60" s="563" t="s">
        <v>1761</v>
      </c>
      <c r="D60" s="562">
        <v>30932</v>
      </c>
      <c r="E60" s="559" t="s">
        <v>20</v>
      </c>
      <c r="F60" s="563" t="s">
        <v>578</v>
      </c>
      <c r="G60" s="563" t="s">
        <v>2185</v>
      </c>
      <c r="H60" s="862" t="s">
        <v>2366</v>
      </c>
      <c r="I60" s="542" t="s">
        <v>2365</v>
      </c>
      <c r="J60" s="588"/>
      <c r="K60" s="559" t="s">
        <v>35</v>
      </c>
      <c r="L60" s="559"/>
      <c r="M60" s="559"/>
      <c r="N60" s="540" t="s">
        <v>590</v>
      </c>
      <c r="O60" s="172">
        <f t="shared" ca="1" si="9"/>
        <v>43220.445934143521</v>
      </c>
      <c r="P60" s="173">
        <f t="shared" ca="1" si="10"/>
        <v>12288.445934143521</v>
      </c>
      <c r="Q60" s="174">
        <f t="shared" ca="1" si="11"/>
        <v>33.666975162037048</v>
      </c>
    </row>
    <row r="61" spans="1:17" s="10" customFormat="1" ht="18" customHeight="1">
      <c r="A61" s="572">
        <v>10</v>
      </c>
      <c r="B61" s="872" t="s">
        <v>2396</v>
      </c>
      <c r="C61" s="563" t="s">
        <v>2397</v>
      </c>
      <c r="D61" s="562">
        <v>24927</v>
      </c>
      <c r="E61" s="559" t="s">
        <v>20</v>
      </c>
      <c r="F61" s="563" t="s">
        <v>578</v>
      </c>
      <c r="G61" s="563" t="s">
        <v>2398</v>
      </c>
      <c r="H61" s="862" t="s">
        <v>2730</v>
      </c>
      <c r="I61" s="542" t="s">
        <v>2731</v>
      </c>
      <c r="J61" s="590">
        <v>42401</v>
      </c>
      <c r="K61" s="559" t="s">
        <v>38</v>
      </c>
      <c r="L61" s="559"/>
      <c r="M61" s="559"/>
      <c r="N61" s="540" t="s">
        <v>590</v>
      </c>
      <c r="O61" s="172">
        <f t="shared" ca="1" si="9"/>
        <v>43220.445934143521</v>
      </c>
      <c r="P61" s="173">
        <f t="shared" ca="1" si="10"/>
        <v>18293.445934143521</v>
      </c>
      <c r="Q61" s="174">
        <f t="shared" ca="1" si="11"/>
        <v>50.11902995655759</v>
      </c>
    </row>
    <row r="62" spans="1:17" s="10" customFormat="1" ht="18" customHeight="1" thickBot="1">
      <c r="A62" s="873">
        <v>11</v>
      </c>
      <c r="B62" s="874" t="s">
        <v>2732</v>
      </c>
      <c r="C62" s="875" t="s">
        <v>2733</v>
      </c>
      <c r="D62" s="876">
        <v>35858</v>
      </c>
      <c r="E62" s="877" t="s">
        <v>20</v>
      </c>
      <c r="F62" s="875" t="s">
        <v>578</v>
      </c>
      <c r="G62" s="875" t="s">
        <v>2734</v>
      </c>
      <c r="H62" s="862" t="s">
        <v>2730</v>
      </c>
      <c r="I62" s="542" t="s">
        <v>2731</v>
      </c>
      <c r="J62" s="878" t="s">
        <v>2735</v>
      </c>
      <c r="K62" s="877" t="s">
        <v>38</v>
      </c>
      <c r="L62" s="877">
        <v>165</v>
      </c>
      <c r="M62" s="877">
        <v>65</v>
      </c>
      <c r="N62" s="879" t="s">
        <v>590</v>
      </c>
      <c r="O62" s="172">
        <f t="shared" ca="1" si="9"/>
        <v>43220.445934143521</v>
      </c>
      <c r="P62" s="173">
        <f t="shared" ca="1" si="10"/>
        <v>7362.4459341435213</v>
      </c>
      <c r="Q62" s="174">
        <f t="shared" ca="1" si="11"/>
        <v>20.171084751078141</v>
      </c>
    </row>
  </sheetData>
  <mergeCells count="47">
    <mergeCell ref="F4:M4"/>
    <mergeCell ref="A5:A7"/>
    <mergeCell ref="B5:B7"/>
    <mergeCell ref="D5:D7"/>
    <mergeCell ref="E5:E7"/>
    <mergeCell ref="F5:F7"/>
    <mergeCell ref="I5:I7"/>
    <mergeCell ref="J5:J7"/>
    <mergeCell ref="K5:K7"/>
    <mergeCell ref="M5:M7"/>
    <mergeCell ref="C5:C7"/>
    <mergeCell ref="D39:D41"/>
    <mergeCell ref="E39:E41"/>
    <mergeCell ref="F39:F41"/>
    <mergeCell ref="C39:C41"/>
    <mergeCell ref="A49:A51"/>
    <mergeCell ref="B49:B51"/>
    <mergeCell ref="D49:D51"/>
    <mergeCell ref="E49:E51"/>
    <mergeCell ref="F49:F51"/>
    <mergeCell ref="C49:C51"/>
    <mergeCell ref="I49:I51"/>
    <mergeCell ref="J49:J51"/>
    <mergeCell ref="K49:K51"/>
    <mergeCell ref="G49:G51"/>
    <mergeCell ref="N39:N41"/>
    <mergeCell ref="G39:G41"/>
    <mergeCell ref="N49:N51"/>
    <mergeCell ref="L49:L51"/>
    <mergeCell ref="M49:M51"/>
    <mergeCell ref="H49:H51"/>
    <mergeCell ref="A1:N1"/>
    <mergeCell ref="A2:N2"/>
    <mergeCell ref="A3:N3"/>
    <mergeCell ref="G5:G7"/>
    <mergeCell ref="H39:H41"/>
    <mergeCell ref="L39:L41"/>
    <mergeCell ref="M39:M41"/>
    <mergeCell ref="I39:I41"/>
    <mergeCell ref="J39:J41"/>
    <mergeCell ref="K39:K41"/>
    <mergeCell ref="H5:H7"/>
    <mergeCell ref="N5:N7"/>
    <mergeCell ref="L5:L7"/>
    <mergeCell ref="A4:B4"/>
    <mergeCell ref="A39:A41"/>
    <mergeCell ref="B39:B41"/>
  </mergeCells>
  <printOptions horizontalCentered="1"/>
  <pageMargins left="1.5" right="0.25" top="0.5" bottom="0" header="0" footer="0.3"/>
  <pageSetup paperSize="5" scale="53" fitToHeight="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52"/>
  <sheetViews>
    <sheetView topLeftCell="A34" workbookViewId="0">
      <selection activeCell="P40" sqref="P40"/>
    </sheetView>
  </sheetViews>
  <sheetFormatPr defaultRowHeight="14.25"/>
  <cols>
    <col min="1" max="1" width="0.140625" style="180" customWidth="1"/>
    <col min="2" max="2" width="5" style="180" customWidth="1"/>
    <col min="3" max="3" width="8.7109375" style="180" customWidth="1"/>
    <col min="4" max="4" width="9.140625" style="180"/>
    <col min="5" max="5" width="25.28515625" style="180" customWidth="1"/>
    <col min="6" max="6" width="12.5703125" style="673" customWidth="1"/>
    <col min="7" max="7" width="21" style="185" bestFit="1" customWidth="1"/>
    <col min="8" max="11" width="9.140625" style="180" hidden="1" customWidth="1"/>
    <col min="12" max="12" width="7.28515625" style="184" bestFit="1" customWidth="1"/>
    <col min="13" max="13" width="18.85546875" style="180" bestFit="1" customWidth="1"/>
    <col min="14" max="14" width="4.28515625" style="186" bestFit="1" customWidth="1"/>
    <col min="15" max="15" width="10" style="186" customWidth="1"/>
    <col min="16" max="16" width="79.140625" style="180" customWidth="1"/>
    <col min="17" max="17" width="9.140625" style="180" hidden="1" customWidth="1"/>
    <col min="18" max="18" width="23.42578125" style="180" customWidth="1"/>
    <col min="19" max="257" width="9.140625" style="180"/>
    <col min="258" max="258" width="0.140625" style="180" customWidth="1"/>
    <col min="259" max="259" width="9.140625" style="180"/>
    <col min="260" max="260" width="10.7109375" style="180" bestFit="1" customWidth="1"/>
    <col min="261" max="261" width="9.140625" style="180"/>
    <col min="262" max="262" width="31" style="180" customWidth="1"/>
    <col min="263" max="263" width="17.5703125" style="180" bestFit="1" customWidth="1"/>
    <col min="264" max="264" width="19.7109375" style="180" bestFit="1" customWidth="1"/>
    <col min="265" max="268" width="0" style="180" hidden="1" customWidth="1"/>
    <col min="269" max="269" width="21.140625" style="180" bestFit="1" customWidth="1"/>
    <col min="270" max="270" width="4.28515625" style="180" bestFit="1" customWidth="1"/>
    <col min="271" max="271" width="92.7109375" style="180" customWidth="1"/>
    <col min="272" max="272" width="0" style="180" hidden="1" customWidth="1"/>
    <col min="273" max="273" width="20.5703125" style="180" customWidth="1"/>
    <col min="274" max="513" width="9.140625" style="180"/>
    <col min="514" max="514" width="0.140625" style="180" customWidth="1"/>
    <col min="515" max="515" width="9.140625" style="180"/>
    <col min="516" max="516" width="10.7109375" style="180" bestFit="1" customWidth="1"/>
    <col min="517" max="517" width="9.140625" style="180"/>
    <col min="518" max="518" width="31" style="180" customWidth="1"/>
    <col min="519" max="519" width="17.5703125" style="180" bestFit="1" customWidth="1"/>
    <col min="520" max="520" width="19.7109375" style="180" bestFit="1" customWidth="1"/>
    <col min="521" max="524" width="0" style="180" hidden="1" customWidth="1"/>
    <col min="525" max="525" width="21.140625" style="180" bestFit="1" customWidth="1"/>
    <col min="526" max="526" width="4.28515625" style="180" bestFit="1" customWidth="1"/>
    <col min="527" max="527" width="92.7109375" style="180" customWidth="1"/>
    <col min="528" max="528" width="0" style="180" hidden="1" customWidth="1"/>
    <col min="529" max="529" width="20.5703125" style="180" customWidth="1"/>
    <col min="530" max="769" width="9.140625" style="180"/>
    <col min="770" max="770" width="0.140625" style="180" customWidth="1"/>
    <col min="771" max="771" width="9.140625" style="180"/>
    <col min="772" max="772" width="10.7109375" style="180" bestFit="1" customWidth="1"/>
    <col min="773" max="773" width="9.140625" style="180"/>
    <col min="774" max="774" width="31" style="180" customWidth="1"/>
    <col min="775" max="775" width="17.5703125" style="180" bestFit="1" customWidth="1"/>
    <col min="776" max="776" width="19.7109375" style="180" bestFit="1" customWidth="1"/>
    <col min="777" max="780" width="0" style="180" hidden="1" customWidth="1"/>
    <col min="781" max="781" width="21.140625" style="180" bestFit="1" customWidth="1"/>
    <col min="782" max="782" width="4.28515625" style="180" bestFit="1" customWidth="1"/>
    <col min="783" max="783" width="92.7109375" style="180" customWidth="1"/>
    <col min="784" max="784" width="0" style="180" hidden="1" customWidth="1"/>
    <col min="785" max="785" width="20.5703125" style="180" customWidth="1"/>
    <col min="786" max="1025" width="9.140625" style="180"/>
    <col min="1026" max="1026" width="0.140625" style="180" customWidth="1"/>
    <col min="1027" max="1027" width="9.140625" style="180"/>
    <col min="1028" max="1028" width="10.7109375" style="180" bestFit="1" customWidth="1"/>
    <col min="1029" max="1029" width="9.140625" style="180"/>
    <col min="1030" max="1030" width="31" style="180" customWidth="1"/>
    <col min="1031" max="1031" width="17.5703125" style="180" bestFit="1" customWidth="1"/>
    <col min="1032" max="1032" width="19.7109375" style="180" bestFit="1" customWidth="1"/>
    <col min="1033" max="1036" width="0" style="180" hidden="1" customWidth="1"/>
    <col min="1037" max="1037" width="21.140625" style="180" bestFit="1" customWidth="1"/>
    <col min="1038" max="1038" width="4.28515625" style="180" bestFit="1" customWidth="1"/>
    <col min="1039" max="1039" width="92.7109375" style="180" customWidth="1"/>
    <col min="1040" max="1040" width="0" style="180" hidden="1" customWidth="1"/>
    <col min="1041" max="1041" width="20.5703125" style="180" customWidth="1"/>
    <col min="1042" max="1281" width="9.140625" style="180"/>
    <col min="1282" max="1282" width="0.140625" style="180" customWidth="1"/>
    <col min="1283" max="1283" width="9.140625" style="180"/>
    <col min="1284" max="1284" width="10.7109375" style="180" bestFit="1" customWidth="1"/>
    <col min="1285" max="1285" width="9.140625" style="180"/>
    <col min="1286" max="1286" width="31" style="180" customWidth="1"/>
    <col min="1287" max="1287" width="17.5703125" style="180" bestFit="1" customWidth="1"/>
    <col min="1288" max="1288" width="19.7109375" style="180" bestFit="1" customWidth="1"/>
    <col min="1289" max="1292" width="0" style="180" hidden="1" customWidth="1"/>
    <col min="1293" max="1293" width="21.140625" style="180" bestFit="1" customWidth="1"/>
    <col min="1294" max="1294" width="4.28515625" style="180" bestFit="1" customWidth="1"/>
    <col min="1295" max="1295" width="92.7109375" style="180" customWidth="1"/>
    <col min="1296" max="1296" width="0" style="180" hidden="1" customWidth="1"/>
    <col min="1297" max="1297" width="20.5703125" style="180" customWidth="1"/>
    <col min="1298" max="1537" width="9.140625" style="180"/>
    <col min="1538" max="1538" width="0.140625" style="180" customWidth="1"/>
    <col min="1539" max="1539" width="9.140625" style="180"/>
    <col min="1540" max="1540" width="10.7109375" style="180" bestFit="1" customWidth="1"/>
    <col min="1541" max="1541" width="9.140625" style="180"/>
    <col min="1542" max="1542" width="31" style="180" customWidth="1"/>
    <col min="1543" max="1543" width="17.5703125" style="180" bestFit="1" customWidth="1"/>
    <col min="1544" max="1544" width="19.7109375" style="180" bestFit="1" customWidth="1"/>
    <col min="1545" max="1548" width="0" style="180" hidden="1" customWidth="1"/>
    <col min="1549" max="1549" width="21.140625" style="180" bestFit="1" customWidth="1"/>
    <col min="1550" max="1550" width="4.28515625" style="180" bestFit="1" customWidth="1"/>
    <col min="1551" max="1551" width="92.7109375" style="180" customWidth="1"/>
    <col min="1552" max="1552" width="0" style="180" hidden="1" customWidth="1"/>
    <col min="1553" max="1553" width="20.5703125" style="180" customWidth="1"/>
    <col min="1554" max="1793" width="9.140625" style="180"/>
    <col min="1794" max="1794" width="0.140625" style="180" customWidth="1"/>
    <col min="1795" max="1795" width="9.140625" style="180"/>
    <col min="1796" max="1796" width="10.7109375" style="180" bestFit="1" customWidth="1"/>
    <col min="1797" max="1797" width="9.140625" style="180"/>
    <col min="1798" max="1798" width="31" style="180" customWidth="1"/>
    <col min="1799" max="1799" width="17.5703125" style="180" bestFit="1" customWidth="1"/>
    <col min="1800" max="1800" width="19.7109375" style="180" bestFit="1" customWidth="1"/>
    <col min="1801" max="1804" width="0" style="180" hidden="1" customWidth="1"/>
    <col min="1805" max="1805" width="21.140625" style="180" bestFit="1" customWidth="1"/>
    <col min="1806" max="1806" width="4.28515625" style="180" bestFit="1" customWidth="1"/>
    <col min="1807" max="1807" width="92.7109375" style="180" customWidth="1"/>
    <col min="1808" max="1808" width="0" style="180" hidden="1" customWidth="1"/>
    <col min="1809" max="1809" width="20.5703125" style="180" customWidth="1"/>
    <col min="1810" max="2049" width="9.140625" style="180"/>
    <col min="2050" max="2050" width="0.140625" style="180" customWidth="1"/>
    <col min="2051" max="2051" width="9.140625" style="180"/>
    <col min="2052" max="2052" width="10.7109375" style="180" bestFit="1" customWidth="1"/>
    <col min="2053" max="2053" width="9.140625" style="180"/>
    <col min="2054" max="2054" width="31" style="180" customWidth="1"/>
    <col min="2055" max="2055" width="17.5703125" style="180" bestFit="1" customWidth="1"/>
    <col min="2056" max="2056" width="19.7109375" style="180" bestFit="1" customWidth="1"/>
    <col min="2057" max="2060" width="0" style="180" hidden="1" customWidth="1"/>
    <col min="2061" max="2061" width="21.140625" style="180" bestFit="1" customWidth="1"/>
    <col min="2062" max="2062" width="4.28515625" style="180" bestFit="1" customWidth="1"/>
    <col min="2063" max="2063" width="92.7109375" style="180" customWidth="1"/>
    <col min="2064" max="2064" width="0" style="180" hidden="1" customWidth="1"/>
    <col min="2065" max="2065" width="20.5703125" style="180" customWidth="1"/>
    <col min="2066" max="2305" width="9.140625" style="180"/>
    <col min="2306" max="2306" width="0.140625" style="180" customWidth="1"/>
    <col min="2307" max="2307" width="9.140625" style="180"/>
    <col min="2308" max="2308" width="10.7109375" style="180" bestFit="1" customWidth="1"/>
    <col min="2309" max="2309" width="9.140625" style="180"/>
    <col min="2310" max="2310" width="31" style="180" customWidth="1"/>
    <col min="2311" max="2311" width="17.5703125" style="180" bestFit="1" customWidth="1"/>
    <col min="2312" max="2312" width="19.7109375" style="180" bestFit="1" customWidth="1"/>
    <col min="2313" max="2316" width="0" style="180" hidden="1" customWidth="1"/>
    <col min="2317" max="2317" width="21.140625" style="180" bestFit="1" customWidth="1"/>
    <col min="2318" max="2318" width="4.28515625" style="180" bestFit="1" customWidth="1"/>
    <col min="2319" max="2319" width="92.7109375" style="180" customWidth="1"/>
    <col min="2320" max="2320" width="0" style="180" hidden="1" customWidth="1"/>
    <col min="2321" max="2321" width="20.5703125" style="180" customWidth="1"/>
    <col min="2322" max="2561" width="9.140625" style="180"/>
    <col min="2562" max="2562" width="0.140625" style="180" customWidth="1"/>
    <col min="2563" max="2563" width="9.140625" style="180"/>
    <col min="2564" max="2564" width="10.7109375" style="180" bestFit="1" customWidth="1"/>
    <col min="2565" max="2565" width="9.140625" style="180"/>
    <col min="2566" max="2566" width="31" style="180" customWidth="1"/>
    <col min="2567" max="2567" width="17.5703125" style="180" bestFit="1" customWidth="1"/>
    <col min="2568" max="2568" width="19.7109375" style="180" bestFit="1" customWidth="1"/>
    <col min="2569" max="2572" width="0" style="180" hidden="1" customWidth="1"/>
    <col min="2573" max="2573" width="21.140625" style="180" bestFit="1" customWidth="1"/>
    <col min="2574" max="2574" width="4.28515625" style="180" bestFit="1" customWidth="1"/>
    <col min="2575" max="2575" width="92.7109375" style="180" customWidth="1"/>
    <col min="2576" max="2576" width="0" style="180" hidden="1" customWidth="1"/>
    <col min="2577" max="2577" width="20.5703125" style="180" customWidth="1"/>
    <col min="2578" max="2817" width="9.140625" style="180"/>
    <col min="2818" max="2818" width="0.140625" style="180" customWidth="1"/>
    <col min="2819" max="2819" width="9.140625" style="180"/>
    <col min="2820" max="2820" width="10.7109375" style="180" bestFit="1" customWidth="1"/>
    <col min="2821" max="2821" width="9.140625" style="180"/>
    <col min="2822" max="2822" width="31" style="180" customWidth="1"/>
    <col min="2823" max="2823" width="17.5703125" style="180" bestFit="1" customWidth="1"/>
    <col min="2824" max="2824" width="19.7109375" style="180" bestFit="1" customWidth="1"/>
    <col min="2825" max="2828" width="0" style="180" hidden="1" customWidth="1"/>
    <col min="2829" max="2829" width="21.140625" style="180" bestFit="1" customWidth="1"/>
    <col min="2830" max="2830" width="4.28515625" style="180" bestFit="1" customWidth="1"/>
    <col min="2831" max="2831" width="92.7109375" style="180" customWidth="1"/>
    <col min="2832" max="2832" width="0" style="180" hidden="1" customWidth="1"/>
    <col min="2833" max="2833" width="20.5703125" style="180" customWidth="1"/>
    <col min="2834" max="3073" width="9.140625" style="180"/>
    <col min="3074" max="3074" width="0.140625" style="180" customWidth="1"/>
    <col min="3075" max="3075" width="9.140625" style="180"/>
    <col min="3076" max="3076" width="10.7109375" style="180" bestFit="1" customWidth="1"/>
    <col min="3077" max="3077" width="9.140625" style="180"/>
    <col min="3078" max="3078" width="31" style="180" customWidth="1"/>
    <col min="3079" max="3079" width="17.5703125" style="180" bestFit="1" customWidth="1"/>
    <col min="3080" max="3080" width="19.7109375" style="180" bestFit="1" customWidth="1"/>
    <col min="3081" max="3084" width="0" style="180" hidden="1" customWidth="1"/>
    <col min="3085" max="3085" width="21.140625" style="180" bestFit="1" customWidth="1"/>
    <col min="3086" max="3086" width="4.28515625" style="180" bestFit="1" customWidth="1"/>
    <col min="3087" max="3087" width="92.7109375" style="180" customWidth="1"/>
    <col min="3088" max="3088" width="0" style="180" hidden="1" customWidth="1"/>
    <col min="3089" max="3089" width="20.5703125" style="180" customWidth="1"/>
    <col min="3090" max="3329" width="9.140625" style="180"/>
    <col min="3330" max="3330" width="0.140625" style="180" customWidth="1"/>
    <col min="3331" max="3331" width="9.140625" style="180"/>
    <col min="3332" max="3332" width="10.7109375" style="180" bestFit="1" customWidth="1"/>
    <col min="3333" max="3333" width="9.140625" style="180"/>
    <col min="3334" max="3334" width="31" style="180" customWidth="1"/>
    <col min="3335" max="3335" width="17.5703125" style="180" bestFit="1" customWidth="1"/>
    <col min="3336" max="3336" width="19.7109375" style="180" bestFit="1" customWidth="1"/>
    <col min="3337" max="3340" width="0" style="180" hidden="1" customWidth="1"/>
    <col min="3341" max="3341" width="21.140625" style="180" bestFit="1" customWidth="1"/>
    <col min="3342" max="3342" width="4.28515625" style="180" bestFit="1" customWidth="1"/>
    <col min="3343" max="3343" width="92.7109375" style="180" customWidth="1"/>
    <col min="3344" max="3344" width="0" style="180" hidden="1" customWidth="1"/>
    <col min="3345" max="3345" width="20.5703125" style="180" customWidth="1"/>
    <col min="3346" max="3585" width="9.140625" style="180"/>
    <col min="3586" max="3586" width="0.140625" style="180" customWidth="1"/>
    <col min="3587" max="3587" width="9.140625" style="180"/>
    <col min="3588" max="3588" width="10.7109375" style="180" bestFit="1" customWidth="1"/>
    <col min="3589" max="3589" width="9.140625" style="180"/>
    <col min="3590" max="3590" width="31" style="180" customWidth="1"/>
    <col min="3591" max="3591" width="17.5703125" style="180" bestFit="1" customWidth="1"/>
    <col min="3592" max="3592" width="19.7109375" style="180" bestFit="1" customWidth="1"/>
    <col min="3593" max="3596" width="0" style="180" hidden="1" customWidth="1"/>
    <col min="3597" max="3597" width="21.140625" style="180" bestFit="1" customWidth="1"/>
    <col min="3598" max="3598" width="4.28515625" style="180" bestFit="1" customWidth="1"/>
    <col min="3599" max="3599" width="92.7109375" style="180" customWidth="1"/>
    <col min="3600" max="3600" width="0" style="180" hidden="1" customWidth="1"/>
    <col min="3601" max="3601" width="20.5703125" style="180" customWidth="1"/>
    <col min="3602" max="3841" width="9.140625" style="180"/>
    <col min="3842" max="3842" width="0.140625" style="180" customWidth="1"/>
    <col min="3843" max="3843" width="9.140625" style="180"/>
    <col min="3844" max="3844" width="10.7109375" style="180" bestFit="1" customWidth="1"/>
    <col min="3845" max="3845" width="9.140625" style="180"/>
    <col min="3846" max="3846" width="31" style="180" customWidth="1"/>
    <col min="3847" max="3847" width="17.5703125" style="180" bestFit="1" customWidth="1"/>
    <col min="3848" max="3848" width="19.7109375" style="180" bestFit="1" customWidth="1"/>
    <col min="3849" max="3852" width="0" style="180" hidden="1" customWidth="1"/>
    <col min="3853" max="3853" width="21.140625" style="180" bestFit="1" customWidth="1"/>
    <col min="3854" max="3854" width="4.28515625" style="180" bestFit="1" customWidth="1"/>
    <col min="3855" max="3855" width="92.7109375" style="180" customWidth="1"/>
    <col min="3856" max="3856" width="0" style="180" hidden="1" customWidth="1"/>
    <col min="3857" max="3857" width="20.5703125" style="180" customWidth="1"/>
    <col min="3858" max="4097" width="9.140625" style="180"/>
    <col min="4098" max="4098" width="0.140625" style="180" customWidth="1"/>
    <col min="4099" max="4099" width="9.140625" style="180"/>
    <col min="4100" max="4100" width="10.7109375" style="180" bestFit="1" customWidth="1"/>
    <col min="4101" max="4101" width="9.140625" style="180"/>
    <col min="4102" max="4102" width="31" style="180" customWidth="1"/>
    <col min="4103" max="4103" width="17.5703125" style="180" bestFit="1" customWidth="1"/>
    <col min="4104" max="4104" width="19.7109375" style="180" bestFit="1" customWidth="1"/>
    <col min="4105" max="4108" width="0" style="180" hidden="1" customWidth="1"/>
    <col min="4109" max="4109" width="21.140625" style="180" bestFit="1" customWidth="1"/>
    <col min="4110" max="4110" width="4.28515625" style="180" bestFit="1" customWidth="1"/>
    <col min="4111" max="4111" width="92.7109375" style="180" customWidth="1"/>
    <col min="4112" max="4112" width="0" style="180" hidden="1" customWidth="1"/>
    <col min="4113" max="4113" width="20.5703125" style="180" customWidth="1"/>
    <col min="4114" max="4353" width="9.140625" style="180"/>
    <col min="4354" max="4354" width="0.140625" style="180" customWidth="1"/>
    <col min="4355" max="4355" width="9.140625" style="180"/>
    <col min="4356" max="4356" width="10.7109375" style="180" bestFit="1" customWidth="1"/>
    <col min="4357" max="4357" width="9.140625" style="180"/>
    <col min="4358" max="4358" width="31" style="180" customWidth="1"/>
    <col min="4359" max="4359" width="17.5703125" style="180" bestFit="1" customWidth="1"/>
    <col min="4360" max="4360" width="19.7109375" style="180" bestFit="1" customWidth="1"/>
    <col min="4361" max="4364" width="0" style="180" hidden="1" customWidth="1"/>
    <col min="4365" max="4365" width="21.140625" style="180" bestFit="1" customWidth="1"/>
    <col min="4366" max="4366" width="4.28515625" style="180" bestFit="1" customWidth="1"/>
    <col min="4367" max="4367" width="92.7109375" style="180" customWidth="1"/>
    <col min="4368" max="4368" width="0" style="180" hidden="1" customWidth="1"/>
    <col min="4369" max="4369" width="20.5703125" style="180" customWidth="1"/>
    <col min="4370" max="4609" width="9.140625" style="180"/>
    <col min="4610" max="4610" width="0.140625" style="180" customWidth="1"/>
    <col min="4611" max="4611" width="9.140625" style="180"/>
    <col min="4612" max="4612" width="10.7109375" style="180" bestFit="1" customWidth="1"/>
    <col min="4613" max="4613" width="9.140625" style="180"/>
    <col min="4614" max="4614" width="31" style="180" customWidth="1"/>
    <col min="4615" max="4615" width="17.5703125" style="180" bestFit="1" customWidth="1"/>
    <col min="4616" max="4616" width="19.7109375" style="180" bestFit="1" customWidth="1"/>
    <col min="4617" max="4620" width="0" style="180" hidden="1" customWidth="1"/>
    <col min="4621" max="4621" width="21.140625" style="180" bestFit="1" customWidth="1"/>
    <col min="4622" max="4622" width="4.28515625" style="180" bestFit="1" customWidth="1"/>
    <col min="4623" max="4623" width="92.7109375" style="180" customWidth="1"/>
    <col min="4624" max="4624" width="0" style="180" hidden="1" customWidth="1"/>
    <col min="4625" max="4625" width="20.5703125" style="180" customWidth="1"/>
    <col min="4626" max="4865" width="9.140625" style="180"/>
    <col min="4866" max="4866" width="0.140625" style="180" customWidth="1"/>
    <col min="4867" max="4867" width="9.140625" style="180"/>
    <col min="4868" max="4868" width="10.7109375" style="180" bestFit="1" customWidth="1"/>
    <col min="4869" max="4869" width="9.140625" style="180"/>
    <col min="4870" max="4870" width="31" style="180" customWidth="1"/>
    <col min="4871" max="4871" width="17.5703125" style="180" bestFit="1" customWidth="1"/>
    <col min="4872" max="4872" width="19.7109375" style="180" bestFit="1" customWidth="1"/>
    <col min="4873" max="4876" width="0" style="180" hidden="1" customWidth="1"/>
    <col min="4877" max="4877" width="21.140625" style="180" bestFit="1" customWidth="1"/>
    <col min="4878" max="4878" width="4.28515625" style="180" bestFit="1" customWidth="1"/>
    <col min="4879" max="4879" width="92.7109375" style="180" customWidth="1"/>
    <col min="4880" max="4880" width="0" style="180" hidden="1" customWidth="1"/>
    <col min="4881" max="4881" width="20.5703125" style="180" customWidth="1"/>
    <col min="4882" max="5121" width="9.140625" style="180"/>
    <col min="5122" max="5122" width="0.140625" style="180" customWidth="1"/>
    <col min="5123" max="5123" width="9.140625" style="180"/>
    <col min="5124" max="5124" width="10.7109375" style="180" bestFit="1" customWidth="1"/>
    <col min="5125" max="5125" width="9.140625" style="180"/>
    <col min="5126" max="5126" width="31" style="180" customWidth="1"/>
    <col min="5127" max="5127" width="17.5703125" style="180" bestFit="1" customWidth="1"/>
    <col min="5128" max="5128" width="19.7109375" style="180" bestFit="1" customWidth="1"/>
    <col min="5129" max="5132" width="0" style="180" hidden="1" customWidth="1"/>
    <col min="5133" max="5133" width="21.140625" style="180" bestFit="1" customWidth="1"/>
    <col min="5134" max="5134" width="4.28515625" style="180" bestFit="1" customWidth="1"/>
    <col min="5135" max="5135" width="92.7109375" style="180" customWidth="1"/>
    <col min="5136" max="5136" width="0" style="180" hidden="1" customWidth="1"/>
    <col min="5137" max="5137" width="20.5703125" style="180" customWidth="1"/>
    <col min="5138" max="5377" width="9.140625" style="180"/>
    <col min="5378" max="5378" width="0.140625" style="180" customWidth="1"/>
    <col min="5379" max="5379" width="9.140625" style="180"/>
    <col min="5380" max="5380" width="10.7109375" style="180" bestFit="1" customWidth="1"/>
    <col min="5381" max="5381" width="9.140625" style="180"/>
    <col min="5382" max="5382" width="31" style="180" customWidth="1"/>
    <col min="5383" max="5383" width="17.5703125" style="180" bestFit="1" customWidth="1"/>
    <col min="5384" max="5384" width="19.7109375" style="180" bestFit="1" customWidth="1"/>
    <col min="5385" max="5388" width="0" style="180" hidden="1" customWidth="1"/>
    <col min="5389" max="5389" width="21.140625" style="180" bestFit="1" customWidth="1"/>
    <col min="5390" max="5390" width="4.28515625" style="180" bestFit="1" customWidth="1"/>
    <col min="5391" max="5391" width="92.7109375" style="180" customWidth="1"/>
    <col min="5392" max="5392" width="0" style="180" hidden="1" customWidth="1"/>
    <col min="5393" max="5393" width="20.5703125" style="180" customWidth="1"/>
    <col min="5394" max="5633" width="9.140625" style="180"/>
    <col min="5634" max="5634" width="0.140625" style="180" customWidth="1"/>
    <col min="5635" max="5635" width="9.140625" style="180"/>
    <col min="5636" max="5636" width="10.7109375" style="180" bestFit="1" customWidth="1"/>
    <col min="5637" max="5637" width="9.140625" style="180"/>
    <col min="5638" max="5638" width="31" style="180" customWidth="1"/>
    <col min="5639" max="5639" width="17.5703125" style="180" bestFit="1" customWidth="1"/>
    <col min="5640" max="5640" width="19.7109375" style="180" bestFit="1" customWidth="1"/>
    <col min="5641" max="5644" width="0" style="180" hidden="1" customWidth="1"/>
    <col min="5645" max="5645" width="21.140625" style="180" bestFit="1" customWidth="1"/>
    <col min="5646" max="5646" width="4.28515625" style="180" bestFit="1" customWidth="1"/>
    <col min="5647" max="5647" width="92.7109375" style="180" customWidth="1"/>
    <col min="5648" max="5648" width="0" style="180" hidden="1" customWidth="1"/>
    <col min="5649" max="5649" width="20.5703125" style="180" customWidth="1"/>
    <col min="5650" max="5889" width="9.140625" style="180"/>
    <col min="5890" max="5890" width="0.140625" style="180" customWidth="1"/>
    <col min="5891" max="5891" width="9.140625" style="180"/>
    <col min="5892" max="5892" width="10.7109375" style="180" bestFit="1" customWidth="1"/>
    <col min="5893" max="5893" width="9.140625" style="180"/>
    <col min="5894" max="5894" width="31" style="180" customWidth="1"/>
    <col min="5895" max="5895" width="17.5703125" style="180" bestFit="1" customWidth="1"/>
    <col min="5896" max="5896" width="19.7109375" style="180" bestFit="1" customWidth="1"/>
    <col min="5897" max="5900" width="0" style="180" hidden="1" customWidth="1"/>
    <col min="5901" max="5901" width="21.140625" style="180" bestFit="1" customWidth="1"/>
    <col min="5902" max="5902" width="4.28515625" style="180" bestFit="1" customWidth="1"/>
    <col min="5903" max="5903" width="92.7109375" style="180" customWidth="1"/>
    <col min="5904" max="5904" width="0" style="180" hidden="1" customWidth="1"/>
    <col min="5905" max="5905" width="20.5703125" style="180" customWidth="1"/>
    <col min="5906" max="6145" width="9.140625" style="180"/>
    <col min="6146" max="6146" width="0.140625" style="180" customWidth="1"/>
    <col min="6147" max="6147" width="9.140625" style="180"/>
    <col min="6148" max="6148" width="10.7109375" style="180" bestFit="1" customWidth="1"/>
    <col min="6149" max="6149" width="9.140625" style="180"/>
    <col min="6150" max="6150" width="31" style="180" customWidth="1"/>
    <col min="6151" max="6151" width="17.5703125" style="180" bestFit="1" customWidth="1"/>
    <col min="6152" max="6152" width="19.7109375" style="180" bestFit="1" customWidth="1"/>
    <col min="6153" max="6156" width="0" style="180" hidden="1" customWidth="1"/>
    <col min="6157" max="6157" width="21.140625" style="180" bestFit="1" customWidth="1"/>
    <col min="6158" max="6158" width="4.28515625" style="180" bestFit="1" customWidth="1"/>
    <col min="6159" max="6159" width="92.7109375" style="180" customWidth="1"/>
    <col min="6160" max="6160" width="0" style="180" hidden="1" customWidth="1"/>
    <col min="6161" max="6161" width="20.5703125" style="180" customWidth="1"/>
    <col min="6162" max="6401" width="9.140625" style="180"/>
    <col min="6402" max="6402" width="0.140625" style="180" customWidth="1"/>
    <col min="6403" max="6403" width="9.140625" style="180"/>
    <col min="6404" max="6404" width="10.7109375" style="180" bestFit="1" customWidth="1"/>
    <col min="6405" max="6405" width="9.140625" style="180"/>
    <col min="6406" max="6406" width="31" style="180" customWidth="1"/>
    <col min="6407" max="6407" width="17.5703125" style="180" bestFit="1" customWidth="1"/>
    <col min="6408" max="6408" width="19.7109375" style="180" bestFit="1" customWidth="1"/>
    <col min="6409" max="6412" width="0" style="180" hidden="1" customWidth="1"/>
    <col min="6413" max="6413" width="21.140625" style="180" bestFit="1" customWidth="1"/>
    <col min="6414" max="6414" width="4.28515625" style="180" bestFit="1" customWidth="1"/>
    <col min="6415" max="6415" width="92.7109375" style="180" customWidth="1"/>
    <col min="6416" max="6416" width="0" style="180" hidden="1" customWidth="1"/>
    <col min="6417" max="6417" width="20.5703125" style="180" customWidth="1"/>
    <col min="6418" max="6657" width="9.140625" style="180"/>
    <col min="6658" max="6658" width="0.140625" style="180" customWidth="1"/>
    <col min="6659" max="6659" width="9.140625" style="180"/>
    <col min="6660" max="6660" width="10.7109375" style="180" bestFit="1" customWidth="1"/>
    <col min="6661" max="6661" width="9.140625" style="180"/>
    <col min="6662" max="6662" width="31" style="180" customWidth="1"/>
    <col min="6663" max="6663" width="17.5703125" style="180" bestFit="1" customWidth="1"/>
    <col min="6664" max="6664" width="19.7109375" style="180" bestFit="1" customWidth="1"/>
    <col min="6665" max="6668" width="0" style="180" hidden="1" customWidth="1"/>
    <col min="6669" max="6669" width="21.140625" style="180" bestFit="1" customWidth="1"/>
    <col min="6670" max="6670" width="4.28515625" style="180" bestFit="1" customWidth="1"/>
    <col min="6671" max="6671" width="92.7109375" style="180" customWidth="1"/>
    <col min="6672" max="6672" width="0" style="180" hidden="1" customWidth="1"/>
    <col min="6673" max="6673" width="20.5703125" style="180" customWidth="1"/>
    <col min="6674" max="6913" width="9.140625" style="180"/>
    <col min="6914" max="6914" width="0.140625" style="180" customWidth="1"/>
    <col min="6915" max="6915" width="9.140625" style="180"/>
    <col min="6916" max="6916" width="10.7109375" style="180" bestFit="1" customWidth="1"/>
    <col min="6917" max="6917" width="9.140625" style="180"/>
    <col min="6918" max="6918" width="31" style="180" customWidth="1"/>
    <col min="6919" max="6919" width="17.5703125" style="180" bestFit="1" customWidth="1"/>
    <col min="6920" max="6920" width="19.7109375" style="180" bestFit="1" customWidth="1"/>
    <col min="6921" max="6924" width="0" style="180" hidden="1" customWidth="1"/>
    <col min="6925" max="6925" width="21.140625" style="180" bestFit="1" customWidth="1"/>
    <col min="6926" max="6926" width="4.28515625" style="180" bestFit="1" customWidth="1"/>
    <col min="6927" max="6927" width="92.7109375" style="180" customWidth="1"/>
    <col min="6928" max="6928" width="0" style="180" hidden="1" customWidth="1"/>
    <col min="6929" max="6929" width="20.5703125" style="180" customWidth="1"/>
    <col min="6930" max="7169" width="9.140625" style="180"/>
    <col min="7170" max="7170" width="0.140625" style="180" customWidth="1"/>
    <col min="7171" max="7171" width="9.140625" style="180"/>
    <col min="7172" max="7172" width="10.7109375" style="180" bestFit="1" customWidth="1"/>
    <col min="7173" max="7173" width="9.140625" style="180"/>
    <col min="7174" max="7174" width="31" style="180" customWidth="1"/>
    <col min="7175" max="7175" width="17.5703125" style="180" bestFit="1" customWidth="1"/>
    <col min="7176" max="7176" width="19.7109375" style="180" bestFit="1" customWidth="1"/>
    <col min="7177" max="7180" width="0" style="180" hidden="1" customWidth="1"/>
    <col min="7181" max="7181" width="21.140625" style="180" bestFit="1" customWidth="1"/>
    <col min="7182" max="7182" width="4.28515625" style="180" bestFit="1" customWidth="1"/>
    <col min="7183" max="7183" width="92.7109375" style="180" customWidth="1"/>
    <col min="7184" max="7184" width="0" style="180" hidden="1" customWidth="1"/>
    <col min="7185" max="7185" width="20.5703125" style="180" customWidth="1"/>
    <col min="7186" max="7425" width="9.140625" style="180"/>
    <col min="7426" max="7426" width="0.140625" style="180" customWidth="1"/>
    <col min="7427" max="7427" width="9.140625" style="180"/>
    <col min="7428" max="7428" width="10.7109375" style="180" bestFit="1" customWidth="1"/>
    <col min="7429" max="7429" width="9.140625" style="180"/>
    <col min="7430" max="7430" width="31" style="180" customWidth="1"/>
    <col min="7431" max="7431" width="17.5703125" style="180" bestFit="1" customWidth="1"/>
    <col min="7432" max="7432" width="19.7109375" style="180" bestFit="1" customWidth="1"/>
    <col min="7433" max="7436" width="0" style="180" hidden="1" customWidth="1"/>
    <col min="7437" max="7437" width="21.140625" style="180" bestFit="1" customWidth="1"/>
    <col min="7438" max="7438" width="4.28515625" style="180" bestFit="1" customWidth="1"/>
    <col min="7439" max="7439" width="92.7109375" style="180" customWidth="1"/>
    <col min="7440" max="7440" width="0" style="180" hidden="1" customWidth="1"/>
    <col min="7441" max="7441" width="20.5703125" style="180" customWidth="1"/>
    <col min="7442" max="7681" width="9.140625" style="180"/>
    <col min="7682" max="7682" width="0.140625" style="180" customWidth="1"/>
    <col min="7683" max="7683" width="9.140625" style="180"/>
    <col min="7684" max="7684" width="10.7109375" style="180" bestFit="1" customWidth="1"/>
    <col min="7685" max="7685" width="9.140625" style="180"/>
    <col min="7686" max="7686" width="31" style="180" customWidth="1"/>
    <col min="7687" max="7687" width="17.5703125" style="180" bestFit="1" customWidth="1"/>
    <col min="7688" max="7688" width="19.7109375" style="180" bestFit="1" customWidth="1"/>
    <col min="7689" max="7692" width="0" style="180" hidden="1" customWidth="1"/>
    <col min="7693" max="7693" width="21.140625" style="180" bestFit="1" customWidth="1"/>
    <col min="7694" max="7694" width="4.28515625" style="180" bestFit="1" customWidth="1"/>
    <col min="7695" max="7695" width="92.7109375" style="180" customWidth="1"/>
    <col min="7696" max="7696" width="0" style="180" hidden="1" customWidth="1"/>
    <col min="7697" max="7697" width="20.5703125" style="180" customWidth="1"/>
    <col min="7698" max="7937" width="9.140625" style="180"/>
    <col min="7938" max="7938" width="0.140625" style="180" customWidth="1"/>
    <col min="7939" max="7939" width="9.140625" style="180"/>
    <col min="7940" max="7940" width="10.7109375" style="180" bestFit="1" customWidth="1"/>
    <col min="7941" max="7941" width="9.140625" style="180"/>
    <col min="7942" max="7942" width="31" style="180" customWidth="1"/>
    <col min="7943" max="7943" width="17.5703125" style="180" bestFit="1" customWidth="1"/>
    <col min="7944" max="7944" width="19.7109375" style="180" bestFit="1" customWidth="1"/>
    <col min="7945" max="7948" width="0" style="180" hidden="1" customWidth="1"/>
    <col min="7949" max="7949" width="21.140625" style="180" bestFit="1" customWidth="1"/>
    <col min="7950" max="7950" width="4.28515625" style="180" bestFit="1" customWidth="1"/>
    <col min="7951" max="7951" width="92.7109375" style="180" customWidth="1"/>
    <col min="7952" max="7952" width="0" style="180" hidden="1" customWidth="1"/>
    <col min="7953" max="7953" width="20.5703125" style="180" customWidth="1"/>
    <col min="7954" max="8193" width="9.140625" style="180"/>
    <col min="8194" max="8194" width="0.140625" style="180" customWidth="1"/>
    <col min="8195" max="8195" width="9.140625" style="180"/>
    <col min="8196" max="8196" width="10.7109375" style="180" bestFit="1" customWidth="1"/>
    <col min="8197" max="8197" width="9.140625" style="180"/>
    <col min="8198" max="8198" width="31" style="180" customWidth="1"/>
    <col min="8199" max="8199" width="17.5703125" style="180" bestFit="1" customWidth="1"/>
    <col min="8200" max="8200" width="19.7109375" style="180" bestFit="1" customWidth="1"/>
    <col min="8201" max="8204" width="0" style="180" hidden="1" customWidth="1"/>
    <col min="8205" max="8205" width="21.140625" style="180" bestFit="1" customWidth="1"/>
    <col min="8206" max="8206" width="4.28515625" style="180" bestFit="1" customWidth="1"/>
    <col min="8207" max="8207" width="92.7109375" style="180" customWidth="1"/>
    <col min="8208" max="8208" width="0" style="180" hidden="1" customWidth="1"/>
    <col min="8209" max="8209" width="20.5703125" style="180" customWidth="1"/>
    <col min="8210" max="8449" width="9.140625" style="180"/>
    <col min="8450" max="8450" width="0.140625" style="180" customWidth="1"/>
    <col min="8451" max="8451" width="9.140625" style="180"/>
    <col min="8452" max="8452" width="10.7109375" style="180" bestFit="1" customWidth="1"/>
    <col min="8453" max="8453" width="9.140625" style="180"/>
    <col min="8454" max="8454" width="31" style="180" customWidth="1"/>
    <col min="8455" max="8455" width="17.5703125" style="180" bestFit="1" customWidth="1"/>
    <col min="8456" max="8456" width="19.7109375" style="180" bestFit="1" customWidth="1"/>
    <col min="8457" max="8460" width="0" style="180" hidden="1" customWidth="1"/>
    <col min="8461" max="8461" width="21.140625" style="180" bestFit="1" customWidth="1"/>
    <col min="8462" max="8462" width="4.28515625" style="180" bestFit="1" customWidth="1"/>
    <col min="8463" max="8463" width="92.7109375" style="180" customWidth="1"/>
    <col min="8464" max="8464" width="0" style="180" hidden="1" customWidth="1"/>
    <col min="8465" max="8465" width="20.5703125" style="180" customWidth="1"/>
    <col min="8466" max="8705" width="9.140625" style="180"/>
    <col min="8706" max="8706" width="0.140625" style="180" customWidth="1"/>
    <col min="8707" max="8707" width="9.140625" style="180"/>
    <col min="8708" max="8708" width="10.7109375" style="180" bestFit="1" customWidth="1"/>
    <col min="8709" max="8709" width="9.140625" style="180"/>
    <col min="8710" max="8710" width="31" style="180" customWidth="1"/>
    <col min="8711" max="8711" width="17.5703125" style="180" bestFit="1" customWidth="1"/>
    <col min="8712" max="8712" width="19.7109375" style="180" bestFit="1" customWidth="1"/>
    <col min="8713" max="8716" width="0" style="180" hidden="1" customWidth="1"/>
    <col min="8717" max="8717" width="21.140625" style="180" bestFit="1" customWidth="1"/>
    <col min="8718" max="8718" width="4.28515625" style="180" bestFit="1" customWidth="1"/>
    <col min="8719" max="8719" width="92.7109375" style="180" customWidth="1"/>
    <col min="8720" max="8720" width="0" style="180" hidden="1" customWidth="1"/>
    <col min="8721" max="8721" width="20.5703125" style="180" customWidth="1"/>
    <col min="8722" max="8961" width="9.140625" style="180"/>
    <col min="8962" max="8962" width="0.140625" style="180" customWidth="1"/>
    <col min="8963" max="8963" width="9.140625" style="180"/>
    <col min="8964" max="8964" width="10.7109375" style="180" bestFit="1" customWidth="1"/>
    <col min="8965" max="8965" width="9.140625" style="180"/>
    <col min="8966" max="8966" width="31" style="180" customWidth="1"/>
    <col min="8967" max="8967" width="17.5703125" style="180" bestFit="1" customWidth="1"/>
    <col min="8968" max="8968" width="19.7109375" style="180" bestFit="1" customWidth="1"/>
    <col min="8969" max="8972" width="0" style="180" hidden="1" customWidth="1"/>
    <col min="8973" max="8973" width="21.140625" style="180" bestFit="1" customWidth="1"/>
    <col min="8974" max="8974" width="4.28515625" style="180" bestFit="1" customWidth="1"/>
    <col min="8975" max="8975" width="92.7109375" style="180" customWidth="1"/>
    <col min="8976" max="8976" width="0" style="180" hidden="1" customWidth="1"/>
    <col min="8977" max="8977" width="20.5703125" style="180" customWidth="1"/>
    <col min="8978" max="9217" width="9.140625" style="180"/>
    <col min="9218" max="9218" width="0.140625" style="180" customWidth="1"/>
    <col min="9219" max="9219" width="9.140625" style="180"/>
    <col min="9220" max="9220" width="10.7109375" style="180" bestFit="1" customWidth="1"/>
    <col min="9221" max="9221" width="9.140625" style="180"/>
    <col min="9222" max="9222" width="31" style="180" customWidth="1"/>
    <col min="9223" max="9223" width="17.5703125" style="180" bestFit="1" customWidth="1"/>
    <col min="9224" max="9224" width="19.7109375" style="180" bestFit="1" customWidth="1"/>
    <col min="9225" max="9228" width="0" style="180" hidden="1" customWidth="1"/>
    <col min="9229" max="9229" width="21.140625" style="180" bestFit="1" customWidth="1"/>
    <col min="9230" max="9230" width="4.28515625" style="180" bestFit="1" customWidth="1"/>
    <col min="9231" max="9231" width="92.7109375" style="180" customWidth="1"/>
    <col min="9232" max="9232" width="0" style="180" hidden="1" customWidth="1"/>
    <col min="9233" max="9233" width="20.5703125" style="180" customWidth="1"/>
    <col min="9234" max="9473" width="9.140625" style="180"/>
    <col min="9474" max="9474" width="0.140625" style="180" customWidth="1"/>
    <col min="9475" max="9475" width="9.140625" style="180"/>
    <col min="9476" max="9476" width="10.7109375" style="180" bestFit="1" customWidth="1"/>
    <col min="9477" max="9477" width="9.140625" style="180"/>
    <col min="9478" max="9478" width="31" style="180" customWidth="1"/>
    <col min="9479" max="9479" width="17.5703125" style="180" bestFit="1" customWidth="1"/>
    <col min="9480" max="9480" width="19.7109375" style="180" bestFit="1" customWidth="1"/>
    <col min="9481" max="9484" width="0" style="180" hidden="1" customWidth="1"/>
    <col min="9485" max="9485" width="21.140625" style="180" bestFit="1" customWidth="1"/>
    <col min="9486" max="9486" width="4.28515625" style="180" bestFit="1" customWidth="1"/>
    <col min="9487" max="9487" width="92.7109375" style="180" customWidth="1"/>
    <col min="9488" max="9488" width="0" style="180" hidden="1" customWidth="1"/>
    <col min="9489" max="9489" width="20.5703125" style="180" customWidth="1"/>
    <col min="9490" max="9729" width="9.140625" style="180"/>
    <col min="9730" max="9730" width="0.140625" style="180" customWidth="1"/>
    <col min="9731" max="9731" width="9.140625" style="180"/>
    <col min="9732" max="9732" width="10.7109375" style="180" bestFit="1" customWidth="1"/>
    <col min="9733" max="9733" width="9.140625" style="180"/>
    <col min="9734" max="9734" width="31" style="180" customWidth="1"/>
    <col min="9735" max="9735" width="17.5703125" style="180" bestFit="1" customWidth="1"/>
    <col min="9736" max="9736" width="19.7109375" style="180" bestFit="1" customWidth="1"/>
    <col min="9737" max="9740" width="0" style="180" hidden="1" customWidth="1"/>
    <col min="9741" max="9741" width="21.140625" style="180" bestFit="1" customWidth="1"/>
    <col min="9742" max="9742" width="4.28515625" style="180" bestFit="1" customWidth="1"/>
    <col min="9743" max="9743" width="92.7109375" style="180" customWidth="1"/>
    <col min="9744" max="9744" width="0" style="180" hidden="1" customWidth="1"/>
    <col min="9745" max="9745" width="20.5703125" style="180" customWidth="1"/>
    <col min="9746" max="9985" width="9.140625" style="180"/>
    <col min="9986" max="9986" width="0.140625" style="180" customWidth="1"/>
    <col min="9987" max="9987" width="9.140625" style="180"/>
    <col min="9988" max="9988" width="10.7109375" style="180" bestFit="1" customWidth="1"/>
    <col min="9989" max="9989" width="9.140625" style="180"/>
    <col min="9990" max="9990" width="31" style="180" customWidth="1"/>
    <col min="9991" max="9991" width="17.5703125" style="180" bestFit="1" customWidth="1"/>
    <col min="9992" max="9992" width="19.7109375" style="180" bestFit="1" customWidth="1"/>
    <col min="9993" max="9996" width="0" style="180" hidden="1" customWidth="1"/>
    <col min="9997" max="9997" width="21.140625" style="180" bestFit="1" customWidth="1"/>
    <col min="9998" max="9998" width="4.28515625" style="180" bestFit="1" customWidth="1"/>
    <col min="9999" max="9999" width="92.7109375" style="180" customWidth="1"/>
    <col min="10000" max="10000" width="0" style="180" hidden="1" customWidth="1"/>
    <col min="10001" max="10001" width="20.5703125" style="180" customWidth="1"/>
    <col min="10002" max="10241" width="9.140625" style="180"/>
    <col min="10242" max="10242" width="0.140625" style="180" customWidth="1"/>
    <col min="10243" max="10243" width="9.140625" style="180"/>
    <col min="10244" max="10244" width="10.7109375" style="180" bestFit="1" customWidth="1"/>
    <col min="10245" max="10245" width="9.140625" style="180"/>
    <col min="10246" max="10246" width="31" style="180" customWidth="1"/>
    <col min="10247" max="10247" width="17.5703125" style="180" bestFit="1" customWidth="1"/>
    <col min="10248" max="10248" width="19.7109375" style="180" bestFit="1" customWidth="1"/>
    <col min="10249" max="10252" width="0" style="180" hidden="1" customWidth="1"/>
    <col min="10253" max="10253" width="21.140625" style="180" bestFit="1" customWidth="1"/>
    <col min="10254" max="10254" width="4.28515625" style="180" bestFit="1" customWidth="1"/>
    <col min="10255" max="10255" width="92.7109375" style="180" customWidth="1"/>
    <col min="10256" max="10256" width="0" style="180" hidden="1" customWidth="1"/>
    <col min="10257" max="10257" width="20.5703125" style="180" customWidth="1"/>
    <col min="10258" max="10497" width="9.140625" style="180"/>
    <col min="10498" max="10498" width="0.140625" style="180" customWidth="1"/>
    <col min="10499" max="10499" width="9.140625" style="180"/>
    <col min="10500" max="10500" width="10.7109375" style="180" bestFit="1" customWidth="1"/>
    <col min="10501" max="10501" width="9.140625" style="180"/>
    <col min="10502" max="10502" width="31" style="180" customWidth="1"/>
    <col min="10503" max="10503" width="17.5703125" style="180" bestFit="1" customWidth="1"/>
    <col min="10504" max="10504" width="19.7109375" style="180" bestFit="1" customWidth="1"/>
    <col min="10505" max="10508" width="0" style="180" hidden="1" customWidth="1"/>
    <col min="10509" max="10509" width="21.140625" style="180" bestFit="1" customWidth="1"/>
    <col min="10510" max="10510" width="4.28515625" style="180" bestFit="1" customWidth="1"/>
    <col min="10511" max="10511" width="92.7109375" style="180" customWidth="1"/>
    <col min="10512" max="10512" width="0" style="180" hidden="1" customWidth="1"/>
    <col min="10513" max="10513" width="20.5703125" style="180" customWidth="1"/>
    <col min="10514" max="10753" width="9.140625" style="180"/>
    <col min="10754" max="10754" width="0.140625" style="180" customWidth="1"/>
    <col min="10755" max="10755" width="9.140625" style="180"/>
    <col min="10756" max="10756" width="10.7109375" style="180" bestFit="1" customWidth="1"/>
    <col min="10757" max="10757" width="9.140625" style="180"/>
    <col min="10758" max="10758" width="31" style="180" customWidth="1"/>
    <col min="10759" max="10759" width="17.5703125" style="180" bestFit="1" customWidth="1"/>
    <col min="10760" max="10760" width="19.7109375" style="180" bestFit="1" customWidth="1"/>
    <col min="10761" max="10764" width="0" style="180" hidden="1" customWidth="1"/>
    <col min="10765" max="10765" width="21.140625" style="180" bestFit="1" customWidth="1"/>
    <col min="10766" max="10766" width="4.28515625" style="180" bestFit="1" customWidth="1"/>
    <col min="10767" max="10767" width="92.7109375" style="180" customWidth="1"/>
    <col min="10768" max="10768" width="0" style="180" hidden="1" customWidth="1"/>
    <col min="10769" max="10769" width="20.5703125" style="180" customWidth="1"/>
    <col min="10770" max="11009" width="9.140625" style="180"/>
    <col min="11010" max="11010" width="0.140625" style="180" customWidth="1"/>
    <col min="11011" max="11011" width="9.140625" style="180"/>
    <col min="11012" max="11012" width="10.7109375" style="180" bestFit="1" customWidth="1"/>
    <col min="11013" max="11013" width="9.140625" style="180"/>
    <col min="11014" max="11014" width="31" style="180" customWidth="1"/>
    <col min="11015" max="11015" width="17.5703125" style="180" bestFit="1" customWidth="1"/>
    <col min="11016" max="11016" width="19.7109375" style="180" bestFit="1" customWidth="1"/>
    <col min="11017" max="11020" width="0" style="180" hidden="1" customWidth="1"/>
    <col min="11021" max="11021" width="21.140625" style="180" bestFit="1" customWidth="1"/>
    <col min="11022" max="11022" width="4.28515625" style="180" bestFit="1" customWidth="1"/>
    <col min="11023" max="11023" width="92.7109375" style="180" customWidth="1"/>
    <col min="11024" max="11024" width="0" style="180" hidden="1" customWidth="1"/>
    <col min="11025" max="11025" width="20.5703125" style="180" customWidth="1"/>
    <col min="11026" max="11265" width="9.140625" style="180"/>
    <col min="11266" max="11266" width="0.140625" style="180" customWidth="1"/>
    <col min="11267" max="11267" width="9.140625" style="180"/>
    <col min="11268" max="11268" width="10.7109375" style="180" bestFit="1" customWidth="1"/>
    <col min="11269" max="11269" width="9.140625" style="180"/>
    <col min="11270" max="11270" width="31" style="180" customWidth="1"/>
    <col min="11271" max="11271" width="17.5703125" style="180" bestFit="1" customWidth="1"/>
    <col min="11272" max="11272" width="19.7109375" style="180" bestFit="1" customWidth="1"/>
    <col min="11273" max="11276" width="0" style="180" hidden="1" customWidth="1"/>
    <col min="11277" max="11277" width="21.140625" style="180" bestFit="1" customWidth="1"/>
    <col min="11278" max="11278" width="4.28515625" style="180" bestFit="1" customWidth="1"/>
    <col min="11279" max="11279" width="92.7109375" style="180" customWidth="1"/>
    <col min="11280" max="11280" width="0" style="180" hidden="1" customWidth="1"/>
    <col min="11281" max="11281" width="20.5703125" style="180" customWidth="1"/>
    <col min="11282" max="11521" width="9.140625" style="180"/>
    <col min="11522" max="11522" width="0.140625" style="180" customWidth="1"/>
    <col min="11523" max="11523" width="9.140625" style="180"/>
    <col min="11524" max="11524" width="10.7109375" style="180" bestFit="1" customWidth="1"/>
    <col min="11525" max="11525" width="9.140625" style="180"/>
    <col min="11526" max="11526" width="31" style="180" customWidth="1"/>
    <col min="11527" max="11527" width="17.5703125" style="180" bestFit="1" customWidth="1"/>
    <col min="11528" max="11528" width="19.7109375" style="180" bestFit="1" customWidth="1"/>
    <col min="11529" max="11532" width="0" style="180" hidden="1" customWidth="1"/>
    <col min="11533" max="11533" width="21.140625" style="180" bestFit="1" customWidth="1"/>
    <col min="11534" max="11534" width="4.28515625" style="180" bestFit="1" customWidth="1"/>
    <col min="11535" max="11535" width="92.7109375" style="180" customWidth="1"/>
    <col min="11536" max="11536" width="0" style="180" hidden="1" customWidth="1"/>
    <col min="11537" max="11537" width="20.5703125" style="180" customWidth="1"/>
    <col min="11538" max="11777" width="9.140625" style="180"/>
    <col min="11778" max="11778" width="0.140625" style="180" customWidth="1"/>
    <col min="11779" max="11779" width="9.140625" style="180"/>
    <col min="11780" max="11780" width="10.7109375" style="180" bestFit="1" customWidth="1"/>
    <col min="11781" max="11781" width="9.140625" style="180"/>
    <col min="11782" max="11782" width="31" style="180" customWidth="1"/>
    <col min="11783" max="11783" width="17.5703125" style="180" bestFit="1" customWidth="1"/>
    <col min="11784" max="11784" width="19.7109375" style="180" bestFit="1" customWidth="1"/>
    <col min="11785" max="11788" width="0" style="180" hidden="1" customWidth="1"/>
    <col min="11789" max="11789" width="21.140625" style="180" bestFit="1" customWidth="1"/>
    <col min="11790" max="11790" width="4.28515625" style="180" bestFit="1" customWidth="1"/>
    <col min="11791" max="11791" width="92.7109375" style="180" customWidth="1"/>
    <col min="11792" max="11792" width="0" style="180" hidden="1" customWidth="1"/>
    <col min="11793" max="11793" width="20.5703125" style="180" customWidth="1"/>
    <col min="11794" max="12033" width="9.140625" style="180"/>
    <col min="12034" max="12034" width="0.140625" style="180" customWidth="1"/>
    <col min="12035" max="12035" width="9.140625" style="180"/>
    <col min="12036" max="12036" width="10.7109375" style="180" bestFit="1" customWidth="1"/>
    <col min="12037" max="12037" width="9.140625" style="180"/>
    <col min="12038" max="12038" width="31" style="180" customWidth="1"/>
    <col min="12039" max="12039" width="17.5703125" style="180" bestFit="1" customWidth="1"/>
    <col min="12040" max="12040" width="19.7109375" style="180" bestFit="1" customWidth="1"/>
    <col min="12041" max="12044" width="0" style="180" hidden="1" customWidth="1"/>
    <col min="12045" max="12045" width="21.140625" style="180" bestFit="1" customWidth="1"/>
    <col min="12046" max="12046" width="4.28515625" style="180" bestFit="1" customWidth="1"/>
    <col min="12047" max="12047" width="92.7109375" style="180" customWidth="1"/>
    <col min="12048" max="12048" width="0" style="180" hidden="1" customWidth="1"/>
    <col min="12049" max="12049" width="20.5703125" style="180" customWidth="1"/>
    <col min="12050" max="12289" width="9.140625" style="180"/>
    <col min="12290" max="12290" width="0.140625" style="180" customWidth="1"/>
    <col min="12291" max="12291" width="9.140625" style="180"/>
    <col min="12292" max="12292" width="10.7109375" style="180" bestFit="1" customWidth="1"/>
    <col min="12293" max="12293" width="9.140625" style="180"/>
    <col min="12294" max="12294" width="31" style="180" customWidth="1"/>
    <col min="12295" max="12295" width="17.5703125" style="180" bestFit="1" customWidth="1"/>
    <col min="12296" max="12296" width="19.7109375" style="180" bestFit="1" customWidth="1"/>
    <col min="12297" max="12300" width="0" style="180" hidden="1" customWidth="1"/>
    <col min="12301" max="12301" width="21.140625" style="180" bestFit="1" customWidth="1"/>
    <col min="12302" max="12302" width="4.28515625" style="180" bestFit="1" customWidth="1"/>
    <col min="12303" max="12303" width="92.7109375" style="180" customWidth="1"/>
    <col min="12304" max="12304" width="0" style="180" hidden="1" customWidth="1"/>
    <col min="12305" max="12305" width="20.5703125" style="180" customWidth="1"/>
    <col min="12306" max="12545" width="9.140625" style="180"/>
    <col min="12546" max="12546" width="0.140625" style="180" customWidth="1"/>
    <col min="12547" max="12547" width="9.140625" style="180"/>
    <col min="12548" max="12548" width="10.7109375" style="180" bestFit="1" customWidth="1"/>
    <col min="12549" max="12549" width="9.140625" style="180"/>
    <col min="12550" max="12550" width="31" style="180" customWidth="1"/>
    <col min="12551" max="12551" width="17.5703125" style="180" bestFit="1" customWidth="1"/>
    <col min="12552" max="12552" width="19.7109375" style="180" bestFit="1" customWidth="1"/>
    <col min="12553" max="12556" width="0" style="180" hidden="1" customWidth="1"/>
    <col min="12557" max="12557" width="21.140625" style="180" bestFit="1" customWidth="1"/>
    <col min="12558" max="12558" width="4.28515625" style="180" bestFit="1" customWidth="1"/>
    <col min="12559" max="12559" width="92.7109375" style="180" customWidth="1"/>
    <col min="12560" max="12560" width="0" style="180" hidden="1" customWidth="1"/>
    <col min="12561" max="12561" width="20.5703125" style="180" customWidth="1"/>
    <col min="12562" max="12801" width="9.140625" style="180"/>
    <col min="12802" max="12802" width="0.140625" style="180" customWidth="1"/>
    <col min="12803" max="12803" width="9.140625" style="180"/>
    <col min="12804" max="12804" width="10.7109375" style="180" bestFit="1" customWidth="1"/>
    <col min="12805" max="12805" width="9.140625" style="180"/>
    <col min="12806" max="12806" width="31" style="180" customWidth="1"/>
    <col min="12807" max="12807" width="17.5703125" style="180" bestFit="1" customWidth="1"/>
    <col min="12808" max="12808" width="19.7109375" style="180" bestFit="1" customWidth="1"/>
    <col min="12809" max="12812" width="0" style="180" hidden="1" customWidth="1"/>
    <col min="12813" max="12813" width="21.140625" style="180" bestFit="1" customWidth="1"/>
    <col min="12814" max="12814" width="4.28515625" style="180" bestFit="1" customWidth="1"/>
    <col min="12815" max="12815" width="92.7109375" style="180" customWidth="1"/>
    <col min="12816" max="12816" width="0" style="180" hidden="1" customWidth="1"/>
    <col min="12817" max="12817" width="20.5703125" style="180" customWidth="1"/>
    <col min="12818" max="13057" width="9.140625" style="180"/>
    <col min="13058" max="13058" width="0.140625" style="180" customWidth="1"/>
    <col min="13059" max="13059" width="9.140625" style="180"/>
    <col min="13060" max="13060" width="10.7109375" style="180" bestFit="1" customWidth="1"/>
    <col min="13061" max="13061" width="9.140625" style="180"/>
    <col min="13062" max="13062" width="31" style="180" customWidth="1"/>
    <col min="13063" max="13063" width="17.5703125" style="180" bestFit="1" customWidth="1"/>
    <col min="13064" max="13064" width="19.7109375" style="180" bestFit="1" customWidth="1"/>
    <col min="13065" max="13068" width="0" style="180" hidden="1" customWidth="1"/>
    <col min="13069" max="13069" width="21.140625" style="180" bestFit="1" customWidth="1"/>
    <col min="13070" max="13070" width="4.28515625" style="180" bestFit="1" customWidth="1"/>
    <col min="13071" max="13071" width="92.7109375" style="180" customWidth="1"/>
    <col min="13072" max="13072" width="0" style="180" hidden="1" customWidth="1"/>
    <col min="13073" max="13073" width="20.5703125" style="180" customWidth="1"/>
    <col min="13074" max="13313" width="9.140625" style="180"/>
    <col min="13314" max="13314" width="0.140625" style="180" customWidth="1"/>
    <col min="13315" max="13315" width="9.140625" style="180"/>
    <col min="13316" max="13316" width="10.7109375" style="180" bestFit="1" customWidth="1"/>
    <col min="13317" max="13317" width="9.140625" style="180"/>
    <col min="13318" max="13318" width="31" style="180" customWidth="1"/>
    <col min="13319" max="13319" width="17.5703125" style="180" bestFit="1" customWidth="1"/>
    <col min="13320" max="13320" width="19.7109375" style="180" bestFit="1" customWidth="1"/>
    <col min="13321" max="13324" width="0" style="180" hidden="1" customWidth="1"/>
    <col min="13325" max="13325" width="21.140625" style="180" bestFit="1" customWidth="1"/>
    <col min="13326" max="13326" width="4.28515625" style="180" bestFit="1" customWidth="1"/>
    <col min="13327" max="13327" width="92.7109375" style="180" customWidth="1"/>
    <col min="13328" max="13328" width="0" style="180" hidden="1" customWidth="1"/>
    <col min="13329" max="13329" width="20.5703125" style="180" customWidth="1"/>
    <col min="13330" max="13569" width="9.140625" style="180"/>
    <col min="13570" max="13570" width="0.140625" style="180" customWidth="1"/>
    <col min="13571" max="13571" width="9.140625" style="180"/>
    <col min="13572" max="13572" width="10.7109375" style="180" bestFit="1" customWidth="1"/>
    <col min="13573" max="13573" width="9.140625" style="180"/>
    <col min="13574" max="13574" width="31" style="180" customWidth="1"/>
    <col min="13575" max="13575" width="17.5703125" style="180" bestFit="1" customWidth="1"/>
    <col min="13576" max="13576" width="19.7109375" style="180" bestFit="1" customWidth="1"/>
    <col min="13577" max="13580" width="0" style="180" hidden="1" customWidth="1"/>
    <col min="13581" max="13581" width="21.140625" style="180" bestFit="1" customWidth="1"/>
    <col min="13582" max="13582" width="4.28515625" style="180" bestFit="1" customWidth="1"/>
    <col min="13583" max="13583" width="92.7109375" style="180" customWidth="1"/>
    <col min="13584" max="13584" width="0" style="180" hidden="1" customWidth="1"/>
    <col min="13585" max="13585" width="20.5703125" style="180" customWidth="1"/>
    <col min="13586" max="13825" width="9.140625" style="180"/>
    <col min="13826" max="13826" width="0.140625" style="180" customWidth="1"/>
    <col min="13827" max="13827" width="9.140625" style="180"/>
    <col min="13828" max="13828" width="10.7109375" style="180" bestFit="1" customWidth="1"/>
    <col min="13829" max="13829" width="9.140625" style="180"/>
    <col min="13830" max="13830" width="31" style="180" customWidth="1"/>
    <col min="13831" max="13831" width="17.5703125" style="180" bestFit="1" customWidth="1"/>
    <col min="13832" max="13832" width="19.7109375" style="180" bestFit="1" customWidth="1"/>
    <col min="13833" max="13836" width="0" style="180" hidden="1" customWidth="1"/>
    <col min="13837" max="13837" width="21.140625" style="180" bestFit="1" customWidth="1"/>
    <col min="13838" max="13838" width="4.28515625" style="180" bestFit="1" customWidth="1"/>
    <col min="13839" max="13839" width="92.7109375" style="180" customWidth="1"/>
    <col min="13840" max="13840" width="0" style="180" hidden="1" customWidth="1"/>
    <col min="13841" max="13841" width="20.5703125" style="180" customWidth="1"/>
    <col min="13842" max="14081" width="9.140625" style="180"/>
    <col min="14082" max="14082" width="0.140625" style="180" customWidth="1"/>
    <col min="14083" max="14083" width="9.140625" style="180"/>
    <col min="14084" max="14084" width="10.7109375" style="180" bestFit="1" customWidth="1"/>
    <col min="14085" max="14085" width="9.140625" style="180"/>
    <col min="14086" max="14086" width="31" style="180" customWidth="1"/>
    <col min="14087" max="14087" width="17.5703125" style="180" bestFit="1" customWidth="1"/>
    <col min="14088" max="14088" width="19.7109375" style="180" bestFit="1" customWidth="1"/>
    <col min="14089" max="14092" width="0" style="180" hidden="1" customWidth="1"/>
    <col min="14093" max="14093" width="21.140625" style="180" bestFit="1" customWidth="1"/>
    <col min="14094" max="14094" width="4.28515625" style="180" bestFit="1" customWidth="1"/>
    <col min="14095" max="14095" width="92.7109375" style="180" customWidth="1"/>
    <col min="14096" max="14096" width="0" style="180" hidden="1" customWidth="1"/>
    <col min="14097" max="14097" width="20.5703125" style="180" customWidth="1"/>
    <col min="14098" max="14337" width="9.140625" style="180"/>
    <col min="14338" max="14338" width="0.140625" style="180" customWidth="1"/>
    <col min="14339" max="14339" width="9.140625" style="180"/>
    <col min="14340" max="14340" width="10.7109375" style="180" bestFit="1" customWidth="1"/>
    <col min="14341" max="14341" width="9.140625" style="180"/>
    <col min="14342" max="14342" width="31" style="180" customWidth="1"/>
    <col min="14343" max="14343" width="17.5703125" style="180" bestFit="1" customWidth="1"/>
    <col min="14344" max="14344" width="19.7109375" style="180" bestFit="1" customWidth="1"/>
    <col min="14345" max="14348" width="0" style="180" hidden="1" customWidth="1"/>
    <col min="14349" max="14349" width="21.140625" style="180" bestFit="1" customWidth="1"/>
    <col min="14350" max="14350" width="4.28515625" style="180" bestFit="1" customWidth="1"/>
    <col min="14351" max="14351" width="92.7109375" style="180" customWidth="1"/>
    <col min="14352" max="14352" width="0" style="180" hidden="1" customWidth="1"/>
    <col min="14353" max="14353" width="20.5703125" style="180" customWidth="1"/>
    <col min="14354" max="14593" width="9.140625" style="180"/>
    <col min="14594" max="14594" width="0.140625" style="180" customWidth="1"/>
    <col min="14595" max="14595" width="9.140625" style="180"/>
    <col min="14596" max="14596" width="10.7109375" style="180" bestFit="1" customWidth="1"/>
    <col min="14597" max="14597" width="9.140625" style="180"/>
    <col min="14598" max="14598" width="31" style="180" customWidth="1"/>
    <col min="14599" max="14599" width="17.5703125" style="180" bestFit="1" customWidth="1"/>
    <col min="14600" max="14600" width="19.7109375" style="180" bestFit="1" customWidth="1"/>
    <col min="14601" max="14604" width="0" style="180" hidden="1" customWidth="1"/>
    <col min="14605" max="14605" width="21.140625" style="180" bestFit="1" customWidth="1"/>
    <col min="14606" max="14606" width="4.28515625" style="180" bestFit="1" customWidth="1"/>
    <col min="14607" max="14607" width="92.7109375" style="180" customWidth="1"/>
    <col min="14608" max="14608" width="0" style="180" hidden="1" customWidth="1"/>
    <col min="14609" max="14609" width="20.5703125" style="180" customWidth="1"/>
    <col min="14610" max="14849" width="9.140625" style="180"/>
    <col min="14850" max="14850" width="0.140625" style="180" customWidth="1"/>
    <col min="14851" max="14851" width="9.140625" style="180"/>
    <col min="14852" max="14852" width="10.7109375" style="180" bestFit="1" customWidth="1"/>
    <col min="14853" max="14853" width="9.140625" style="180"/>
    <col min="14854" max="14854" width="31" style="180" customWidth="1"/>
    <col min="14855" max="14855" width="17.5703125" style="180" bestFit="1" customWidth="1"/>
    <col min="14856" max="14856" width="19.7109375" style="180" bestFit="1" customWidth="1"/>
    <col min="14857" max="14860" width="0" style="180" hidden="1" customWidth="1"/>
    <col min="14861" max="14861" width="21.140625" style="180" bestFit="1" customWidth="1"/>
    <col min="14862" max="14862" width="4.28515625" style="180" bestFit="1" customWidth="1"/>
    <col min="14863" max="14863" width="92.7109375" style="180" customWidth="1"/>
    <col min="14864" max="14864" width="0" style="180" hidden="1" customWidth="1"/>
    <col min="14865" max="14865" width="20.5703125" style="180" customWidth="1"/>
    <col min="14866" max="15105" width="9.140625" style="180"/>
    <col min="15106" max="15106" width="0.140625" style="180" customWidth="1"/>
    <col min="15107" max="15107" width="9.140625" style="180"/>
    <col min="15108" max="15108" width="10.7109375" style="180" bestFit="1" customWidth="1"/>
    <col min="15109" max="15109" width="9.140625" style="180"/>
    <col min="15110" max="15110" width="31" style="180" customWidth="1"/>
    <col min="15111" max="15111" width="17.5703125" style="180" bestFit="1" customWidth="1"/>
    <col min="15112" max="15112" width="19.7109375" style="180" bestFit="1" customWidth="1"/>
    <col min="15113" max="15116" width="0" style="180" hidden="1" customWidth="1"/>
    <col min="15117" max="15117" width="21.140625" style="180" bestFit="1" customWidth="1"/>
    <col min="15118" max="15118" width="4.28515625" style="180" bestFit="1" customWidth="1"/>
    <col min="15119" max="15119" width="92.7109375" style="180" customWidth="1"/>
    <col min="15120" max="15120" width="0" style="180" hidden="1" customWidth="1"/>
    <col min="15121" max="15121" width="20.5703125" style="180" customWidth="1"/>
    <col min="15122" max="15361" width="9.140625" style="180"/>
    <col min="15362" max="15362" width="0.140625" style="180" customWidth="1"/>
    <col min="15363" max="15363" width="9.140625" style="180"/>
    <col min="15364" max="15364" width="10.7109375" style="180" bestFit="1" customWidth="1"/>
    <col min="15365" max="15365" width="9.140625" style="180"/>
    <col min="15366" max="15366" width="31" style="180" customWidth="1"/>
    <col min="15367" max="15367" width="17.5703125" style="180" bestFit="1" customWidth="1"/>
    <col min="15368" max="15368" width="19.7109375" style="180" bestFit="1" customWidth="1"/>
    <col min="15369" max="15372" width="0" style="180" hidden="1" customWidth="1"/>
    <col min="15373" max="15373" width="21.140625" style="180" bestFit="1" customWidth="1"/>
    <col min="15374" max="15374" width="4.28515625" style="180" bestFit="1" customWidth="1"/>
    <col min="15375" max="15375" width="92.7109375" style="180" customWidth="1"/>
    <col min="15376" max="15376" width="0" style="180" hidden="1" customWidth="1"/>
    <col min="15377" max="15377" width="20.5703125" style="180" customWidth="1"/>
    <col min="15378" max="15617" width="9.140625" style="180"/>
    <col min="15618" max="15618" width="0.140625" style="180" customWidth="1"/>
    <col min="15619" max="15619" width="9.140625" style="180"/>
    <col min="15620" max="15620" width="10.7109375" style="180" bestFit="1" customWidth="1"/>
    <col min="15621" max="15621" width="9.140625" style="180"/>
    <col min="15622" max="15622" width="31" style="180" customWidth="1"/>
    <col min="15623" max="15623" width="17.5703125" style="180" bestFit="1" customWidth="1"/>
    <col min="15624" max="15624" width="19.7109375" style="180" bestFit="1" customWidth="1"/>
    <col min="15625" max="15628" width="0" style="180" hidden="1" customWidth="1"/>
    <col min="15629" max="15629" width="21.140625" style="180" bestFit="1" customWidth="1"/>
    <col min="15630" max="15630" width="4.28515625" style="180" bestFit="1" customWidth="1"/>
    <col min="15631" max="15631" width="92.7109375" style="180" customWidth="1"/>
    <col min="15632" max="15632" width="0" style="180" hidden="1" customWidth="1"/>
    <col min="15633" max="15633" width="20.5703125" style="180" customWidth="1"/>
    <col min="15634" max="15873" width="9.140625" style="180"/>
    <col min="15874" max="15874" width="0.140625" style="180" customWidth="1"/>
    <col min="15875" max="15875" width="9.140625" style="180"/>
    <col min="15876" max="15876" width="10.7109375" style="180" bestFit="1" customWidth="1"/>
    <col min="15877" max="15877" width="9.140625" style="180"/>
    <col min="15878" max="15878" width="31" style="180" customWidth="1"/>
    <col min="15879" max="15879" width="17.5703125" style="180" bestFit="1" customWidth="1"/>
    <col min="15880" max="15880" width="19.7109375" style="180" bestFit="1" customWidth="1"/>
    <col min="15881" max="15884" width="0" style="180" hidden="1" customWidth="1"/>
    <col min="15885" max="15885" width="21.140625" style="180" bestFit="1" customWidth="1"/>
    <col min="15886" max="15886" width="4.28515625" style="180" bestFit="1" customWidth="1"/>
    <col min="15887" max="15887" width="92.7109375" style="180" customWidth="1"/>
    <col min="15888" max="15888" width="0" style="180" hidden="1" customWidth="1"/>
    <col min="15889" max="15889" width="20.5703125" style="180" customWidth="1"/>
    <col min="15890" max="16129" width="9.140625" style="180"/>
    <col min="16130" max="16130" width="0.140625" style="180" customWidth="1"/>
    <col min="16131" max="16131" width="9.140625" style="180"/>
    <col min="16132" max="16132" width="10.7109375" style="180" bestFit="1" customWidth="1"/>
    <col min="16133" max="16133" width="9.140625" style="180"/>
    <col min="16134" max="16134" width="31" style="180" customWidth="1"/>
    <col min="16135" max="16135" width="17.5703125" style="180" bestFit="1" customWidth="1"/>
    <col min="16136" max="16136" width="19.7109375" style="180" bestFit="1" customWidth="1"/>
    <col min="16137" max="16140" width="0" style="180" hidden="1" customWidth="1"/>
    <col min="16141" max="16141" width="21.140625" style="180" bestFit="1" customWidth="1"/>
    <col min="16142" max="16142" width="4.28515625" style="180" bestFit="1" customWidth="1"/>
    <col min="16143" max="16143" width="92.7109375" style="180" customWidth="1"/>
    <col min="16144" max="16144" width="0" style="180" hidden="1" customWidth="1"/>
    <col min="16145" max="16145" width="20.5703125" style="180" customWidth="1"/>
    <col min="16146" max="16384" width="9.140625" style="180"/>
  </cols>
  <sheetData>
    <row r="1" spans="1:19" ht="19.5">
      <c r="A1" s="1020" t="s">
        <v>2388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1020"/>
      <c r="P1" s="1020"/>
      <c r="Q1" s="1020"/>
      <c r="R1" s="41"/>
      <c r="S1" s="41"/>
    </row>
    <row r="2" spans="1:19" ht="19.5">
      <c r="A2" s="1020" t="s">
        <v>1797</v>
      </c>
      <c r="B2" s="1020"/>
      <c r="C2" s="1020"/>
      <c r="D2" s="1020"/>
      <c r="E2" s="1020"/>
      <c r="F2" s="1020"/>
      <c r="G2" s="1020"/>
      <c r="H2" s="1020"/>
      <c r="I2" s="1020"/>
      <c r="J2" s="1020"/>
      <c r="K2" s="1020"/>
      <c r="L2" s="1020"/>
      <c r="M2" s="1020"/>
      <c r="N2" s="1020"/>
      <c r="O2" s="1020"/>
      <c r="P2" s="1020"/>
      <c r="Q2" s="1020"/>
      <c r="R2" s="41"/>
      <c r="S2" s="41"/>
    </row>
    <row r="3" spans="1:19" ht="20.25" thickBot="1">
      <c r="A3" s="1020" t="s">
        <v>2389</v>
      </c>
      <c r="B3" s="1020"/>
      <c r="C3" s="1020"/>
      <c r="D3" s="1020"/>
      <c r="E3" s="1020"/>
      <c r="F3" s="1020"/>
      <c r="G3" s="1020"/>
      <c r="H3" s="1020"/>
      <c r="I3" s="1020"/>
      <c r="J3" s="1020"/>
      <c r="K3" s="1020"/>
      <c r="L3" s="1020"/>
      <c r="M3" s="1020"/>
      <c r="N3" s="1020"/>
      <c r="O3" s="1020"/>
      <c r="P3" s="1020"/>
      <c r="Q3" s="1020"/>
      <c r="R3" s="41"/>
      <c r="S3" s="41"/>
    </row>
    <row r="4" spans="1:19" ht="30" customHeight="1" thickTop="1" thickBot="1">
      <c r="A4" s="375"/>
      <c r="B4" s="839" t="s">
        <v>1</v>
      </c>
      <c r="C4" s="839" t="s">
        <v>1796</v>
      </c>
      <c r="D4" s="1021" t="s">
        <v>3</v>
      </c>
      <c r="E4" s="1021"/>
      <c r="F4" s="667" t="s">
        <v>1783</v>
      </c>
      <c r="G4" s="580" t="s">
        <v>1798</v>
      </c>
      <c r="H4" s="839"/>
      <c r="I4" s="839"/>
      <c r="J4" s="839"/>
      <c r="K4" s="839"/>
      <c r="L4" s="839" t="s">
        <v>809</v>
      </c>
      <c r="M4" s="839" t="s">
        <v>5</v>
      </c>
      <c r="N4" s="839" t="s">
        <v>7</v>
      </c>
      <c r="O4" s="782" t="s">
        <v>2582</v>
      </c>
      <c r="P4" s="581" t="s">
        <v>12</v>
      </c>
      <c r="Q4" s="461"/>
      <c r="R4" s="41"/>
      <c r="S4" s="41"/>
    </row>
    <row r="5" spans="1:19" ht="30" customHeight="1" thickTop="1" thickBot="1">
      <c r="A5" s="841">
        <v>1</v>
      </c>
      <c r="B5" s="574" t="s">
        <v>568</v>
      </c>
      <c r="C5" s="575"/>
      <c r="D5" s="842" t="s">
        <v>2598</v>
      </c>
      <c r="E5" s="843"/>
      <c r="F5" s="844" t="s">
        <v>1761</v>
      </c>
      <c r="G5" s="845">
        <v>35921</v>
      </c>
      <c r="H5" s="844"/>
      <c r="I5" s="846"/>
      <c r="J5" s="846"/>
      <c r="K5" s="846"/>
      <c r="L5" s="847" t="s">
        <v>2599</v>
      </c>
      <c r="M5" s="576" t="s">
        <v>786</v>
      </c>
      <c r="N5" s="844" t="s">
        <v>20</v>
      </c>
      <c r="O5" s="844" t="s">
        <v>594</v>
      </c>
      <c r="P5" s="848" t="s">
        <v>2600</v>
      </c>
      <c r="Q5" s="377" t="s">
        <v>1802</v>
      </c>
      <c r="R5" s="378"/>
      <c r="S5" s="379"/>
    </row>
    <row r="6" spans="1:19" ht="30" customHeight="1">
      <c r="A6" s="841">
        <f t="shared" ref="A6:A36" si="0">+A5+1</f>
        <v>2</v>
      </c>
      <c r="B6" s="380" t="s">
        <v>572</v>
      </c>
      <c r="C6" s="381"/>
      <c r="D6" s="849" t="s">
        <v>2601</v>
      </c>
      <c r="E6" s="850"/>
      <c r="F6" s="844" t="s">
        <v>1761</v>
      </c>
      <c r="G6" s="851">
        <v>34766</v>
      </c>
      <c r="H6" s="852"/>
      <c r="I6" s="853"/>
      <c r="J6" s="853"/>
      <c r="K6" s="853"/>
      <c r="L6" s="854" t="s">
        <v>2602</v>
      </c>
      <c r="M6" s="382" t="s">
        <v>786</v>
      </c>
      <c r="N6" s="852" t="s">
        <v>20</v>
      </c>
      <c r="O6" s="844" t="s">
        <v>594</v>
      </c>
      <c r="P6" s="855" t="s">
        <v>2603</v>
      </c>
      <c r="Q6" s="382" t="s">
        <v>1802</v>
      </c>
      <c r="R6" s="378"/>
      <c r="S6" s="379"/>
    </row>
    <row r="7" spans="1:19" ht="30" customHeight="1">
      <c r="A7" s="841">
        <f t="shared" si="0"/>
        <v>3</v>
      </c>
      <c r="B7" s="574" t="s">
        <v>567</v>
      </c>
      <c r="C7" s="381"/>
      <c r="D7" s="849" t="s">
        <v>2604</v>
      </c>
      <c r="E7" s="850"/>
      <c r="F7" s="852" t="s">
        <v>1784</v>
      </c>
      <c r="G7" s="851">
        <v>35829</v>
      </c>
      <c r="H7" s="852"/>
      <c r="I7" s="853"/>
      <c r="J7" s="853"/>
      <c r="K7" s="853"/>
      <c r="L7" s="854" t="s">
        <v>2599</v>
      </c>
      <c r="M7" s="382" t="s">
        <v>786</v>
      </c>
      <c r="N7" s="852" t="s">
        <v>20</v>
      </c>
      <c r="O7" s="852" t="s">
        <v>594</v>
      </c>
      <c r="P7" s="855" t="s">
        <v>2605</v>
      </c>
      <c r="Q7" s="382" t="s">
        <v>1802</v>
      </c>
      <c r="R7" s="378"/>
      <c r="S7" s="379"/>
    </row>
    <row r="8" spans="1:19" ht="30" customHeight="1">
      <c r="A8" s="841">
        <f t="shared" si="0"/>
        <v>4</v>
      </c>
      <c r="B8" s="380" t="s">
        <v>573</v>
      </c>
      <c r="C8" s="381"/>
      <c r="D8" s="849" t="s">
        <v>2606</v>
      </c>
      <c r="E8" s="850"/>
      <c r="F8" s="852" t="s">
        <v>2607</v>
      </c>
      <c r="G8" s="851">
        <v>36395</v>
      </c>
      <c r="H8" s="852"/>
      <c r="I8" s="853"/>
      <c r="J8" s="853"/>
      <c r="K8" s="853"/>
      <c r="L8" s="854" t="s">
        <v>2608</v>
      </c>
      <c r="M8" s="382" t="s">
        <v>786</v>
      </c>
      <c r="N8" s="852" t="s">
        <v>20</v>
      </c>
      <c r="O8" s="852" t="s">
        <v>35</v>
      </c>
      <c r="P8" s="856" t="s">
        <v>2609</v>
      </c>
      <c r="Q8" s="382" t="s">
        <v>1802</v>
      </c>
      <c r="R8" s="378"/>
      <c r="S8" s="379"/>
    </row>
    <row r="9" spans="1:19" ht="30" customHeight="1">
      <c r="A9" s="841">
        <f t="shared" si="0"/>
        <v>5</v>
      </c>
      <c r="B9" s="574" t="s">
        <v>574</v>
      </c>
      <c r="C9" s="381"/>
      <c r="D9" s="849" t="s">
        <v>2610</v>
      </c>
      <c r="E9" s="850"/>
      <c r="F9" s="852" t="s">
        <v>1784</v>
      </c>
      <c r="G9" s="851">
        <v>35969</v>
      </c>
      <c r="H9" s="852"/>
      <c r="I9" s="853"/>
      <c r="J9" s="853"/>
      <c r="K9" s="853"/>
      <c r="L9" s="854" t="s">
        <v>2599</v>
      </c>
      <c r="M9" s="382" t="s">
        <v>786</v>
      </c>
      <c r="N9" s="852" t="s">
        <v>20</v>
      </c>
      <c r="O9" s="852" t="s">
        <v>594</v>
      </c>
      <c r="P9" s="855" t="s">
        <v>2611</v>
      </c>
      <c r="Q9" s="382" t="s">
        <v>1802</v>
      </c>
      <c r="R9" s="378"/>
      <c r="S9" s="379"/>
    </row>
    <row r="10" spans="1:19" ht="30" customHeight="1">
      <c r="A10" s="841" t="e">
        <f>+#REF!+1</f>
        <v>#REF!</v>
      </c>
      <c r="B10" s="380" t="s">
        <v>581</v>
      </c>
      <c r="C10" s="381"/>
      <c r="D10" s="849" t="s">
        <v>2612</v>
      </c>
      <c r="E10" s="850"/>
      <c r="F10" s="852" t="s">
        <v>1761</v>
      </c>
      <c r="G10" s="851">
        <v>35993</v>
      </c>
      <c r="H10" s="852"/>
      <c r="I10" s="853"/>
      <c r="J10" s="853"/>
      <c r="K10" s="853"/>
      <c r="L10" s="854" t="s">
        <v>2599</v>
      </c>
      <c r="M10" s="382" t="s">
        <v>786</v>
      </c>
      <c r="N10" s="852" t="s">
        <v>20</v>
      </c>
      <c r="O10" s="852" t="s">
        <v>35</v>
      </c>
      <c r="P10" s="855" t="s">
        <v>2613</v>
      </c>
      <c r="Q10" s="382" t="s">
        <v>1802</v>
      </c>
      <c r="R10" s="378"/>
      <c r="S10" s="379"/>
    </row>
    <row r="11" spans="1:19" ht="30" customHeight="1">
      <c r="A11" s="841" t="e">
        <f t="shared" si="0"/>
        <v>#REF!</v>
      </c>
      <c r="B11" s="574" t="s">
        <v>693</v>
      </c>
      <c r="C11" s="381"/>
      <c r="D11" s="849" t="s">
        <v>2614</v>
      </c>
      <c r="E11" s="850"/>
      <c r="F11" s="852" t="s">
        <v>2615</v>
      </c>
      <c r="G11" s="851">
        <v>24111</v>
      </c>
      <c r="H11" s="852"/>
      <c r="I11" s="853"/>
      <c r="J11" s="853"/>
      <c r="K11" s="853"/>
      <c r="L11" s="854" t="s">
        <v>2602</v>
      </c>
      <c r="M11" s="382" t="s">
        <v>786</v>
      </c>
      <c r="N11" s="852" t="s">
        <v>20</v>
      </c>
      <c r="O11" s="852" t="s">
        <v>35</v>
      </c>
      <c r="P11" s="855" t="s">
        <v>2616</v>
      </c>
      <c r="Q11" s="382" t="s">
        <v>1802</v>
      </c>
      <c r="R11" s="378"/>
      <c r="S11" s="379"/>
    </row>
    <row r="12" spans="1:19" ht="30" customHeight="1">
      <c r="A12" s="841" t="e">
        <f t="shared" si="0"/>
        <v>#REF!</v>
      </c>
      <c r="B12" s="380" t="s">
        <v>694</v>
      </c>
      <c r="C12" s="381"/>
      <c r="D12" s="849" t="s">
        <v>2617</v>
      </c>
      <c r="E12" s="850"/>
      <c r="F12" s="852" t="s">
        <v>1761</v>
      </c>
      <c r="G12" s="851">
        <v>36477</v>
      </c>
      <c r="H12" s="852"/>
      <c r="I12" s="853"/>
      <c r="J12" s="853"/>
      <c r="K12" s="853"/>
      <c r="L12" s="854" t="s">
        <v>2608</v>
      </c>
      <c r="M12" s="382" t="s">
        <v>786</v>
      </c>
      <c r="N12" s="852" t="s">
        <v>2618</v>
      </c>
      <c r="O12" s="852" t="s">
        <v>594</v>
      </c>
      <c r="P12" s="855" t="s">
        <v>2619</v>
      </c>
      <c r="Q12" s="382" t="s">
        <v>1802</v>
      </c>
      <c r="R12" s="378"/>
      <c r="S12" s="379"/>
    </row>
    <row r="13" spans="1:19" ht="30" customHeight="1">
      <c r="A13" s="841" t="e">
        <f>+#REF!+1</f>
        <v>#REF!</v>
      </c>
      <c r="B13" s="574" t="s">
        <v>695</v>
      </c>
      <c r="C13" s="381"/>
      <c r="D13" s="849" t="s">
        <v>2620</v>
      </c>
      <c r="E13" s="850"/>
      <c r="F13" s="852" t="s">
        <v>2621</v>
      </c>
      <c r="G13" s="851">
        <v>35558</v>
      </c>
      <c r="H13" s="852"/>
      <c r="I13" s="853"/>
      <c r="J13" s="853"/>
      <c r="K13" s="853"/>
      <c r="L13" s="854" t="s">
        <v>2622</v>
      </c>
      <c r="M13" s="382" t="s">
        <v>786</v>
      </c>
      <c r="N13" s="852" t="s">
        <v>20</v>
      </c>
      <c r="O13" s="852" t="s">
        <v>594</v>
      </c>
      <c r="P13" s="855" t="s">
        <v>2623</v>
      </c>
      <c r="Q13" s="382" t="s">
        <v>1802</v>
      </c>
      <c r="R13" s="378"/>
      <c r="S13" s="379"/>
    </row>
    <row r="14" spans="1:19" ht="30" customHeight="1">
      <c r="A14" s="841" t="e">
        <f t="shared" si="0"/>
        <v>#REF!</v>
      </c>
      <c r="B14" s="380" t="s">
        <v>696</v>
      </c>
      <c r="C14" s="381"/>
      <c r="D14" s="849" t="s">
        <v>2624</v>
      </c>
      <c r="E14" s="850"/>
      <c r="F14" s="852" t="s">
        <v>1761</v>
      </c>
      <c r="G14" s="851">
        <v>36179</v>
      </c>
      <c r="H14" s="852"/>
      <c r="I14" s="853"/>
      <c r="J14" s="853"/>
      <c r="K14" s="853"/>
      <c r="L14" s="854" t="s">
        <v>2599</v>
      </c>
      <c r="M14" s="382" t="s">
        <v>786</v>
      </c>
      <c r="N14" s="852" t="s">
        <v>20</v>
      </c>
      <c r="O14" s="852" t="s">
        <v>594</v>
      </c>
      <c r="P14" s="855" t="s">
        <v>2625</v>
      </c>
      <c r="Q14" s="382" t="s">
        <v>1802</v>
      </c>
      <c r="R14" s="378"/>
      <c r="S14" s="379"/>
    </row>
    <row r="15" spans="1:19" ht="30" customHeight="1">
      <c r="A15" s="841" t="e">
        <f t="shared" si="0"/>
        <v>#REF!</v>
      </c>
      <c r="B15" s="574" t="s">
        <v>697</v>
      </c>
      <c r="C15" s="381"/>
      <c r="D15" s="849" t="s">
        <v>2626</v>
      </c>
      <c r="E15" s="850"/>
      <c r="F15" s="852" t="s">
        <v>1761</v>
      </c>
      <c r="G15" s="851">
        <v>35229</v>
      </c>
      <c r="H15" s="852"/>
      <c r="I15" s="853"/>
      <c r="J15" s="853"/>
      <c r="K15" s="853"/>
      <c r="L15" s="854" t="s">
        <v>2627</v>
      </c>
      <c r="M15" s="382" t="s">
        <v>786</v>
      </c>
      <c r="N15" s="852" t="s">
        <v>20</v>
      </c>
      <c r="O15" s="852" t="s">
        <v>594</v>
      </c>
      <c r="P15" s="855" t="s">
        <v>2628</v>
      </c>
      <c r="Q15" s="382" t="s">
        <v>1802</v>
      </c>
      <c r="R15" s="378"/>
      <c r="S15" s="379"/>
    </row>
    <row r="16" spans="1:19" ht="30" customHeight="1">
      <c r="A16" s="841" t="e">
        <f>+#REF!+1</f>
        <v>#REF!</v>
      </c>
      <c r="B16" s="380" t="s">
        <v>698</v>
      </c>
      <c r="C16" s="381"/>
      <c r="D16" s="849" t="s">
        <v>2629</v>
      </c>
      <c r="E16" s="850"/>
      <c r="F16" s="852" t="s">
        <v>1761</v>
      </c>
      <c r="G16" s="851">
        <v>34898</v>
      </c>
      <c r="H16" s="852"/>
      <c r="I16" s="853"/>
      <c r="J16" s="853"/>
      <c r="K16" s="853"/>
      <c r="L16" s="854" t="s">
        <v>2602</v>
      </c>
      <c r="M16" s="382" t="s">
        <v>786</v>
      </c>
      <c r="N16" s="852" t="s">
        <v>20</v>
      </c>
      <c r="O16" s="852" t="s">
        <v>594</v>
      </c>
      <c r="P16" s="857" t="s">
        <v>2630</v>
      </c>
      <c r="Q16" s="382" t="s">
        <v>1802</v>
      </c>
      <c r="R16" s="378"/>
      <c r="S16" s="379"/>
    </row>
    <row r="17" spans="1:19" ht="30" customHeight="1">
      <c r="A17" s="841" t="e">
        <f t="shared" si="0"/>
        <v>#REF!</v>
      </c>
      <c r="B17" s="574" t="s">
        <v>129</v>
      </c>
      <c r="C17" s="381"/>
      <c r="D17" s="849" t="s">
        <v>2631</v>
      </c>
      <c r="E17" s="850"/>
      <c r="F17" s="852" t="s">
        <v>1761</v>
      </c>
      <c r="G17" s="851">
        <v>36096</v>
      </c>
      <c r="H17" s="852"/>
      <c r="I17" s="853"/>
      <c r="J17" s="853"/>
      <c r="K17" s="853"/>
      <c r="L17" s="854" t="s">
        <v>2632</v>
      </c>
      <c r="M17" s="382" t="s">
        <v>786</v>
      </c>
      <c r="N17" s="852" t="s">
        <v>20</v>
      </c>
      <c r="O17" s="852" t="s">
        <v>594</v>
      </c>
      <c r="P17" s="855" t="s">
        <v>2633</v>
      </c>
      <c r="Q17" s="382" t="s">
        <v>1802</v>
      </c>
      <c r="R17" s="378"/>
      <c r="S17" s="379"/>
    </row>
    <row r="18" spans="1:19" ht="30" customHeight="1">
      <c r="A18" s="841" t="e">
        <f t="shared" si="0"/>
        <v>#REF!</v>
      </c>
      <c r="B18" s="380" t="s">
        <v>699</v>
      </c>
      <c r="C18" s="381"/>
      <c r="D18" s="849" t="s">
        <v>2634</v>
      </c>
      <c r="E18" s="850"/>
      <c r="F18" s="852" t="s">
        <v>1761</v>
      </c>
      <c r="G18" s="851">
        <v>35132</v>
      </c>
      <c r="H18" s="852"/>
      <c r="I18" s="853"/>
      <c r="J18" s="853"/>
      <c r="K18" s="853"/>
      <c r="L18" s="854" t="s">
        <v>2627</v>
      </c>
      <c r="M18" s="382" t="s">
        <v>786</v>
      </c>
      <c r="N18" s="852" t="s">
        <v>20</v>
      </c>
      <c r="O18" s="852" t="s">
        <v>35</v>
      </c>
      <c r="P18" s="857" t="s">
        <v>2635</v>
      </c>
      <c r="Q18" s="382" t="s">
        <v>1802</v>
      </c>
      <c r="R18" s="378"/>
      <c r="S18" s="379"/>
    </row>
    <row r="19" spans="1:19" ht="30" customHeight="1">
      <c r="A19" s="841" t="e">
        <f t="shared" si="0"/>
        <v>#REF!</v>
      </c>
      <c r="B19" s="574" t="s">
        <v>700</v>
      </c>
      <c r="C19" s="381"/>
      <c r="D19" s="849" t="s">
        <v>2636</v>
      </c>
      <c r="E19" s="850"/>
      <c r="F19" s="852" t="s">
        <v>1761</v>
      </c>
      <c r="G19" s="851">
        <v>35216</v>
      </c>
      <c r="H19" s="852"/>
      <c r="I19" s="853"/>
      <c r="J19" s="853"/>
      <c r="K19" s="853"/>
      <c r="L19" s="854" t="s">
        <v>2627</v>
      </c>
      <c r="M19" s="382" t="s">
        <v>786</v>
      </c>
      <c r="N19" s="852" t="s">
        <v>20</v>
      </c>
      <c r="O19" s="852" t="s">
        <v>594</v>
      </c>
      <c r="P19" s="855" t="s">
        <v>2637</v>
      </c>
      <c r="Q19" s="382" t="s">
        <v>1802</v>
      </c>
      <c r="R19" s="378"/>
      <c r="S19" s="379"/>
    </row>
    <row r="20" spans="1:19" ht="30" customHeight="1">
      <c r="A20" s="841" t="e">
        <f t="shared" si="0"/>
        <v>#REF!</v>
      </c>
      <c r="B20" s="380" t="s">
        <v>119</v>
      </c>
      <c r="C20" s="381"/>
      <c r="D20" s="849" t="s">
        <v>2638</v>
      </c>
      <c r="E20" s="858"/>
      <c r="F20" s="859" t="s">
        <v>1787</v>
      </c>
      <c r="G20" s="851">
        <v>36311</v>
      </c>
      <c r="H20" s="852"/>
      <c r="I20" s="853"/>
      <c r="J20" s="853"/>
      <c r="K20" s="853"/>
      <c r="L20" s="854" t="s">
        <v>2608</v>
      </c>
      <c r="M20" s="382" t="s">
        <v>786</v>
      </c>
      <c r="N20" s="852" t="s">
        <v>20</v>
      </c>
      <c r="O20" s="852" t="s">
        <v>35</v>
      </c>
      <c r="P20" s="855" t="s">
        <v>2639</v>
      </c>
      <c r="Q20" s="382" t="s">
        <v>1825</v>
      </c>
      <c r="R20" s="378"/>
      <c r="S20" s="379"/>
    </row>
    <row r="21" spans="1:19" ht="30" customHeight="1">
      <c r="A21" s="841" t="e">
        <f t="shared" si="0"/>
        <v>#REF!</v>
      </c>
      <c r="B21" s="574" t="s">
        <v>701</v>
      </c>
      <c r="C21" s="381"/>
      <c r="D21" s="849" t="s">
        <v>2640</v>
      </c>
      <c r="E21" s="850"/>
      <c r="F21" s="852" t="s">
        <v>1761</v>
      </c>
      <c r="G21" s="851">
        <v>36367</v>
      </c>
      <c r="H21" s="852"/>
      <c r="I21" s="853"/>
      <c r="J21" s="853"/>
      <c r="K21" s="853"/>
      <c r="L21" s="854" t="s">
        <v>2608</v>
      </c>
      <c r="M21" s="382" t="s">
        <v>786</v>
      </c>
      <c r="N21" s="852" t="s">
        <v>20</v>
      </c>
      <c r="O21" s="852" t="s">
        <v>35</v>
      </c>
      <c r="P21" s="855" t="s">
        <v>2641</v>
      </c>
      <c r="Q21" s="382" t="s">
        <v>1802</v>
      </c>
      <c r="R21" s="378"/>
      <c r="S21" s="379"/>
    </row>
    <row r="22" spans="1:19" ht="30" customHeight="1">
      <c r="A22" s="841" t="e">
        <f t="shared" si="0"/>
        <v>#REF!</v>
      </c>
      <c r="B22" s="380" t="s">
        <v>702</v>
      </c>
      <c r="C22" s="381"/>
      <c r="D22" s="849" t="s">
        <v>2642</v>
      </c>
      <c r="E22" s="850"/>
      <c r="F22" s="852" t="s">
        <v>2643</v>
      </c>
      <c r="G22" s="851">
        <v>35639</v>
      </c>
      <c r="H22" s="852"/>
      <c r="I22" s="853"/>
      <c r="J22" s="853"/>
      <c r="K22" s="853"/>
      <c r="L22" s="854" t="s">
        <v>2622</v>
      </c>
      <c r="M22" s="382" t="s">
        <v>786</v>
      </c>
      <c r="N22" s="852" t="s">
        <v>20</v>
      </c>
      <c r="O22" s="852" t="s">
        <v>594</v>
      </c>
      <c r="P22" s="855" t="s">
        <v>2644</v>
      </c>
      <c r="Q22" s="382" t="s">
        <v>1825</v>
      </c>
      <c r="R22" s="378"/>
      <c r="S22" s="379"/>
    </row>
    <row r="23" spans="1:19" ht="30" customHeight="1">
      <c r="A23" s="841" t="e">
        <f t="shared" si="0"/>
        <v>#REF!</v>
      </c>
      <c r="B23" s="574" t="s">
        <v>703</v>
      </c>
      <c r="C23" s="381"/>
      <c r="D23" s="849" t="s">
        <v>2645</v>
      </c>
      <c r="E23" s="850"/>
      <c r="F23" s="852" t="s">
        <v>2646</v>
      </c>
      <c r="G23" s="851">
        <v>34761</v>
      </c>
      <c r="H23" s="852"/>
      <c r="I23" s="853"/>
      <c r="J23" s="853"/>
      <c r="K23" s="853"/>
      <c r="L23" s="854" t="s">
        <v>2602</v>
      </c>
      <c r="M23" s="382" t="s">
        <v>786</v>
      </c>
      <c r="N23" s="852" t="s">
        <v>20</v>
      </c>
      <c r="O23" s="852" t="s">
        <v>2647</v>
      </c>
      <c r="P23" s="856" t="s">
        <v>2648</v>
      </c>
      <c r="Q23" s="382" t="s">
        <v>1802</v>
      </c>
      <c r="R23" s="378"/>
      <c r="S23" s="379"/>
    </row>
    <row r="24" spans="1:19" ht="30" customHeight="1">
      <c r="A24" s="841" t="e">
        <f t="shared" si="0"/>
        <v>#REF!</v>
      </c>
      <c r="B24" s="380" t="s">
        <v>721</v>
      </c>
      <c r="C24" s="381"/>
      <c r="D24" s="849" t="s">
        <v>2649</v>
      </c>
      <c r="E24" s="850"/>
      <c r="F24" s="852" t="s">
        <v>1787</v>
      </c>
      <c r="G24" s="851">
        <v>36248</v>
      </c>
      <c r="H24" s="852"/>
      <c r="I24" s="853"/>
      <c r="J24" s="853"/>
      <c r="K24" s="853"/>
      <c r="L24" s="854" t="s">
        <v>2608</v>
      </c>
      <c r="M24" s="382" t="s">
        <v>786</v>
      </c>
      <c r="N24" s="852" t="s">
        <v>20</v>
      </c>
      <c r="O24" s="852" t="s">
        <v>594</v>
      </c>
      <c r="P24" s="855" t="s">
        <v>2650</v>
      </c>
      <c r="Q24" s="382" t="s">
        <v>1802</v>
      </c>
      <c r="R24" s="378"/>
      <c r="S24" s="379"/>
    </row>
    <row r="25" spans="1:19" ht="30" customHeight="1">
      <c r="A25" s="841" t="e">
        <f>+#REF!+1</f>
        <v>#REF!</v>
      </c>
      <c r="B25" s="574" t="s">
        <v>130</v>
      </c>
      <c r="C25" s="381"/>
      <c r="D25" s="849" t="s">
        <v>2651</v>
      </c>
      <c r="E25" s="850"/>
      <c r="F25" s="852" t="s">
        <v>1761</v>
      </c>
      <c r="G25" s="851">
        <v>35605</v>
      </c>
      <c r="H25" s="852"/>
      <c r="I25" s="853"/>
      <c r="J25" s="853"/>
      <c r="K25" s="853"/>
      <c r="L25" s="854" t="s">
        <v>2627</v>
      </c>
      <c r="M25" s="382" t="s">
        <v>786</v>
      </c>
      <c r="N25" s="852" t="s">
        <v>20</v>
      </c>
      <c r="O25" s="852" t="s">
        <v>2652</v>
      </c>
      <c r="P25" s="855" t="s">
        <v>2653</v>
      </c>
      <c r="Q25" s="382" t="s">
        <v>1802</v>
      </c>
      <c r="R25" s="378"/>
      <c r="S25" s="379"/>
    </row>
    <row r="26" spans="1:19" ht="30" customHeight="1">
      <c r="A26" s="841" t="e">
        <f t="shared" si="0"/>
        <v>#REF!</v>
      </c>
      <c r="B26" s="380" t="s">
        <v>722</v>
      </c>
      <c r="C26" s="381"/>
      <c r="D26" s="849" t="s">
        <v>2654</v>
      </c>
      <c r="E26" s="850"/>
      <c r="F26" s="852" t="s">
        <v>1784</v>
      </c>
      <c r="G26" s="851">
        <v>35083</v>
      </c>
      <c r="H26" s="852"/>
      <c r="I26" s="853"/>
      <c r="J26" s="853"/>
      <c r="K26" s="853"/>
      <c r="L26" s="854" t="s">
        <v>2602</v>
      </c>
      <c r="M26" s="382" t="s">
        <v>786</v>
      </c>
      <c r="N26" s="852" t="s">
        <v>20</v>
      </c>
      <c r="O26" s="852" t="s">
        <v>35</v>
      </c>
      <c r="P26" s="857" t="s">
        <v>2655</v>
      </c>
      <c r="Q26" s="382" t="s">
        <v>1802</v>
      </c>
      <c r="R26" s="378"/>
      <c r="S26" s="379"/>
    </row>
    <row r="27" spans="1:19" ht="30" customHeight="1">
      <c r="A27" s="841" t="e">
        <f t="shared" si="0"/>
        <v>#REF!</v>
      </c>
      <c r="B27" s="574" t="s">
        <v>723</v>
      </c>
      <c r="C27" s="381"/>
      <c r="D27" s="849" t="s">
        <v>2656</v>
      </c>
      <c r="E27" s="850"/>
      <c r="F27" s="852" t="s">
        <v>1788</v>
      </c>
      <c r="G27" s="851">
        <v>35188</v>
      </c>
      <c r="H27" s="852"/>
      <c r="I27" s="853"/>
      <c r="J27" s="853"/>
      <c r="K27" s="853"/>
      <c r="L27" s="854" t="s">
        <v>2627</v>
      </c>
      <c r="M27" s="382" t="s">
        <v>786</v>
      </c>
      <c r="N27" s="852" t="s">
        <v>31</v>
      </c>
      <c r="O27" s="852" t="s">
        <v>2657</v>
      </c>
      <c r="P27" s="855" t="s">
        <v>2658</v>
      </c>
      <c r="Q27" s="382" t="s">
        <v>1802</v>
      </c>
      <c r="R27" s="378"/>
      <c r="S27" s="379"/>
    </row>
    <row r="28" spans="1:19" ht="30" customHeight="1">
      <c r="A28" s="841" t="e">
        <f t="shared" si="0"/>
        <v>#REF!</v>
      </c>
      <c r="B28" s="380" t="s">
        <v>724</v>
      </c>
      <c r="C28" s="381"/>
      <c r="D28" s="849" t="s">
        <v>2659</v>
      </c>
      <c r="E28" s="850"/>
      <c r="F28" s="852" t="s">
        <v>1787</v>
      </c>
      <c r="G28" s="851">
        <v>34720</v>
      </c>
      <c r="H28" s="852"/>
      <c r="I28" s="853"/>
      <c r="J28" s="853"/>
      <c r="K28" s="853"/>
      <c r="L28" s="854" t="s">
        <v>2660</v>
      </c>
      <c r="M28" s="382" t="s">
        <v>786</v>
      </c>
      <c r="N28" s="852" t="s">
        <v>31</v>
      </c>
      <c r="O28" s="852" t="s">
        <v>2657</v>
      </c>
      <c r="P28" s="855" t="s">
        <v>2661</v>
      </c>
      <c r="Q28" s="382" t="s">
        <v>1802</v>
      </c>
      <c r="R28" s="378"/>
      <c r="S28" s="379"/>
    </row>
    <row r="29" spans="1:19" ht="30" customHeight="1">
      <c r="A29" s="841" t="e">
        <f>+#REF!+1</f>
        <v>#REF!</v>
      </c>
      <c r="B29" s="574" t="s">
        <v>725</v>
      </c>
      <c r="C29" s="381"/>
      <c r="D29" s="849" t="s">
        <v>2662</v>
      </c>
      <c r="E29" s="850"/>
      <c r="F29" s="852" t="s">
        <v>1761</v>
      </c>
      <c r="G29" s="851">
        <v>34753</v>
      </c>
      <c r="H29" s="852"/>
      <c r="I29" s="853"/>
      <c r="J29" s="853"/>
      <c r="K29" s="853"/>
      <c r="L29" s="854" t="s">
        <v>2602</v>
      </c>
      <c r="M29" s="382" t="s">
        <v>786</v>
      </c>
      <c r="N29" s="852" t="s">
        <v>31</v>
      </c>
      <c r="O29" s="852" t="s">
        <v>35</v>
      </c>
      <c r="P29" s="855" t="s">
        <v>2663</v>
      </c>
      <c r="Q29" s="382" t="s">
        <v>1802</v>
      </c>
      <c r="R29" s="378"/>
      <c r="S29" s="379"/>
    </row>
    <row r="30" spans="1:19" ht="30" customHeight="1">
      <c r="A30" s="841" t="e">
        <f t="shared" si="0"/>
        <v>#REF!</v>
      </c>
      <c r="B30" s="380" t="s">
        <v>726</v>
      </c>
      <c r="C30" s="381"/>
      <c r="D30" s="849" t="s">
        <v>2664</v>
      </c>
      <c r="E30" s="850"/>
      <c r="F30" s="852" t="s">
        <v>2665</v>
      </c>
      <c r="G30" s="851">
        <v>35208</v>
      </c>
      <c r="H30" s="852"/>
      <c r="I30" s="853"/>
      <c r="J30" s="853"/>
      <c r="K30" s="853"/>
      <c r="L30" s="854" t="s">
        <v>2627</v>
      </c>
      <c r="M30" s="382" t="s">
        <v>786</v>
      </c>
      <c r="N30" s="852" t="s">
        <v>31</v>
      </c>
      <c r="O30" s="852" t="s">
        <v>594</v>
      </c>
      <c r="P30" s="856" t="s">
        <v>2666</v>
      </c>
      <c r="Q30" s="382" t="s">
        <v>1802</v>
      </c>
      <c r="R30" s="378"/>
      <c r="S30" s="379"/>
    </row>
    <row r="31" spans="1:19" ht="30" customHeight="1">
      <c r="A31" s="841" t="e">
        <f t="shared" si="0"/>
        <v>#REF!</v>
      </c>
      <c r="B31" s="574" t="s">
        <v>727</v>
      </c>
      <c r="C31" s="381"/>
      <c r="D31" s="849" t="s">
        <v>2667</v>
      </c>
      <c r="E31" s="850"/>
      <c r="F31" s="852" t="s">
        <v>1761</v>
      </c>
      <c r="G31" s="851">
        <v>36245</v>
      </c>
      <c r="H31" s="852"/>
      <c r="I31" s="853"/>
      <c r="J31" s="853"/>
      <c r="K31" s="853"/>
      <c r="L31" s="854" t="s">
        <v>2608</v>
      </c>
      <c r="M31" s="382" t="s">
        <v>786</v>
      </c>
      <c r="N31" s="852" t="s">
        <v>31</v>
      </c>
      <c r="O31" s="852" t="s">
        <v>35</v>
      </c>
      <c r="P31" s="855" t="s">
        <v>2668</v>
      </c>
      <c r="Q31" s="382" t="s">
        <v>1802</v>
      </c>
      <c r="R31" s="378"/>
      <c r="S31" s="379"/>
    </row>
    <row r="32" spans="1:19" ht="30" customHeight="1">
      <c r="A32" s="841" t="e">
        <f t="shared" si="0"/>
        <v>#REF!</v>
      </c>
      <c r="B32" s="380" t="s">
        <v>728</v>
      </c>
      <c r="C32" s="381"/>
      <c r="D32" s="849" t="s">
        <v>2669</v>
      </c>
      <c r="E32" s="850"/>
      <c r="F32" s="852" t="s">
        <v>1761</v>
      </c>
      <c r="G32" s="851">
        <v>35939</v>
      </c>
      <c r="H32" s="852"/>
      <c r="I32" s="853"/>
      <c r="J32" s="853"/>
      <c r="K32" s="853"/>
      <c r="L32" s="854" t="s">
        <v>2599</v>
      </c>
      <c r="M32" s="382" t="s">
        <v>786</v>
      </c>
      <c r="N32" s="852" t="s">
        <v>31</v>
      </c>
      <c r="O32" s="852" t="s">
        <v>594</v>
      </c>
      <c r="P32" s="857" t="s">
        <v>2670</v>
      </c>
      <c r="Q32" s="382" t="s">
        <v>1802</v>
      </c>
      <c r="R32" s="378"/>
      <c r="S32" s="379"/>
    </row>
    <row r="33" spans="1:19" ht="30" customHeight="1">
      <c r="A33" s="841" t="e">
        <f t="shared" si="0"/>
        <v>#REF!</v>
      </c>
      <c r="B33" s="574" t="s">
        <v>729</v>
      </c>
      <c r="C33" s="381"/>
      <c r="D33" s="849" t="s">
        <v>2671</v>
      </c>
      <c r="E33" s="850"/>
      <c r="F33" s="852" t="s">
        <v>1761</v>
      </c>
      <c r="G33" s="851">
        <v>36276</v>
      </c>
      <c r="H33" s="852"/>
      <c r="I33" s="853"/>
      <c r="J33" s="853"/>
      <c r="K33" s="853"/>
      <c r="L33" s="854" t="s">
        <v>2608</v>
      </c>
      <c r="M33" s="382" t="s">
        <v>786</v>
      </c>
      <c r="N33" s="852" t="s">
        <v>31</v>
      </c>
      <c r="O33" s="852" t="s">
        <v>35</v>
      </c>
      <c r="P33" s="855" t="s">
        <v>2672</v>
      </c>
      <c r="Q33" s="382" t="s">
        <v>1802</v>
      </c>
      <c r="R33" s="378"/>
      <c r="S33" s="379"/>
    </row>
    <row r="34" spans="1:19" ht="30" customHeight="1">
      <c r="A34" s="841" t="e">
        <f t="shared" si="0"/>
        <v>#REF!</v>
      </c>
      <c r="B34" s="380" t="s">
        <v>730</v>
      </c>
      <c r="C34" s="381"/>
      <c r="D34" s="849" t="s">
        <v>2673</v>
      </c>
      <c r="E34" s="850"/>
      <c r="F34" s="852" t="s">
        <v>1761</v>
      </c>
      <c r="G34" s="851">
        <v>36024</v>
      </c>
      <c r="H34" s="852"/>
      <c r="I34" s="853"/>
      <c r="J34" s="853"/>
      <c r="K34" s="853"/>
      <c r="L34" s="854" t="s">
        <v>2599</v>
      </c>
      <c r="M34" s="382" t="s">
        <v>786</v>
      </c>
      <c r="N34" s="852" t="s">
        <v>20</v>
      </c>
      <c r="O34" s="852" t="s">
        <v>594</v>
      </c>
      <c r="P34" s="857" t="s">
        <v>2674</v>
      </c>
      <c r="Q34" s="382" t="s">
        <v>1802</v>
      </c>
      <c r="R34" s="378"/>
      <c r="S34" s="379"/>
    </row>
    <row r="35" spans="1:19" ht="30" customHeight="1">
      <c r="A35" s="841" t="e">
        <f t="shared" si="0"/>
        <v>#REF!</v>
      </c>
      <c r="B35" s="574" t="s">
        <v>731</v>
      </c>
      <c r="C35" s="381"/>
      <c r="D35" s="849" t="s">
        <v>2675</v>
      </c>
      <c r="E35" s="850"/>
      <c r="F35" s="852" t="s">
        <v>1761</v>
      </c>
      <c r="G35" s="851">
        <v>35561</v>
      </c>
      <c r="H35" s="852"/>
      <c r="I35" s="853"/>
      <c r="J35" s="853"/>
      <c r="K35" s="853"/>
      <c r="L35" s="854" t="s">
        <v>2622</v>
      </c>
      <c r="M35" s="382" t="s">
        <v>786</v>
      </c>
      <c r="N35" s="852" t="s">
        <v>20</v>
      </c>
      <c r="O35" s="852" t="s">
        <v>35</v>
      </c>
      <c r="P35" s="855" t="s">
        <v>2676</v>
      </c>
      <c r="Q35" s="382" t="s">
        <v>1802</v>
      </c>
      <c r="R35" s="378"/>
      <c r="S35" s="379"/>
    </row>
    <row r="36" spans="1:19" ht="30" customHeight="1">
      <c r="A36" s="841" t="e">
        <f t="shared" si="0"/>
        <v>#REF!</v>
      </c>
      <c r="B36" s="380" t="s">
        <v>732</v>
      </c>
      <c r="C36" s="381"/>
      <c r="D36" s="849" t="s">
        <v>2677</v>
      </c>
      <c r="E36" s="850"/>
      <c r="F36" s="852" t="s">
        <v>1761</v>
      </c>
      <c r="G36" s="851">
        <v>35390</v>
      </c>
      <c r="H36" s="852"/>
      <c r="I36" s="853"/>
      <c r="J36" s="853"/>
      <c r="K36" s="853"/>
      <c r="L36" s="854" t="s">
        <v>2627</v>
      </c>
      <c r="M36" s="382" t="s">
        <v>786</v>
      </c>
      <c r="N36" s="852" t="s">
        <v>20</v>
      </c>
      <c r="O36" s="852" t="s">
        <v>35</v>
      </c>
      <c r="P36" s="855" t="s">
        <v>2678</v>
      </c>
      <c r="Q36" s="382" t="s">
        <v>1802</v>
      </c>
      <c r="R36" s="378"/>
      <c r="S36" s="379"/>
    </row>
    <row r="37" spans="1:19" ht="30" customHeight="1" thickBot="1">
      <c r="A37" s="841" t="e">
        <f>+#REF!+1</f>
        <v>#REF!</v>
      </c>
      <c r="B37" s="798"/>
      <c r="C37" s="388"/>
      <c r="D37" s="1022"/>
      <c r="E37" s="1022"/>
      <c r="F37" s="671"/>
      <c r="G37" s="389"/>
      <c r="H37" s="388"/>
      <c r="I37" s="390"/>
      <c r="J37" s="390"/>
      <c r="K37" s="390"/>
      <c r="L37" s="391"/>
      <c r="M37" s="390"/>
      <c r="N37" s="388"/>
      <c r="O37" s="388"/>
      <c r="P37" s="392"/>
      <c r="Q37" s="390"/>
      <c r="R37" s="378"/>
      <c r="S37" s="379"/>
    </row>
    <row r="38" spans="1:19" ht="30" customHeight="1">
      <c r="A38" s="181"/>
      <c r="B38" s="181"/>
      <c r="C38" s="181"/>
      <c r="D38" s="181"/>
      <c r="E38" s="181"/>
      <c r="F38" s="672"/>
      <c r="G38" s="182"/>
      <c r="H38" s="838"/>
      <c r="I38" s="181"/>
      <c r="J38" s="181"/>
      <c r="K38" s="181"/>
      <c r="L38" s="838"/>
      <c r="M38" s="181"/>
      <c r="N38" s="838"/>
      <c r="O38" s="838"/>
      <c r="P38" s="183"/>
      <c r="Q38" s="181"/>
    </row>
    <row r="39" spans="1:19" ht="30" customHeight="1">
      <c r="A39" s="181"/>
      <c r="B39" s="181"/>
      <c r="C39" s="1018" t="s">
        <v>633</v>
      </c>
      <c r="D39" s="1018"/>
      <c r="E39" s="1018"/>
      <c r="F39" s="672"/>
      <c r="G39" s="182"/>
      <c r="H39" s="838"/>
      <c r="I39" s="181"/>
      <c r="J39" s="181"/>
      <c r="K39" s="181"/>
      <c r="L39" s="838"/>
      <c r="M39" s="181"/>
      <c r="N39" s="838"/>
      <c r="O39" s="838"/>
      <c r="P39" s="396" t="s">
        <v>2754</v>
      </c>
      <c r="Q39" s="396"/>
    </row>
    <row r="40" spans="1:19" ht="30" customHeight="1">
      <c r="A40" s="181"/>
      <c r="B40" s="181"/>
      <c r="C40" s="1018" t="s">
        <v>676</v>
      </c>
      <c r="D40" s="1018"/>
      <c r="E40" s="1018"/>
      <c r="F40" s="672"/>
      <c r="G40" s="182"/>
      <c r="H40" s="838"/>
      <c r="I40" s="181"/>
      <c r="J40" s="181"/>
      <c r="K40" s="181"/>
      <c r="L40" s="838"/>
      <c r="M40" s="181"/>
      <c r="N40" s="838"/>
      <c r="O40" s="838"/>
      <c r="P40" s="396" t="s">
        <v>2517</v>
      </c>
      <c r="Q40" s="396"/>
    </row>
    <row r="41" spans="1:19" ht="30" customHeight="1">
      <c r="A41" s="181"/>
      <c r="B41" s="181"/>
      <c r="C41" s="181"/>
      <c r="D41" s="181"/>
      <c r="E41" s="181"/>
      <c r="F41" s="672"/>
      <c r="G41" s="182"/>
      <c r="H41" s="838"/>
      <c r="I41" s="181"/>
      <c r="J41" s="181"/>
      <c r="K41" s="181"/>
      <c r="L41" s="838"/>
      <c r="M41" s="181"/>
      <c r="N41" s="838"/>
      <c r="O41" s="838"/>
      <c r="P41" s="183"/>
      <c r="Q41" s="181"/>
    </row>
    <row r="42" spans="1:19" ht="30" customHeight="1">
      <c r="A42" s="181"/>
      <c r="B42" s="181"/>
      <c r="C42" s="181"/>
      <c r="D42" s="181"/>
      <c r="E42" s="181"/>
      <c r="F42" s="672"/>
      <c r="G42" s="182"/>
      <c r="H42" s="838"/>
      <c r="I42" s="181"/>
      <c r="J42" s="181"/>
      <c r="K42" s="181"/>
      <c r="L42" s="838"/>
      <c r="M42" s="181"/>
      <c r="N42" s="838"/>
      <c r="O42" s="838"/>
      <c r="P42" s="183"/>
      <c r="Q42" s="181"/>
    </row>
    <row r="43" spans="1:19" ht="30" customHeight="1">
      <c r="A43" s="181"/>
      <c r="B43" s="181"/>
      <c r="C43" s="1019" t="s">
        <v>2434</v>
      </c>
      <c r="D43" s="1019"/>
      <c r="E43" s="1019"/>
      <c r="F43" s="672"/>
      <c r="G43" s="182"/>
      <c r="H43" s="838"/>
      <c r="I43" s="181"/>
      <c r="J43" s="181"/>
      <c r="K43" s="181"/>
      <c r="L43" s="838"/>
      <c r="M43" s="181"/>
      <c r="N43" s="838"/>
      <c r="O43" s="838"/>
      <c r="P43" s="395" t="s">
        <v>2435</v>
      </c>
      <c r="Q43" s="395"/>
    </row>
    <row r="44" spans="1:19" ht="30" customHeight="1">
      <c r="A44" s="181"/>
      <c r="B44" s="181"/>
      <c r="C44" s="1018" t="s">
        <v>2467</v>
      </c>
      <c r="D44" s="1018"/>
      <c r="E44" s="1018"/>
      <c r="F44" s="672"/>
      <c r="G44" s="182"/>
      <c r="H44" s="838"/>
      <c r="I44" s="181"/>
      <c r="J44" s="181"/>
      <c r="K44" s="181"/>
      <c r="L44" s="838"/>
      <c r="M44" s="181"/>
      <c r="N44" s="838"/>
      <c r="O44" s="838"/>
      <c r="P44" s="396" t="s">
        <v>2438</v>
      </c>
      <c r="Q44" s="396"/>
    </row>
    <row r="45" spans="1:19" ht="30" customHeight="1">
      <c r="A45" s="181"/>
      <c r="B45" s="181"/>
      <c r="C45" s="181"/>
      <c r="D45" s="181"/>
      <c r="E45" s="181"/>
      <c r="F45" s="672"/>
      <c r="G45" s="182"/>
      <c r="H45" s="838"/>
      <c r="I45" s="181"/>
      <c r="J45" s="181"/>
      <c r="K45" s="181"/>
      <c r="L45" s="838"/>
      <c r="M45" s="181"/>
      <c r="N45" s="838"/>
      <c r="O45" s="838"/>
      <c r="P45" s="183"/>
      <c r="Q45" s="181"/>
    </row>
    <row r="46" spans="1:19" ht="30" customHeight="1">
      <c r="A46" s="181"/>
      <c r="B46" s="181"/>
      <c r="C46" s="181"/>
      <c r="D46" s="181"/>
      <c r="E46" s="181"/>
      <c r="F46" s="672"/>
      <c r="G46" s="182"/>
      <c r="H46" s="838"/>
      <c r="I46" s="181"/>
      <c r="J46" s="181"/>
      <c r="K46" s="181"/>
      <c r="L46" s="838"/>
      <c r="M46" s="181"/>
      <c r="N46" s="838"/>
      <c r="O46" s="838"/>
      <c r="P46" s="183"/>
      <c r="Q46" s="181"/>
    </row>
    <row r="47" spans="1:19" ht="30" customHeight="1">
      <c r="A47" s="181"/>
      <c r="B47" s="181"/>
      <c r="C47" s="181"/>
      <c r="D47" s="181"/>
      <c r="E47" s="181"/>
      <c r="F47" s="672"/>
      <c r="G47" s="182"/>
      <c r="H47" s="838"/>
      <c r="I47" s="181"/>
      <c r="J47" s="181"/>
      <c r="K47" s="181"/>
      <c r="L47" s="838"/>
      <c r="M47" s="181"/>
      <c r="N47" s="838"/>
      <c r="O47" s="838"/>
      <c r="P47" s="183"/>
      <c r="Q47" s="181"/>
    </row>
    <row r="48" spans="1:19" ht="30" customHeight="1">
      <c r="A48" s="181"/>
      <c r="B48" s="181"/>
      <c r="C48" s="181"/>
      <c r="D48" s="181"/>
      <c r="E48" s="181"/>
      <c r="F48" s="672"/>
      <c r="G48" s="182"/>
      <c r="H48" s="838"/>
      <c r="I48" s="181"/>
      <c r="J48" s="181"/>
      <c r="K48" s="181"/>
      <c r="L48" s="838"/>
      <c r="M48" s="181"/>
      <c r="N48" s="838"/>
      <c r="O48" s="838"/>
      <c r="P48" s="183"/>
      <c r="Q48" s="181"/>
    </row>
    <row r="49" spans="1:17" ht="30" customHeight="1">
      <c r="A49" s="181"/>
      <c r="B49" s="181"/>
      <c r="C49" s="181"/>
      <c r="D49" s="181"/>
      <c r="E49" s="181"/>
      <c r="F49" s="672"/>
      <c r="G49" s="182"/>
      <c r="H49" s="838"/>
      <c r="I49" s="181"/>
      <c r="J49" s="181"/>
      <c r="K49" s="181"/>
      <c r="L49" s="838"/>
      <c r="M49" s="181"/>
      <c r="N49" s="838"/>
      <c r="O49" s="838"/>
      <c r="P49" s="183"/>
      <c r="Q49" s="181"/>
    </row>
    <row r="50" spans="1:17" ht="30" customHeight="1">
      <c r="A50" s="181"/>
      <c r="B50" s="181"/>
      <c r="C50" s="181"/>
      <c r="D50" s="181"/>
      <c r="E50" s="181"/>
      <c r="F50" s="672"/>
      <c r="G50" s="182"/>
      <c r="H50" s="838"/>
      <c r="I50" s="181"/>
      <c r="J50" s="181"/>
      <c r="K50" s="181"/>
      <c r="L50" s="838"/>
      <c r="M50" s="181"/>
      <c r="N50" s="838"/>
      <c r="O50" s="838"/>
      <c r="P50" s="183"/>
      <c r="Q50" s="181"/>
    </row>
    <row r="51" spans="1:17" ht="30" customHeight="1">
      <c r="A51" s="181"/>
      <c r="C51" s="181"/>
      <c r="D51" s="181"/>
      <c r="E51" s="181"/>
      <c r="F51" s="672"/>
      <c r="G51" s="182"/>
      <c r="H51" s="838"/>
      <c r="I51" s="181"/>
      <c r="J51" s="181"/>
      <c r="K51" s="181"/>
      <c r="L51" s="838"/>
      <c r="M51" s="181"/>
      <c r="N51" s="838"/>
      <c r="O51" s="838"/>
      <c r="P51" s="183"/>
      <c r="Q51" s="181"/>
    </row>
    <row r="52" spans="1:17" ht="30" customHeight="1"/>
  </sheetData>
  <mergeCells count="9">
    <mergeCell ref="C40:E40"/>
    <mergeCell ref="C43:E43"/>
    <mergeCell ref="C44:E44"/>
    <mergeCell ref="A1:Q1"/>
    <mergeCell ref="A2:Q2"/>
    <mergeCell ref="A3:Q3"/>
    <mergeCell ref="D4:E4"/>
    <mergeCell ref="D37:E37"/>
    <mergeCell ref="C39:E39"/>
  </mergeCells>
  <pageMargins left="0.7" right="0.7" top="0.75" bottom="0.75" header="0.3" footer="0.3"/>
  <pageSetup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63"/>
  <sheetViews>
    <sheetView view="pageBreakPreview" topLeftCell="A32" zoomScaleNormal="70" zoomScaleSheetLayoutView="100" workbookViewId="0">
      <selection activeCell="P47" sqref="P47"/>
    </sheetView>
  </sheetViews>
  <sheetFormatPr defaultRowHeight="14.25"/>
  <cols>
    <col min="1" max="1" width="0.140625" style="180" customWidth="1"/>
    <col min="2" max="2" width="9.140625" style="180"/>
    <col min="3" max="3" width="10.7109375" style="180" bestFit="1" customWidth="1"/>
    <col min="4" max="4" width="9.140625" style="180"/>
    <col min="5" max="5" width="31" style="180" customWidth="1"/>
    <col min="6" max="6" width="15.7109375" style="673" bestFit="1" customWidth="1"/>
    <col min="7" max="7" width="19.7109375" style="185" bestFit="1" customWidth="1"/>
    <col min="8" max="11" width="9.140625" style="180" hidden="1" customWidth="1"/>
    <col min="12" max="12" width="7.28515625" style="184" bestFit="1" customWidth="1"/>
    <col min="13" max="13" width="18.85546875" style="180" bestFit="1" customWidth="1"/>
    <col min="14" max="14" width="4.28515625" style="186" bestFit="1" customWidth="1"/>
    <col min="15" max="15" width="13.7109375" style="186" bestFit="1" customWidth="1"/>
    <col min="16" max="16" width="79.140625" style="180" customWidth="1"/>
    <col min="17" max="17" width="9.140625" style="180" hidden="1" customWidth="1"/>
    <col min="18" max="18" width="23.42578125" style="180" customWidth="1"/>
    <col min="19" max="257" width="9.140625" style="180"/>
    <col min="258" max="258" width="0.140625" style="180" customWidth="1"/>
    <col min="259" max="259" width="9.140625" style="180"/>
    <col min="260" max="260" width="10.7109375" style="180" bestFit="1" customWidth="1"/>
    <col min="261" max="261" width="9.140625" style="180"/>
    <col min="262" max="262" width="31" style="180" customWidth="1"/>
    <col min="263" max="263" width="17.5703125" style="180" bestFit="1" customWidth="1"/>
    <col min="264" max="264" width="19.7109375" style="180" bestFit="1" customWidth="1"/>
    <col min="265" max="268" width="0" style="180" hidden="1" customWidth="1"/>
    <col min="269" max="269" width="21.140625" style="180" bestFit="1" customWidth="1"/>
    <col min="270" max="270" width="4.28515625" style="180" bestFit="1" customWidth="1"/>
    <col min="271" max="271" width="92.7109375" style="180" customWidth="1"/>
    <col min="272" max="272" width="0" style="180" hidden="1" customWidth="1"/>
    <col min="273" max="273" width="20.5703125" style="180" customWidth="1"/>
    <col min="274" max="513" width="9.140625" style="180"/>
    <col min="514" max="514" width="0.140625" style="180" customWidth="1"/>
    <col min="515" max="515" width="9.140625" style="180"/>
    <col min="516" max="516" width="10.7109375" style="180" bestFit="1" customWidth="1"/>
    <col min="517" max="517" width="9.140625" style="180"/>
    <col min="518" max="518" width="31" style="180" customWidth="1"/>
    <col min="519" max="519" width="17.5703125" style="180" bestFit="1" customWidth="1"/>
    <col min="520" max="520" width="19.7109375" style="180" bestFit="1" customWidth="1"/>
    <col min="521" max="524" width="0" style="180" hidden="1" customWidth="1"/>
    <col min="525" max="525" width="21.140625" style="180" bestFit="1" customWidth="1"/>
    <col min="526" max="526" width="4.28515625" style="180" bestFit="1" customWidth="1"/>
    <col min="527" max="527" width="92.7109375" style="180" customWidth="1"/>
    <col min="528" max="528" width="0" style="180" hidden="1" customWidth="1"/>
    <col min="529" max="529" width="20.5703125" style="180" customWidth="1"/>
    <col min="530" max="769" width="9.140625" style="180"/>
    <col min="770" max="770" width="0.140625" style="180" customWidth="1"/>
    <col min="771" max="771" width="9.140625" style="180"/>
    <col min="772" max="772" width="10.7109375" style="180" bestFit="1" customWidth="1"/>
    <col min="773" max="773" width="9.140625" style="180"/>
    <col min="774" max="774" width="31" style="180" customWidth="1"/>
    <col min="775" max="775" width="17.5703125" style="180" bestFit="1" customWidth="1"/>
    <col min="776" max="776" width="19.7109375" style="180" bestFit="1" customWidth="1"/>
    <col min="777" max="780" width="0" style="180" hidden="1" customWidth="1"/>
    <col min="781" max="781" width="21.140625" style="180" bestFit="1" customWidth="1"/>
    <col min="782" max="782" width="4.28515625" style="180" bestFit="1" customWidth="1"/>
    <col min="783" max="783" width="92.7109375" style="180" customWidth="1"/>
    <col min="784" max="784" width="0" style="180" hidden="1" customWidth="1"/>
    <col min="785" max="785" width="20.5703125" style="180" customWidth="1"/>
    <col min="786" max="1025" width="9.140625" style="180"/>
    <col min="1026" max="1026" width="0.140625" style="180" customWidth="1"/>
    <col min="1027" max="1027" width="9.140625" style="180"/>
    <col min="1028" max="1028" width="10.7109375" style="180" bestFit="1" customWidth="1"/>
    <col min="1029" max="1029" width="9.140625" style="180"/>
    <col min="1030" max="1030" width="31" style="180" customWidth="1"/>
    <col min="1031" max="1031" width="17.5703125" style="180" bestFit="1" customWidth="1"/>
    <col min="1032" max="1032" width="19.7109375" style="180" bestFit="1" customWidth="1"/>
    <col min="1033" max="1036" width="0" style="180" hidden="1" customWidth="1"/>
    <col min="1037" max="1037" width="21.140625" style="180" bestFit="1" customWidth="1"/>
    <col min="1038" max="1038" width="4.28515625" style="180" bestFit="1" customWidth="1"/>
    <col min="1039" max="1039" width="92.7109375" style="180" customWidth="1"/>
    <col min="1040" max="1040" width="0" style="180" hidden="1" customWidth="1"/>
    <col min="1041" max="1041" width="20.5703125" style="180" customWidth="1"/>
    <col min="1042" max="1281" width="9.140625" style="180"/>
    <col min="1282" max="1282" width="0.140625" style="180" customWidth="1"/>
    <col min="1283" max="1283" width="9.140625" style="180"/>
    <col min="1284" max="1284" width="10.7109375" style="180" bestFit="1" customWidth="1"/>
    <col min="1285" max="1285" width="9.140625" style="180"/>
    <col min="1286" max="1286" width="31" style="180" customWidth="1"/>
    <col min="1287" max="1287" width="17.5703125" style="180" bestFit="1" customWidth="1"/>
    <col min="1288" max="1288" width="19.7109375" style="180" bestFit="1" customWidth="1"/>
    <col min="1289" max="1292" width="0" style="180" hidden="1" customWidth="1"/>
    <col min="1293" max="1293" width="21.140625" style="180" bestFit="1" customWidth="1"/>
    <col min="1294" max="1294" width="4.28515625" style="180" bestFit="1" customWidth="1"/>
    <col min="1295" max="1295" width="92.7109375" style="180" customWidth="1"/>
    <col min="1296" max="1296" width="0" style="180" hidden="1" customWidth="1"/>
    <col min="1297" max="1297" width="20.5703125" style="180" customWidth="1"/>
    <col min="1298" max="1537" width="9.140625" style="180"/>
    <col min="1538" max="1538" width="0.140625" style="180" customWidth="1"/>
    <col min="1539" max="1539" width="9.140625" style="180"/>
    <col min="1540" max="1540" width="10.7109375" style="180" bestFit="1" customWidth="1"/>
    <col min="1541" max="1541" width="9.140625" style="180"/>
    <col min="1542" max="1542" width="31" style="180" customWidth="1"/>
    <col min="1543" max="1543" width="17.5703125" style="180" bestFit="1" customWidth="1"/>
    <col min="1544" max="1544" width="19.7109375" style="180" bestFit="1" customWidth="1"/>
    <col min="1545" max="1548" width="0" style="180" hidden="1" customWidth="1"/>
    <col min="1549" max="1549" width="21.140625" style="180" bestFit="1" customWidth="1"/>
    <col min="1550" max="1550" width="4.28515625" style="180" bestFit="1" customWidth="1"/>
    <col min="1551" max="1551" width="92.7109375" style="180" customWidth="1"/>
    <col min="1552" max="1552" width="0" style="180" hidden="1" customWidth="1"/>
    <col min="1553" max="1553" width="20.5703125" style="180" customWidth="1"/>
    <col min="1554" max="1793" width="9.140625" style="180"/>
    <col min="1794" max="1794" width="0.140625" style="180" customWidth="1"/>
    <col min="1795" max="1795" width="9.140625" style="180"/>
    <col min="1796" max="1796" width="10.7109375" style="180" bestFit="1" customWidth="1"/>
    <col min="1797" max="1797" width="9.140625" style="180"/>
    <col min="1798" max="1798" width="31" style="180" customWidth="1"/>
    <col min="1799" max="1799" width="17.5703125" style="180" bestFit="1" customWidth="1"/>
    <col min="1800" max="1800" width="19.7109375" style="180" bestFit="1" customWidth="1"/>
    <col min="1801" max="1804" width="0" style="180" hidden="1" customWidth="1"/>
    <col min="1805" max="1805" width="21.140625" style="180" bestFit="1" customWidth="1"/>
    <col min="1806" max="1806" width="4.28515625" style="180" bestFit="1" customWidth="1"/>
    <col min="1807" max="1807" width="92.7109375" style="180" customWidth="1"/>
    <col min="1808" max="1808" width="0" style="180" hidden="1" customWidth="1"/>
    <col min="1809" max="1809" width="20.5703125" style="180" customWidth="1"/>
    <col min="1810" max="2049" width="9.140625" style="180"/>
    <col min="2050" max="2050" width="0.140625" style="180" customWidth="1"/>
    <col min="2051" max="2051" width="9.140625" style="180"/>
    <col min="2052" max="2052" width="10.7109375" style="180" bestFit="1" customWidth="1"/>
    <col min="2053" max="2053" width="9.140625" style="180"/>
    <col min="2054" max="2054" width="31" style="180" customWidth="1"/>
    <col min="2055" max="2055" width="17.5703125" style="180" bestFit="1" customWidth="1"/>
    <col min="2056" max="2056" width="19.7109375" style="180" bestFit="1" customWidth="1"/>
    <col min="2057" max="2060" width="0" style="180" hidden="1" customWidth="1"/>
    <col min="2061" max="2061" width="21.140625" style="180" bestFit="1" customWidth="1"/>
    <col min="2062" max="2062" width="4.28515625" style="180" bestFit="1" customWidth="1"/>
    <col min="2063" max="2063" width="92.7109375" style="180" customWidth="1"/>
    <col min="2064" max="2064" width="0" style="180" hidden="1" customWidth="1"/>
    <col min="2065" max="2065" width="20.5703125" style="180" customWidth="1"/>
    <col min="2066" max="2305" width="9.140625" style="180"/>
    <col min="2306" max="2306" width="0.140625" style="180" customWidth="1"/>
    <col min="2307" max="2307" width="9.140625" style="180"/>
    <col min="2308" max="2308" width="10.7109375" style="180" bestFit="1" customWidth="1"/>
    <col min="2309" max="2309" width="9.140625" style="180"/>
    <col min="2310" max="2310" width="31" style="180" customWidth="1"/>
    <col min="2311" max="2311" width="17.5703125" style="180" bestFit="1" customWidth="1"/>
    <col min="2312" max="2312" width="19.7109375" style="180" bestFit="1" customWidth="1"/>
    <col min="2313" max="2316" width="0" style="180" hidden="1" customWidth="1"/>
    <col min="2317" max="2317" width="21.140625" style="180" bestFit="1" customWidth="1"/>
    <col min="2318" max="2318" width="4.28515625" style="180" bestFit="1" customWidth="1"/>
    <col min="2319" max="2319" width="92.7109375" style="180" customWidth="1"/>
    <col min="2320" max="2320" width="0" style="180" hidden="1" customWidth="1"/>
    <col min="2321" max="2321" width="20.5703125" style="180" customWidth="1"/>
    <col min="2322" max="2561" width="9.140625" style="180"/>
    <col min="2562" max="2562" width="0.140625" style="180" customWidth="1"/>
    <col min="2563" max="2563" width="9.140625" style="180"/>
    <col min="2564" max="2564" width="10.7109375" style="180" bestFit="1" customWidth="1"/>
    <col min="2565" max="2565" width="9.140625" style="180"/>
    <col min="2566" max="2566" width="31" style="180" customWidth="1"/>
    <col min="2567" max="2567" width="17.5703125" style="180" bestFit="1" customWidth="1"/>
    <col min="2568" max="2568" width="19.7109375" style="180" bestFit="1" customWidth="1"/>
    <col min="2569" max="2572" width="0" style="180" hidden="1" customWidth="1"/>
    <col min="2573" max="2573" width="21.140625" style="180" bestFit="1" customWidth="1"/>
    <col min="2574" max="2574" width="4.28515625" style="180" bestFit="1" customWidth="1"/>
    <col min="2575" max="2575" width="92.7109375" style="180" customWidth="1"/>
    <col min="2576" max="2576" width="0" style="180" hidden="1" customWidth="1"/>
    <col min="2577" max="2577" width="20.5703125" style="180" customWidth="1"/>
    <col min="2578" max="2817" width="9.140625" style="180"/>
    <col min="2818" max="2818" width="0.140625" style="180" customWidth="1"/>
    <col min="2819" max="2819" width="9.140625" style="180"/>
    <col min="2820" max="2820" width="10.7109375" style="180" bestFit="1" customWidth="1"/>
    <col min="2821" max="2821" width="9.140625" style="180"/>
    <col min="2822" max="2822" width="31" style="180" customWidth="1"/>
    <col min="2823" max="2823" width="17.5703125" style="180" bestFit="1" customWidth="1"/>
    <col min="2824" max="2824" width="19.7109375" style="180" bestFit="1" customWidth="1"/>
    <col min="2825" max="2828" width="0" style="180" hidden="1" customWidth="1"/>
    <col min="2829" max="2829" width="21.140625" style="180" bestFit="1" customWidth="1"/>
    <col min="2830" max="2830" width="4.28515625" style="180" bestFit="1" customWidth="1"/>
    <col min="2831" max="2831" width="92.7109375" style="180" customWidth="1"/>
    <col min="2832" max="2832" width="0" style="180" hidden="1" customWidth="1"/>
    <col min="2833" max="2833" width="20.5703125" style="180" customWidth="1"/>
    <col min="2834" max="3073" width="9.140625" style="180"/>
    <col min="3074" max="3074" width="0.140625" style="180" customWidth="1"/>
    <col min="3075" max="3075" width="9.140625" style="180"/>
    <col min="3076" max="3076" width="10.7109375" style="180" bestFit="1" customWidth="1"/>
    <col min="3077" max="3077" width="9.140625" style="180"/>
    <col min="3078" max="3078" width="31" style="180" customWidth="1"/>
    <col min="3079" max="3079" width="17.5703125" style="180" bestFit="1" customWidth="1"/>
    <col min="3080" max="3080" width="19.7109375" style="180" bestFit="1" customWidth="1"/>
    <col min="3081" max="3084" width="0" style="180" hidden="1" customWidth="1"/>
    <col min="3085" max="3085" width="21.140625" style="180" bestFit="1" customWidth="1"/>
    <col min="3086" max="3086" width="4.28515625" style="180" bestFit="1" customWidth="1"/>
    <col min="3087" max="3087" width="92.7109375" style="180" customWidth="1"/>
    <col min="3088" max="3088" width="0" style="180" hidden="1" customWidth="1"/>
    <col min="3089" max="3089" width="20.5703125" style="180" customWidth="1"/>
    <col min="3090" max="3329" width="9.140625" style="180"/>
    <col min="3330" max="3330" width="0.140625" style="180" customWidth="1"/>
    <col min="3331" max="3331" width="9.140625" style="180"/>
    <col min="3332" max="3332" width="10.7109375" style="180" bestFit="1" customWidth="1"/>
    <col min="3333" max="3333" width="9.140625" style="180"/>
    <col min="3334" max="3334" width="31" style="180" customWidth="1"/>
    <col min="3335" max="3335" width="17.5703125" style="180" bestFit="1" customWidth="1"/>
    <col min="3336" max="3336" width="19.7109375" style="180" bestFit="1" customWidth="1"/>
    <col min="3337" max="3340" width="0" style="180" hidden="1" customWidth="1"/>
    <col min="3341" max="3341" width="21.140625" style="180" bestFit="1" customWidth="1"/>
    <col min="3342" max="3342" width="4.28515625" style="180" bestFit="1" customWidth="1"/>
    <col min="3343" max="3343" width="92.7109375" style="180" customWidth="1"/>
    <col min="3344" max="3344" width="0" style="180" hidden="1" customWidth="1"/>
    <col min="3345" max="3345" width="20.5703125" style="180" customWidth="1"/>
    <col min="3346" max="3585" width="9.140625" style="180"/>
    <col min="3586" max="3586" width="0.140625" style="180" customWidth="1"/>
    <col min="3587" max="3587" width="9.140625" style="180"/>
    <col min="3588" max="3588" width="10.7109375" style="180" bestFit="1" customWidth="1"/>
    <col min="3589" max="3589" width="9.140625" style="180"/>
    <col min="3590" max="3590" width="31" style="180" customWidth="1"/>
    <col min="3591" max="3591" width="17.5703125" style="180" bestFit="1" customWidth="1"/>
    <col min="3592" max="3592" width="19.7109375" style="180" bestFit="1" customWidth="1"/>
    <col min="3593" max="3596" width="0" style="180" hidden="1" customWidth="1"/>
    <col min="3597" max="3597" width="21.140625" style="180" bestFit="1" customWidth="1"/>
    <col min="3598" max="3598" width="4.28515625" style="180" bestFit="1" customWidth="1"/>
    <col min="3599" max="3599" width="92.7109375" style="180" customWidth="1"/>
    <col min="3600" max="3600" width="0" style="180" hidden="1" customWidth="1"/>
    <col min="3601" max="3601" width="20.5703125" style="180" customWidth="1"/>
    <col min="3602" max="3841" width="9.140625" style="180"/>
    <col min="3842" max="3842" width="0.140625" style="180" customWidth="1"/>
    <col min="3843" max="3843" width="9.140625" style="180"/>
    <col min="3844" max="3844" width="10.7109375" style="180" bestFit="1" customWidth="1"/>
    <col min="3845" max="3845" width="9.140625" style="180"/>
    <col min="3846" max="3846" width="31" style="180" customWidth="1"/>
    <col min="3847" max="3847" width="17.5703125" style="180" bestFit="1" customWidth="1"/>
    <col min="3848" max="3848" width="19.7109375" style="180" bestFit="1" customWidth="1"/>
    <col min="3849" max="3852" width="0" style="180" hidden="1" customWidth="1"/>
    <col min="3853" max="3853" width="21.140625" style="180" bestFit="1" customWidth="1"/>
    <col min="3854" max="3854" width="4.28515625" style="180" bestFit="1" customWidth="1"/>
    <col min="3855" max="3855" width="92.7109375" style="180" customWidth="1"/>
    <col min="3856" max="3856" width="0" style="180" hidden="1" customWidth="1"/>
    <col min="3857" max="3857" width="20.5703125" style="180" customWidth="1"/>
    <col min="3858" max="4097" width="9.140625" style="180"/>
    <col min="4098" max="4098" width="0.140625" style="180" customWidth="1"/>
    <col min="4099" max="4099" width="9.140625" style="180"/>
    <col min="4100" max="4100" width="10.7109375" style="180" bestFit="1" customWidth="1"/>
    <col min="4101" max="4101" width="9.140625" style="180"/>
    <col min="4102" max="4102" width="31" style="180" customWidth="1"/>
    <col min="4103" max="4103" width="17.5703125" style="180" bestFit="1" customWidth="1"/>
    <col min="4104" max="4104" width="19.7109375" style="180" bestFit="1" customWidth="1"/>
    <col min="4105" max="4108" width="0" style="180" hidden="1" customWidth="1"/>
    <col min="4109" max="4109" width="21.140625" style="180" bestFit="1" customWidth="1"/>
    <col min="4110" max="4110" width="4.28515625" style="180" bestFit="1" customWidth="1"/>
    <col min="4111" max="4111" width="92.7109375" style="180" customWidth="1"/>
    <col min="4112" max="4112" width="0" style="180" hidden="1" customWidth="1"/>
    <col min="4113" max="4113" width="20.5703125" style="180" customWidth="1"/>
    <col min="4114" max="4353" width="9.140625" style="180"/>
    <col min="4354" max="4354" width="0.140625" style="180" customWidth="1"/>
    <col min="4355" max="4355" width="9.140625" style="180"/>
    <col min="4356" max="4356" width="10.7109375" style="180" bestFit="1" customWidth="1"/>
    <col min="4357" max="4357" width="9.140625" style="180"/>
    <col min="4358" max="4358" width="31" style="180" customWidth="1"/>
    <col min="4359" max="4359" width="17.5703125" style="180" bestFit="1" customWidth="1"/>
    <col min="4360" max="4360" width="19.7109375" style="180" bestFit="1" customWidth="1"/>
    <col min="4361" max="4364" width="0" style="180" hidden="1" customWidth="1"/>
    <col min="4365" max="4365" width="21.140625" style="180" bestFit="1" customWidth="1"/>
    <col min="4366" max="4366" width="4.28515625" style="180" bestFit="1" customWidth="1"/>
    <col min="4367" max="4367" width="92.7109375" style="180" customWidth="1"/>
    <col min="4368" max="4368" width="0" style="180" hidden="1" customWidth="1"/>
    <col min="4369" max="4369" width="20.5703125" style="180" customWidth="1"/>
    <col min="4370" max="4609" width="9.140625" style="180"/>
    <col min="4610" max="4610" width="0.140625" style="180" customWidth="1"/>
    <col min="4611" max="4611" width="9.140625" style="180"/>
    <col min="4612" max="4612" width="10.7109375" style="180" bestFit="1" customWidth="1"/>
    <col min="4613" max="4613" width="9.140625" style="180"/>
    <col min="4614" max="4614" width="31" style="180" customWidth="1"/>
    <col min="4615" max="4615" width="17.5703125" style="180" bestFit="1" customWidth="1"/>
    <col min="4616" max="4616" width="19.7109375" style="180" bestFit="1" customWidth="1"/>
    <col min="4617" max="4620" width="0" style="180" hidden="1" customWidth="1"/>
    <col min="4621" max="4621" width="21.140625" style="180" bestFit="1" customWidth="1"/>
    <col min="4622" max="4622" width="4.28515625" style="180" bestFit="1" customWidth="1"/>
    <col min="4623" max="4623" width="92.7109375" style="180" customWidth="1"/>
    <col min="4624" max="4624" width="0" style="180" hidden="1" customWidth="1"/>
    <col min="4625" max="4625" width="20.5703125" style="180" customWidth="1"/>
    <col min="4626" max="4865" width="9.140625" style="180"/>
    <col min="4866" max="4866" width="0.140625" style="180" customWidth="1"/>
    <col min="4867" max="4867" width="9.140625" style="180"/>
    <col min="4868" max="4868" width="10.7109375" style="180" bestFit="1" customWidth="1"/>
    <col min="4869" max="4869" width="9.140625" style="180"/>
    <col min="4870" max="4870" width="31" style="180" customWidth="1"/>
    <col min="4871" max="4871" width="17.5703125" style="180" bestFit="1" customWidth="1"/>
    <col min="4872" max="4872" width="19.7109375" style="180" bestFit="1" customWidth="1"/>
    <col min="4873" max="4876" width="0" style="180" hidden="1" customWidth="1"/>
    <col min="4877" max="4877" width="21.140625" style="180" bestFit="1" customWidth="1"/>
    <col min="4878" max="4878" width="4.28515625" style="180" bestFit="1" customWidth="1"/>
    <col min="4879" max="4879" width="92.7109375" style="180" customWidth="1"/>
    <col min="4880" max="4880" width="0" style="180" hidden="1" customWidth="1"/>
    <col min="4881" max="4881" width="20.5703125" style="180" customWidth="1"/>
    <col min="4882" max="5121" width="9.140625" style="180"/>
    <col min="5122" max="5122" width="0.140625" style="180" customWidth="1"/>
    <col min="5123" max="5123" width="9.140625" style="180"/>
    <col min="5124" max="5124" width="10.7109375" style="180" bestFit="1" customWidth="1"/>
    <col min="5125" max="5125" width="9.140625" style="180"/>
    <col min="5126" max="5126" width="31" style="180" customWidth="1"/>
    <col min="5127" max="5127" width="17.5703125" style="180" bestFit="1" customWidth="1"/>
    <col min="5128" max="5128" width="19.7109375" style="180" bestFit="1" customWidth="1"/>
    <col min="5129" max="5132" width="0" style="180" hidden="1" customWidth="1"/>
    <col min="5133" max="5133" width="21.140625" style="180" bestFit="1" customWidth="1"/>
    <col min="5134" max="5134" width="4.28515625" style="180" bestFit="1" customWidth="1"/>
    <col min="5135" max="5135" width="92.7109375" style="180" customWidth="1"/>
    <col min="5136" max="5136" width="0" style="180" hidden="1" customWidth="1"/>
    <col min="5137" max="5137" width="20.5703125" style="180" customWidth="1"/>
    <col min="5138" max="5377" width="9.140625" style="180"/>
    <col min="5378" max="5378" width="0.140625" style="180" customWidth="1"/>
    <col min="5379" max="5379" width="9.140625" style="180"/>
    <col min="5380" max="5380" width="10.7109375" style="180" bestFit="1" customWidth="1"/>
    <col min="5381" max="5381" width="9.140625" style="180"/>
    <col min="5382" max="5382" width="31" style="180" customWidth="1"/>
    <col min="5383" max="5383" width="17.5703125" style="180" bestFit="1" customWidth="1"/>
    <col min="5384" max="5384" width="19.7109375" style="180" bestFit="1" customWidth="1"/>
    <col min="5385" max="5388" width="0" style="180" hidden="1" customWidth="1"/>
    <col min="5389" max="5389" width="21.140625" style="180" bestFit="1" customWidth="1"/>
    <col min="5390" max="5390" width="4.28515625" style="180" bestFit="1" customWidth="1"/>
    <col min="5391" max="5391" width="92.7109375" style="180" customWidth="1"/>
    <col min="5392" max="5392" width="0" style="180" hidden="1" customWidth="1"/>
    <col min="5393" max="5393" width="20.5703125" style="180" customWidth="1"/>
    <col min="5394" max="5633" width="9.140625" style="180"/>
    <col min="5634" max="5634" width="0.140625" style="180" customWidth="1"/>
    <col min="5635" max="5635" width="9.140625" style="180"/>
    <col min="5636" max="5636" width="10.7109375" style="180" bestFit="1" customWidth="1"/>
    <col min="5637" max="5637" width="9.140625" style="180"/>
    <col min="5638" max="5638" width="31" style="180" customWidth="1"/>
    <col min="5639" max="5639" width="17.5703125" style="180" bestFit="1" customWidth="1"/>
    <col min="5640" max="5640" width="19.7109375" style="180" bestFit="1" customWidth="1"/>
    <col min="5641" max="5644" width="0" style="180" hidden="1" customWidth="1"/>
    <col min="5645" max="5645" width="21.140625" style="180" bestFit="1" customWidth="1"/>
    <col min="5646" max="5646" width="4.28515625" style="180" bestFit="1" customWidth="1"/>
    <col min="5647" max="5647" width="92.7109375" style="180" customWidth="1"/>
    <col min="5648" max="5648" width="0" style="180" hidden="1" customWidth="1"/>
    <col min="5649" max="5649" width="20.5703125" style="180" customWidth="1"/>
    <col min="5650" max="5889" width="9.140625" style="180"/>
    <col min="5890" max="5890" width="0.140625" style="180" customWidth="1"/>
    <col min="5891" max="5891" width="9.140625" style="180"/>
    <col min="5892" max="5892" width="10.7109375" style="180" bestFit="1" customWidth="1"/>
    <col min="5893" max="5893" width="9.140625" style="180"/>
    <col min="5894" max="5894" width="31" style="180" customWidth="1"/>
    <col min="5895" max="5895" width="17.5703125" style="180" bestFit="1" customWidth="1"/>
    <col min="5896" max="5896" width="19.7109375" style="180" bestFit="1" customWidth="1"/>
    <col min="5897" max="5900" width="0" style="180" hidden="1" customWidth="1"/>
    <col min="5901" max="5901" width="21.140625" style="180" bestFit="1" customWidth="1"/>
    <col min="5902" max="5902" width="4.28515625" style="180" bestFit="1" customWidth="1"/>
    <col min="5903" max="5903" width="92.7109375" style="180" customWidth="1"/>
    <col min="5904" max="5904" width="0" style="180" hidden="1" customWidth="1"/>
    <col min="5905" max="5905" width="20.5703125" style="180" customWidth="1"/>
    <col min="5906" max="6145" width="9.140625" style="180"/>
    <col min="6146" max="6146" width="0.140625" style="180" customWidth="1"/>
    <col min="6147" max="6147" width="9.140625" style="180"/>
    <col min="6148" max="6148" width="10.7109375" style="180" bestFit="1" customWidth="1"/>
    <col min="6149" max="6149" width="9.140625" style="180"/>
    <col min="6150" max="6150" width="31" style="180" customWidth="1"/>
    <col min="6151" max="6151" width="17.5703125" style="180" bestFit="1" customWidth="1"/>
    <col min="6152" max="6152" width="19.7109375" style="180" bestFit="1" customWidth="1"/>
    <col min="6153" max="6156" width="0" style="180" hidden="1" customWidth="1"/>
    <col min="6157" max="6157" width="21.140625" style="180" bestFit="1" customWidth="1"/>
    <col min="6158" max="6158" width="4.28515625" style="180" bestFit="1" customWidth="1"/>
    <col min="6159" max="6159" width="92.7109375" style="180" customWidth="1"/>
    <col min="6160" max="6160" width="0" style="180" hidden="1" customWidth="1"/>
    <col min="6161" max="6161" width="20.5703125" style="180" customWidth="1"/>
    <col min="6162" max="6401" width="9.140625" style="180"/>
    <col min="6402" max="6402" width="0.140625" style="180" customWidth="1"/>
    <col min="6403" max="6403" width="9.140625" style="180"/>
    <col min="6404" max="6404" width="10.7109375" style="180" bestFit="1" customWidth="1"/>
    <col min="6405" max="6405" width="9.140625" style="180"/>
    <col min="6406" max="6406" width="31" style="180" customWidth="1"/>
    <col min="6407" max="6407" width="17.5703125" style="180" bestFit="1" customWidth="1"/>
    <col min="6408" max="6408" width="19.7109375" style="180" bestFit="1" customWidth="1"/>
    <col min="6409" max="6412" width="0" style="180" hidden="1" customWidth="1"/>
    <col min="6413" max="6413" width="21.140625" style="180" bestFit="1" customWidth="1"/>
    <col min="6414" max="6414" width="4.28515625" style="180" bestFit="1" customWidth="1"/>
    <col min="6415" max="6415" width="92.7109375" style="180" customWidth="1"/>
    <col min="6416" max="6416" width="0" style="180" hidden="1" customWidth="1"/>
    <col min="6417" max="6417" width="20.5703125" style="180" customWidth="1"/>
    <col min="6418" max="6657" width="9.140625" style="180"/>
    <col min="6658" max="6658" width="0.140625" style="180" customWidth="1"/>
    <col min="6659" max="6659" width="9.140625" style="180"/>
    <col min="6660" max="6660" width="10.7109375" style="180" bestFit="1" customWidth="1"/>
    <col min="6661" max="6661" width="9.140625" style="180"/>
    <col min="6662" max="6662" width="31" style="180" customWidth="1"/>
    <col min="6663" max="6663" width="17.5703125" style="180" bestFit="1" customWidth="1"/>
    <col min="6664" max="6664" width="19.7109375" style="180" bestFit="1" customWidth="1"/>
    <col min="6665" max="6668" width="0" style="180" hidden="1" customWidth="1"/>
    <col min="6669" max="6669" width="21.140625" style="180" bestFit="1" customWidth="1"/>
    <col min="6670" max="6670" width="4.28515625" style="180" bestFit="1" customWidth="1"/>
    <col min="6671" max="6671" width="92.7109375" style="180" customWidth="1"/>
    <col min="6672" max="6672" width="0" style="180" hidden="1" customWidth="1"/>
    <col min="6673" max="6673" width="20.5703125" style="180" customWidth="1"/>
    <col min="6674" max="6913" width="9.140625" style="180"/>
    <col min="6914" max="6914" width="0.140625" style="180" customWidth="1"/>
    <col min="6915" max="6915" width="9.140625" style="180"/>
    <col min="6916" max="6916" width="10.7109375" style="180" bestFit="1" customWidth="1"/>
    <col min="6917" max="6917" width="9.140625" style="180"/>
    <col min="6918" max="6918" width="31" style="180" customWidth="1"/>
    <col min="6919" max="6919" width="17.5703125" style="180" bestFit="1" customWidth="1"/>
    <col min="6920" max="6920" width="19.7109375" style="180" bestFit="1" customWidth="1"/>
    <col min="6921" max="6924" width="0" style="180" hidden="1" customWidth="1"/>
    <col min="6925" max="6925" width="21.140625" style="180" bestFit="1" customWidth="1"/>
    <col min="6926" max="6926" width="4.28515625" style="180" bestFit="1" customWidth="1"/>
    <col min="6927" max="6927" width="92.7109375" style="180" customWidth="1"/>
    <col min="6928" max="6928" width="0" style="180" hidden="1" customWidth="1"/>
    <col min="6929" max="6929" width="20.5703125" style="180" customWidth="1"/>
    <col min="6930" max="7169" width="9.140625" style="180"/>
    <col min="7170" max="7170" width="0.140625" style="180" customWidth="1"/>
    <col min="7171" max="7171" width="9.140625" style="180"/>
    <col min="7172" max="7172" width="10.7109375" style="180" bestFit="1" customWidth="1"/>
    <col min="7173" max="7173" width="9.140625" style="180"/>
    <col min="7174" max="7174" width="31" style="180" customWidth="1"/>
    <col min="7175" max="7175" width="17.5703125" style="180" bestFit="1" customWidth="1"/>
    <col min="7176" max="7176" width="19.7109375" style="180" bestFit="1" customWidth="1"/>
    <col min="7177" max="7180" width="0" style="180" hidden="1" customWidth="1"/>
    <col min="7181" max="7181" width="21.140625" style="180" bestFit="1" customWidth="1"/>
    <col min="7182" max="7182" width="4.28515625" style="180" bestFit="1" customWidth="1"/>
    <col min="7183" max="7183" width="92.7109375" style="180" customWidth="1"/>
    <col min="7184" max="7184" width="0" style="180" hidden="1" customWidth="1"/>
    <col min="7185" max="7185" width="20.5703125" style="180" customWidth="1"/>
    <col min="7186" max="7425" width="9.140625" style="180"/>
    <col min="7426" max="7426" width="0.140625" style="180" customWidth="1"/>
    <col min="7427" max="7427" width="9.140625" style="180"/>
    <col min="7428" max="7428" width="10.7109375" style="180" bestFit="1" customWidth="1"/>
    <col min="7429" max="7429" width="9.140625" style="180"/>
    <col min="7430" max="7430" width="31" style="180" customWidth="1"/>
    <col min="7431" max="7431" width="17.5703125" style="180" bestFit="1" customWidth="1"/>
    <col min="7432" max="7432" width="19.7109375" style="180" bestFit="1" customWidth="1"/>
    <col min="7433" max="7436" width="0" style="180" hidden="1" customWidth="1"/>
    <col min="7437" max="7437" width="21.140625" style="180" bestFit="1" customWidth="1"/>
    <col min="7438" max="7438" width="4.28515625" style="180" bestFit="1" customWidth="1"/>
    <col min="7439" max="7439" width="92.7109375" style="180" customWidth="1"/>
    <col min="7440" max="7440" width="0" style="180" hidden="1" customWidth="1"/>
    <col min="7441" max="7441" width="20.5703125" style="180" customWidth="1"/>
    <col min="7442" max="7681" width="9.140625" style="180"/>
    <col min="7682" max="7682" width="0.140625" style="180" customWidth="1"/>
    <col min="7683" max="7683" width="9.140625" style="180"/>
    <col min="7684" max="7684" width="10.7109375" style="180" bestFit="1" customWidth="1"/>
    <col min="7685" max="7685" width="9.140625" style="180"/>
    <col min="7686" max="7686" width="31" style="180" customWidth="1"/>
    <col min="7687" max="7687" width="17.5703125" style="180" bestFit="1" customWidth="1"/>
    <col min="7688" max="7688" width="19.7109375" style="180" bestFit="1" customWidth="1"/>
    <col min="7689" max="7692" width="0" style="180" hidden="1" customWidth="1"/>
    <col min="7693" max="7693" width="21.140625" style="180" bestFit="1" customWidth="1"/>
    <col min="7694" max="7694" width="4.28515625" style="180" bestFit="1" customWidth="1"/>
    <col min="7695" max="7695" width="92.7109375" style="180" customWidth="1"/>
    <col min="7696" max="7696" width="0" style="180" hidden="1" customWidth="1"/>
    <col min="7697" max="7697" width="20.5703125" style="180" customWidth="1"/>
    <col min="7698" max="7937" width="9.140625" style="180"/>
    <col min="7938" max="7938" width="0.140625" style="180" customWidth="1"/>
    <col min="7939" max="7939" width="9.140625" style="180"/>
    <col min="7940" max="7940" width="10.7109375" style="180" bestFit="1" customWidth="1"/>
    <col min="7941" max="7941" width="9.140625" style="180"/>
    <col min="7942" max="7942" width="31" style="180" customWidth="1"/>
    <col min="7943" max="7943" width="17.5703125" style="180" bestFit="1" customWidth="1"/>
    <col min="7944" max="7944" width="19.7109375" style="180" bestFit="1" customWidth="1"/>
    <col min="7945" max="7948" width="0" style="180" hidden="1" customWidth="1"/>
    <col min="7949" max="7949" width="21.140625" style="180" bestFit="1" customWidth="1"/>
    <col min="7950" max="7950" width="4.28515625" style="180" bestFit="1" customWidth="1"/>
    <col min="7951" max="7951" width="92.7109375" style="180" customWidth="1"/>
    <col min="7952" max="7952" width="0" style="180" hidden="1" customWidth="1"/>
    <col min="7953" max="7953" width="20.5703125" style="180" customWidth="1"/>
    <col min="7954" max="8193" width="9.140625" style="180"/>
    <col min="8194" max="8194" width="0.140625" style="180" customWidth="1"/>
    <col min="8195" max="8195" width="9.140625" style="180"/>
    <col min="8196" max="8196" width="10.7109375" style="180" bestFit="1" customWidth="1"/>
    <col min="8197" max="8197" width="9.140625" style="180"/>
    <col min="8198" max="8198" width="31" style="180" customWidth="1"/>
    <col min="8199" max="8199" width="17.5703125" style="180" bestFit="1" customWidth="1"/>
    <col min="8200" max="8200" width="19.7109375" style="180" bestFit="1" customWidth="1"/>
    <col min="8201" max="8204" width="0" style="180" hidden="1" customWidth="1"/>
    <col min="8205" max="8205" width="21.140625" style="180" bestFit="1" customWidth="1"/>
    <col min="8206" max="8206" width="4.28515625" style="180" bestFit="1" customWidth="1"/>
    <col min="8207" max="8207" width="92.7109375" style="180" customWidth="1"/>
    <col min="8208" max="8208" width="0" style="180" hidden="1" customWidth="1"/>
    <col min="8209" max="8209" width="20.5703125" style="180" customWidth="1"/>
    <col min="8210" max="8449" width="9.140625" style="180"/>
    <col min="8450" max="8450" width="0.140625" style="180" customWidth="1"/>
    <col min="8451" max="8451" width="9.140625" style="180"/>
    <col min="8452" max="8452" width="10.7109375" style="180" bestFit="1" customWidth="1"/>
    <col min="8453" max="8453" width="9.140625" style="180"/>
    <col min="8454" max="8454" width="31" style="180" customWidth="1"/>
    <col min="8455" max="8455" width="17.5703125" style="180" bestFit="1" customWidth="1"/>
    <col min="8456" max="8456" width="19.7109375" style="180" bestFit="1" customWidth="1"/>
    <col min="8457" max="8460" width="0" style="180" hidden="1" customWidth="1"/>
    <col min="8461" max="8461" width="21.140625" style="180" bestFit="1" customWidth="1"/>
    <col min="8462" max="8462" width="4.28515625" style="180" bestFit="1" customWidth="1"/>
    <col min="8463" max="8463" width="92.7109375" style="180" customWidth="1"/>
    <col min="8464" max="8464" width="0" style="180" hidden="1" customWidth="1"/>
    <col min="8465" max="8465" width="20.5703125" style="180" customWidth="1"/>
    <col min="8466" max="8705" width="9.140625" style="180"/>
    <col min="8706" max="8706" width="0.140625" style="180" customWidth="1"/>
    <col min="8707" max="8707" width="9.140625" style="180"/>
    <col min="8708" max="8708" width="10.7109375" style="180" bestFit="1" customWidth="1"/>
    <col min="8709" max="8709" width="9.140625" style="180"/>
    <col min="8710" max="8710" width="31" style="180" customWidth="1"/>
    <col min="8711" max="8711" width="17.5703125" style="180" bestFit="1" customWidth="1"/>
    <col min="8712" max="8712" width="19.7109375" style="180" bestFit="1" customWidth="1"/>
    <col min="8713" max="8716" width="0" style="180" hidden="1" customWidth="1"/>
    <col min="8717" max="8717" width="21.140625" style="180" bestFit="1" customWidth="1"/>
    <col min="8718" max="8718" width="4.28515625" style="180" bestFit="1" customWidth="1"/>
    <col min="8719" max="8719" width="92.7109375" style="180" customWidth="1"/>
    <col min="8720" max="8720" width="0" style="180" hidden="1" customWidth="1"/>
    <col min="8721" max="8721" width="20.5703125" style="180" customWidth="1"/>
    <col min="8722" max="8961" width="9.140625" style="180"/>
    <col min="8962" max="8962" width="0.140625" style="180" customWidth="1"/>
    <col min="8963" max="8963" width="9.140625" style="180"/>
    <col min="8964" max="8964" width="10.7109375" style="180" bestFit="1" customWidth="1"/>
    <col min="8965" max="8965" width="9.140625" style="180"/>
    <col min="8966" max="8966" width="31" style="180" customWidth="1"/>
    <col min="8967" max="8967" width="17.5703125" style="180" bestFit="1" customWidth="1"/>
    <col min="8968" max="8968" width="19.7109375" style="180" bestFit="1" customWidth="1"/>
    <col min="8969" max="8972" width="0" style="180" hidden="1" customWidth="1"/>
    <col min="8973" max="8973" width="21.140625" style="180" bestFit="1" customWidth="1"/>
    <col min="8974" max="8974" width="4.28515625" style="180" bestFit="1" customWidth="1"/>
    <col min="8975" max="8975" width="92.7109375" style="180" customWidth="1"/>
    <col min="8976" max="8976" width="0" style="180" hidden="1" customWidth="1"/>
    <col min="8977" max="8977" width="20.5703125" style="180" customWidth="1"/>
    <col min="8978" max="9217" width="9.140625" style="180"/>
    <col min="9218" max="9218" width="0.140625" style="180" customWidth="1"/>
    <col min="9219" max="9219" width="9.140625" style="180"/>
    <col min="9220" max="9220" width="10.7109375" style="180" bestFit="1" customWidth="1"/>
    <col min="9221" max="9221" width="9.140625" style="180"/>
    <col min="9222" max="9222" width="31" style="180" customWidth="1"/>
    <col min="9223" max="9223" width="17.5703125" style="180" bestFit="1" customWidth="1"/>
    <col min="9224" max="9224" width="19.7109375" style="180" bestFit="1" customWidth="1"/>
    <col min="9225" max="9228" width="0" style="180" hidden="1" customWidth="1"/>
    <col min="9229" max="9229" width="21.140625" style="180" bestFit="1" customWidth="1"/>
    <col min="9230" max="9230" width="4.28515625" style="180" bestFit="1" customWidth="1"/>
    <col min="9231" max="9231" width="92.7109375" style="180" customWidth="1"/>
    <col min="9232" max="9232" width="0" style="180" hidden="1" customWidth="1"/>
    <col min="9233" max="9233" width="20.5703125" style="180" customWidth="1"/>
    <col min="9234" max="9473" width="9.140625" style="180"/>
    <col min="9474" max="9474" width="0.140625" style="180" customWidth="1"/>
    <col min="9475" max="9475" width="9.140625" style="180"/>
    <col min="9476" max="9476" width="10.7109375" style="180" bestFit="1" customWidth="1"/>
    <col min="9477" max="9477" width="9.140625" style="180"/>
    <col min="9478" max="9478" width="31" style="180" customWidth="1"/>
    <col min="9479" max="9479" width="17.5703125" style="180" bestFit="1" customWidth="1"/>
    <col min="9480" max="9480" width="19.7109375" style="180" bestFit="1" customWidth="1"/>
    <col min="9481" max="9484" width="0" style="180" hidden="1" customWidth="1"/>
    <col min="9485" max="9485" width="21.140625" style="180" bestFit="1" customWidth="1"/>
    <col min="9486" max="9486" width="4.28515625" style="180" bestFit="1" customWidth="1"/>
    <col min="9487" max="9487" width="92.7109375" style="180" customWidth="1"/>
    <col min="9488" max="9488" width="0" style="180" hidden="1" customWidth="1"/>
    <col min="9489" max="9489" width="20.5703125" style="180" customWidth="1"/>
    <col min="9490" max="9729" width="9.140625" style="180"/>
    <col min="9730" max="9730" width="0.140625" style="180" customWidth="1"/>
    <col min="9731" max="9731" width="9.140625" style="180"/>
    <col min="9732" max="9732" width="10.7109375" style="180" bestFit="1" customWidth="1"/>
    <col min="9733" max="9733" width="9.140625" style="180"/>
    <col min="9734" max="9734" width="31" style="180" customWidth="1"/>
    <col min="9735" max="9735" width="17.5703125" style="180" bestFit="1" customWidth="1"/>
    <col min="9736" max="9736" width="19.7109375" style="180" bestFit="1" customWidth="1"/>
    <col min="9737" max="9740" width="0" style="180" hidden="1" customWidth="1"/>
    <col min="9741" max="9741" width="21.140625" style="180" bestFit="1" customWidth="1"/>
    <col min="9742" max="9742" width="4.28515625" style="180" bestFit="1" customWidth="1"/>
    <col min="9743" max="9743" width="92.7109375" style="180" customWidth="1"/>
    <col min="9744" max="9744" width="0" style="180" hidden="1" customWidth="1"/>
    <col min="9745" max="9745" width="20.5703125" style="180" customWidth="1"/>
    <col min="9746" max="9985" width="9.140625" style="180"/>
    <col min="9986" max="9986" width="0.140625" style="180" customWidth="1"/>
    <col min="9987" max="9987" width="9.140625" style="180"/>
    <col min="9988" max="9988" width="10.7109375" style="180" bestFit="1" customWidth="1"/>
    <col min="9989" max="9989" width="9.140625" style="180"/>
    <col min="9990" max="9990" width="31" style="180" customWidth="1"/>
    <col min="9991" max="9991" width="17.5703125" style="180" bestFit="1" customWidth="1"/>
    <col min="9992" max="9992" width="19.7109375" style="180" bestFit="1" customWidth="1"/>
    <col min="9993" max="9996" width="0" style="180" hidden="1" customWidth="1"/>
    <col min="9997" max="9997" width="21.140625" style="180" bestFit="1" customWidth="1"/>
    <col min="9998" max="9998" width="4.28515625" style="180" bestFit="1" customWidth="1"/>
    <col min="9999" max="9999" width="92.7109375" style="180" customWidth="1"/>
    <col min="10000" max="10000" width="0" style="180" hidden="1" customWidth="1"/>
    <col min="10001" max="10001" width="20.5703125" style="180" customWidth="1"/>
    <col min="10002" max="10241" width="9.140625" style="180"/>
    <col min="10242" max="10242" width="0.140625" style="180" customWidth="1"/>
    <col min="10243" max="10243" width="9.140625" style="180"/>
    <col min="10244" max="10244" width="10.7109375" style="180" bestFit="1" customWidth="1"/>
    <col min="10245" max="10245" width="9.140625" style="180"/>
    <col min="10246" max="10246" width="31" style="180" customWidth="1"/>
    <col min="10247" max="10247" width="17.5703125" style="180" bestFit="1" customWidth="1"/>
    <col min="10248" max="10248" width="19.7109375" style="180" bestFit="1" customWidth="1"/>
    <col min="10249" max="10252" width="0" style="180" hidden="1" customWidth="1"/>
    <col min="10253" max="10253" width="21.140625" style="180" bestFit="1" customWidth="1"/>
    <col min="10254" max="10254" width="4.28515625" style="180" bestFit="1" customWidth="1"/>
    <col min="10255" max="10255" width="92.7109375" style="180" customWidth="1"/>
    <col min="10256" max="10256" width="0" style="180" hidden="1" customWidth="1"/>
    <col min="10257" max="10257" width="20.5703125" style="180" customWidth="1"/>
    <col min="10258" max="10497" width="9.140625" style="180"/>
    <col min="10498" max="10498" width="0.140625" style="180" customWidth="1"/>
    <col min="10499" max="10499" width="9.140625" style="180"/>
    <col min="10500" max="10500" width="10.7109375" style="180" bestFit="1" customWidth="1"/>
    <col min="10501" max="10501" width="9.140625" style="180"/>
    <col min="10502" max="10502" width="31" style="180" customWidth="1"/>
    <col min="10503" max="10503" width="17.5703125" style="180" bestFit="1" customWidth="1"/>
    <col min="10504" max="10504" width="19.7109375" style="180" bestFit="1" customWidth="1"/>
    <col min="10505" max="10508" width="0" style="180" hidden="1" customWidth="1"/>
    <col min="10509" max="10509" width="21.140625" style="180" bestFit="1" customWidth="1"/>
    <col min="10510" max="10510" width="4.28515625" style="180" bestFit="1" customWidth="1"/>
    <col min="10511" max="10511" width="92.7109375" style="180" customWidth="1"/>
    <col min="10512" max="10512" width="0" style="180" hidden="1" customWidth="1"/>
    <col min="10513" max="10513" width="20.5703125" style="180" customWidth="1"/>
    <col min="10514" max="10753" width="9.140625" style="180"/>
    <col min="10754" max="10754" width="0.140625" style="180" customWidth="1"/>
    <col min="10755" max="10755" width="9.140625" style="180"/>
    <col min="10756" max="10756" width="10.7109375" style="180" bestFit="1" customWidth="1"/>
    <col min="10757" max="10757" width="9.140625" style="180"/>
    <col min="10758" max="10758" width="31" style="180" customWidth="1"/>
    <col min="10759" max="10759" width="17.5703125" style="180" bestFit="1" customWidth="1"/>
    <col min="10760" max="10760" width="19.7109375" style="180" bestFit="1" customWidth="1"/>
    <col min="10761" max="10764" width="0" style="180" hidden="1" customWidth="1"/>
    <col min="10765" max="10765" width="21.140625" style="180" bestFit="1" customWidth="1"/>
    <col min="10766" max="10766" width="4.28515625" style="180" bestFit="1" customWidth="1"/>
    <col min="10767" max="10767" width="92.7109375" style="180" customWidth="1"/>
    <col min="10768" max="10768" width="0" style="180" hidden="1" customWidth="1"/>
    <col min="10769" max="10769" width="20.5703125" style="180" customWidth="1"/>
    <col min="10770" max="11009" width="9.140625" style="180"/>
    <col min="11010" max="11010" width="0.140625" style="180" customWidth="1"/>
    <col min="11011" max="11011" width="9.140625" style="180"/>
    <col min="11012" max="11012" width="10.7109375" style="180" bestFit="1" customWidth="1"/>
    <col min="11013" max="11013" width="9.140625" style="180"/>
    <col min="11014" max="11014" width="31" style="180" customWidth="1"/>
    <col min="11015" max="11015" width="17.5703125" style="180" bestFit="1" customWidth="1"/>
    <col min="11016" max="11016" width="19.7109375" style="180" bestFit="1" customWidth="1"/>
    <col min="11017" max="11020" width="0" style="180" hidden="1" customWidth="1"/>
    <col min="11021" max="11021" width="21.140625" style="180" bestFit="1" customWidth="1"/>
    <col min="11022" max="11022" width="4.28515625" style="180" bestFit="1" customWidth="1"/>
    <col min="11023" max="11023" width="92.7109375" style="180" customWidth="1"/>
    <col min="11024" max="11024" width="0" style="180" hidden="1" customWidth="1"/>
    <col min="11025" max="11025" width="20.5703125" style="180" customWidth="1"/>
    <col min="11026" max="11265" width="9.140625" style="180"/>
    <col min="11266" max="11266" width="0.140625" style="180" customWidth="1"/>
    <col min="11267" max="11267" width="9.140625" style="180"/>
    <col min="11268" max="11268" width="10.7109375" style="180" bestFit="1" customWidth="1"/>
    <col min="11269" max="11269" width="9.140625" style="180"/>
    <col min="11270" max="11270" width="31" style="180" customWidth="1"/>
    <col min="11271" max="11271" width="17.5703125" style="180" bestFit="1" customWidth="1"/>
    <col min="11272" max="11272" width="19.7109375" style="180" bestFit="1" customWidth="1"/>
    <col min="11273" max="11276" width="0" style="180" hidden="1" customWidth="1"/>
    <col min="11277" max="11277" width="21.140625" style="180" bestFit="1" customWidth="1"/>
    <col min="11278" max="11278" width="4.28515625" style="180" bestFit="1" customWidth="1"/>
    <col min="11279" max="11279" width="92.7109375" style="180" customWidth="1"/>
    <col min="11280" max="11280" width="0" style="180" hidden="1" customWidth="1"/>
    <col min="11281" max="11281" width="20.5703125" style="180" customWidth="1"/>
    <col min="11282" max="11521" width="9.140625" style="180"/>
    <col min="11522" max="11522" width="0.140625" style="180" customWidth="1"/>
    <col min="11523" max="11523" width="9.140625" style="180"/>
    <col min="11524" max="11524" width="10.7109375" style="180" bestFit="1" customWidth="1"/>
    <col min="11525" max="11525" width="9.140625" style="180"/>
    <col min="11526" max="11526" width="31" style="180" customWidth="1"/>
    <col min="11527" max="11527" width="17.5703125" style="180" bestFit="1" customWidth="1"/>
    <col min="11528" max="11528" width="19.7109375" style="180" bestFit="1" customWidth="1"/>
    <col min="11529" max="11532" width="0" style="180" hidden="1" customWidth="1"/>
    <col min="11533" max="11533" width="21.140625" style="180" bestFit="1" customWidth="1"/>
    <col min="11534" max="11534" width="4.28515625" style="180" bestFit="1" customWidth="1"/>
    <col min="11535" max="11535" width="92.7109375" style="180" customWidth="1"/>
    <col min="11536" max="11536" width="0" style="180" hidden="1" customWidth="1"/>
    <col min="11537" max="11537" width="20.5703125" style="180" customWidth="1"/>
    <col min="11538" max="11777" width="9.140625" style="180"/>
    <col min="11778" max="11778" width="0.140625" style="180" customWidth="1"/>
    <col min="11779" max="11779" width="9.140625" style="180"/>
    <col min="11780" max="11780" width="10.7109375" style="180" bestFit="1" customWidth="1"/>
    <col min="11781" max="11781" width="9.140625" style="180"/>
    <col min="11782" max="11782" width="31" style="180" customWidth="1"/>
    <col min="11783" max="11783" width="17.5703125" style="180" bestFit="1" customWidth="1"/>
    <col min="11784" max="11784" width="19.7109375" style="180" bestFit="1" customWidth="1"/>
    <col min="11785" max="11788" width="0" style="180" hidden="1" customWidth="1"/>
    <col min="11789" max="11789" width="21.140625" style="180" bestFit="1" customWidth="1"/>
    <col min="11790" max="11790" width="4.28515625" style="180" bestFit="1" customWidth="1"/>
    <col min="11791" max="11791" width="92.7109375" style="180" customWidth="1"/>
    <col min="11792" max="11792" width="0" style="180" hidden="1" customWidth="1"/>
    <col min="11793" max="11793" width="20.5703125" style="180" customWidth="1"/>
    <col min="11794" max="12033" width="9.140625" style="180"/>
    <col min="12034" max="12034" width="0.140625" style="180" customWidth="1"/>
    <col min="12035" max="12035" width="9.140625" style="180"/>
    <col min="12036" max="12036" width="10.7109375" style="180" bestFit="1" customWidth="1"/>
    <col min="12037" max="12037" width="9.140625" style="180"/>
    <col min="12038" max="12038" width="31" style="180" customWidth="1"/>
    <col min="12039" max="12039" width="17.5703125" style="180" bestFit="1" customWidth="1"/>
    <col min="12040" max="12040" width="19.7109375" style="180" bestFit="1" customWidth="1"/>
    <col min="12041" max="12044" width="0" style="180" hidden="1" customWidth="1"/>
    <col min="12045" max="12045" width="21.140625" style="180" bestFit="1" customWidth="1"/>
    <col min="12046" max="12046" width="4.28515625" style="180" bestFit="1" customWidth="1"/>
    <col min="12047" max="12047" width="92.7109375" style="180" customWidth="1"/>
    <col min="12048" max="12048" width="0" style="180" hidden="1" customWidth="1"/>
    <col min="12049" max="12049" width="20.5703125" style="180" customWidth="1"/>
    <col min="12050" max="12289" width="9.140625" style="180"/>
    <col min="12290" max="12290" width="0.140625" style="180" customWidth="1"/>
    <col min="12291" max="12291" width="9.140625" style="180"/>
    <col min="12292" max="12292" width="10.7109375" style="180" bestFit="1" customWidth="1"/>
    <col min="12293" max="12293" width="9.140625" style="180"/>
    <col min="12294" max="12294" width="31" style="180" customWidth="1"/>
    <col min="12295" max="12295" width="17.5703125" style="180" bestFit="1" customWidth="1"/>
    <col min="12296" max="12296" width="19.7109375" style="180" bestFit="1" customWidth="1"/>
    <col min="12297" max="12300" width="0" style="180" hidden="1" customWidth="1"/>
    <col min="12301" max="12301" width="21.140625" style="180" bestFit="1" customWidth="1"/>
    <col min="12302" max="12302" width="4.28515625" style="180" bestFit="1" customWidth="1"/>
    <col min="12303" max="12303" width="92.7109375" style="180" customWidth="1"/>
    <col min="12304" max="12304" width="0" style="180" hidden="1" customWidth="1"/>
    <col min="12305" max="12305" width="20.5703125" style="180" customWidth="1"/>
    <col min="12306" max="12545" width="9.140625" style="180"/>
    <col min="12546" max="12546" width="0.140625" style="180" customWidth="1"/>
    <col min="12547" max="12547" width="9.140625" style="180"/>
    <col min="12548" max="12548" width="10.7109375" style="180" bestFit="1" customWidth="1"/>
    <col min="12549" max="12549" width="9.140625" style="180"/>
    <col min="12550" max="12550" width="31" style="180" customWidth="1"/>
    <col min="12551" max="12551" width="17.5703125" style="180" bestFit="1" customWidth="1"/>
    <col min="12552" max="12552" width="19.7109375" style="180" bestFit="1" customWidth="1"/>
    <col min="12553" max="12556" width="0" style="180" hidden="1" customWidth="1"/>
    <col min="12557" max="12557" width="21.140625" style="180" bestFit="1" customWidth="1"/>
    <col min="12558" max="12558" width="4.28515625" style="180" bestFit="1" customWidth="1"/>
    <col min="12559" max="12559" width="92.7109375" style="180" customWidth="1"/>
    <col min="12560" max="12560" width="0" style="180" hidden="1" customWidth="1"/>
    <col min="12561" max="12561" width="20.5703125" style="180" customWidth="1"/>
    <col min="12562" max="12801" width="9.140625" style="180"/>
    <col min="12802" max="12802" width="0.140625" style="180" customWidth="1"/>
    <col min="12803" max="12803" width="9.140625" style="180"/>
    <col min="12804" max="12804" width="10.7109375" style="180" bestFit="1" customWidth="1"/>
    <col min="12805" max="12805" width="9.140625" style="180"/>
    <col min="12806" max="12806" width="31" style="180" customWidth="1"/>
    <col min="12807" max="12807" width="17.5703125" style="180" bestFit="1" customWidth="1"/>
    <col min="12808" max="12808" width="19.7109375" style="180" bestFit="1" customWidth="1"/>
    <col min="12809" max="12812" width="0" style="180" hidden="1" customWidth="1"/>
    <col min="12813" max="12813" width="21.140625" style="180" bestFit="1" customWidth="1"/>
    <col min="12814" max="12814" width="4.28515625" style="180" bestFit="1" customWidth="1"/>
    <col min="12815" max="12815" width="92.7109375" style="180" customWidth="1"/>
    <col min="12816" max="12816" width="0" style="180" hidden="1" customWidth="1"/>
    <col min="12817" max="12817" width="20.5703125" style="180" customWidth="1"/>
    <col min="12818" max="13057" width="9.140625" style="180"/>
    <col min="13058" max="13058" width="0.140625" style="180" customWidth="1"/>
    <col min="13059" max="13059" width="9.140625" style="180"/>
    <col min="13060" max="13060" width="10.7109375" style="180" bestFit="1" customWidth="1"/>
    <col min="13061" max="13061" width="9.140625" style="180"/>
    <col min="13062" max="13062" width="31" style="180" customWidth="1"/>
    <col min="13063" max="13063" width="17.5703125" style="180" bestFit="1" customWidth="1"/>
    <col min="13064" max="13064" width="19.7109375" style="180" bestFit="1" customWidth="1"/>
    <col min="13065" max="13068" width="0" style="180" hidden="1" customWidth="1"/>
    <col min="13069" max="13069" width="21.140625" style="180" bestFit="1" customWidth="1"/>
    <col min="13070" max="13070" width="4.28515625" style="180" bestFit="1" customWidth="1"/>
    <col min="13071" max="13071" width="92.7109375" style="180" customWidth="1"/>
    <col min="13072" max="13072" width="0" style="180" hidden="1" customWidth="1"/>
    <col min="13073" max="13073" width="20.5703125" style="180" customWidth="1"/>
    <col min="13074" max="13313" width="9.140625" style="180"/>
    <col min="13314" max="13314" width="0.140625" style="180" customWidth="1"/>
    <col min="13315" max="13315" width="9.140625" style="180"/>
    <col min="13316" max="13316" width="10.7109375" style="180" bestFit="1" customWidth="1"/>
    <col min="13317" max="13317" width="9.140625" style="180"/>
    <col min="13318" max="13318" width="31" style="180" customWidth="1"/>
    <col min="13319" max="13319" width="17.5703125" style="180" bestFit="1" customWidth="1"/>
    <col min="13320" max="13320" width="19.7109375" style="180" bestFit="1" customWidth="1"/>
    <col min="13321" max="13324" width="0" style="180" hidden="1" customWidth="1"/>
    <col min="13325" max="13325" width="21.140625" style="180" bestFit="1" customWidth="1"/>
    <col min="13326" max="13326" width="4.28515625" style="180" bestFit="1" customWidth="1"/>
    <col min="13327" max="13327" width="92.7109375" style="180" customWidth="1"/>
    <col min="13328" max="13328" width="0" style="180" hidden="1" customWidth="1"/>
    <col min="13329" max="13329" width="20.5703125" style="180" customWidth="1"/>
    <col min="13330" max="13569" width="9.140625" style="180"/>
    <col min="13570" max="13570" width="0.140625" style="180" customWidth="1"/>
    <col min="13571" max="13571" width="9.140625" style="180"/>
    <col min="13572" max="13572" width="10.7109375" style="180" bestFit="1" customWidth="1"/>
    <col min="13573" max="13573" width="9.140625" style="180"/>
    <col min="13574" max="13574" width="31" style="180" customWidth="1"/>
    <col min="13575" max="13575" width="17.5703125" style="180" bestFit="1" customWidth="1"/>
    <col min="13576" max="13576" width="19.7109375" style="180" bestFit="1" customWidth="1"/>
    <col min="13577" max="13580" width="0" style="180" hidden="1" customWidth="1"/>
    <col min="13581" max="13581" width="21.140625" style="180" bestFit="1" customWidth="1"/>
    <col min="13582" max="13582" width="4.28515625" style="180" bestFit="1" customWidth="1"/>
    <col min="13583" max="13583" width="92.7109375" style="180" customWidth="1"/>
    <col min="13584" max="13584" width="0" style="180" hidden="1" customWidth="1"/>
    <col min="13585" max="13585" width="20.5703125" style="180" customWidth="1"/>
    <col min="13586" max="13825" width="9.140625" style="180"/>
    <col min="13826" max="13826" width="0.140625" style="180" customWidth="1"/>
    <col min="13827" max="13827" width="9.140625" style="180"/>
    <col min="13828" max="13828" width="10.7109375" style="180" bestFit="1" customWidth="1"/>
    <col min="13829" max="13829" width="9.140625" style="180"/>
    <col min="13830" max="13830" width="31" style="180" customWidth="1"/>
    <col min="13831" max="13831" width="17.5703125" style="180" bestFit="1" customWidth="1"/>
    <col min="13832" max="13832" width="19.7109375" style="180" bestFit="1" customWidth="1"/>
    <col min="13833" max="13836" width="0" style="180" hidden="1" customWidth="1"/>
    <col min="13837" max="13837" width="21.140625" style="180" bestFit="1" customWidth="1"/>
    <col min="13838" max="13838" width="4.28515625" style="180" bestFit="1" customWidth="1"/>
    <col min="13839" max="13839" width="92.7109375" style="180" customWidth="1"/>
    <col min="13840" max="13840" width="0" style="180" hidden="1" customWidth="1"/>
    <col min="13841" max="13841" width="20.5703125" style="180" customWidth="1"/>
    <col min="13842" max="14081" width="9.140625" style="180"/>
    <col min="14082" max="14082" width="0.140625" style="180" customWidth="1"/>
    <col min="14083" max="14083" width="9.140625" style="180"/>
    <col min="14084" max="14084" width="10.7109375" style="180" bestFit="1" customWidth="1"/>
    <col min="14085" max="14085" width="9.140625" style="180"/>
    <col min="14086" max="14086" width="31" style="180" customWidth="1"/>
    <col min="14087" max="14087" width="17.5703125" style="180" bestFit="1" customWidth="1"/>
    <col min="14088" max="14088" width="19.7109375" style="180" bestFit="1" customWidth="1"/>
    <col min="14089" max="14092" width="0" style="180" hidden="1" customWidth="1"/>
    <col min="14093" max="14093" width="21.140625" style="180" bestFit="1" customWidth="1"/>
    <col min="14094" max="14094" width="4.28515625" style="180" bestFit="1" customWidth="1"/>
    <col min="14095" max="14095" width="92.7109375" style="180" customWidth="1"/>
    <col min="14096" max="14096" width="0" style="180" hidden="1" customWidth="1"/>
    <col min="14097" max="14097" width="20.5703125" style="180" customWidth="1"/>
    <col min="14098" max="14337" width="9.140625" style="180"/>
    <col min="14338" max="14338" width="0.140625" style="180" customWidth="1"/>
    <col min="14339" max="14339" width="9.140625" style="180"/>
    <col min="14340" max="14340" width="10.7109375" style="180" bestFit="1" customWidth="1"/>
    <col min="14341" max="14341" width="9.140625" style="180"/>
    <col min="14342" max="14342" width="31" style="180" customWidth="1"/>
    <col min="14343" max="14343" width="17.5703125" style="180" bestFit="1" customWidth="1"/>
    <col min="14344" max="14344" width="19.7109375" style="180" bestFit="1" customWidth="1"/>
    <col min="14345" max="14348" width="0" style="180" hidden="1" customWidth="1"/>
    <col min="14349" max="14349" width="21.140625" style="180" bestFit="1" customWidth="1"/>
    <col min="14350" max="14350" width="4.28515625" style="180" bestFit="1" customWidth="1"/>
    <col min="14351" max="14351" width="92.7109375" style="180" customWidth="1"/>
    <col min="14352" max="14352" width="0" style="180" hidden="1" customWidth="1"/>
    <col min="14353" max="14353" width="20.5703125" style="180" customWidth="1"/>
    <col min="14354" max="14593" width="9.140625" style="180"/>
    <col min="14594" max="14594" width="0.140625" style="180" customWidth="1"/>
    <col min="14595" max="14595" width="9.140625" style="180"/>
    <col min="14596" max="14596" width="10.7109375" style="180" bestFit="1" customWidth="1"/>
    <col min="14597" max="14597" width="9.140625" style="180"/>
    <col min="14598" max="14598" width="31" style="180" customWidth="1"/>
    <col min="14599" max="14599" width="17.5703125" style="180" bestFit="1" customWidth="1"/>
    <col min="14600" max="14600" width="19.7109375" style="180" bestFit="1" customWidth="1"/>
    <col min="14601" max="14604" width="0" style="180" hidden="1" customWidth="1"/>
    <col min="14605" max="14605" width="21.140625" style="180" bestFit="1" customWidth="1"/>
    <col min="14606" max="14606" width="4.28515625" style="180" bestFit="1" customWidth="1"/>
    <col min="14607" max="14607" width="92.7109375" style="180" customWidth="1"/>
    <col min="14608" max="14608" width="0" style="180" hidden="1" customWidth="1"/>
    <col min="14609" max="14609" width="20.5703125" style="180" customWidth="1"/>
    <col min="14610" max="14849" width="9.140625" style="180"/>
    <col min="14850" max="14850" width="0.140625" style="180" customWidth="1"/>
    <col min="14851" max="14851" width="9.140625" style="180"/>
    <col min="14852" max="14852" width="10.7109375" style="180" bestFit="1" customWidth="1"/>
    <col min="14853" max="14853" width="9.140625" style="180"/>
    <col min="14854" max="14854" width="31" style="180" customWidth="1"/>
    <col min="14855" max="14855" width="17.5703125" style="180" bestFit="1" customWidth="1"/>
    <col min="14856" max="14856" width="19.7109375" style="180" bestFit="1" customWidth="1"/>
    <col min="14857" max="14860" width="0" style="180" hidden="1" customWidth="1"/>
    <col min="14861" max="14861" width="21.140625" style="180" bestFit="1" customWidth="1"/>
    <col min="14862" max="14862" width="4.28515625" style="180" bestFit="1" customWidth="1"/>
    <col min="14863" max="14863" width="92.7109375" style="180" customWidth="1"/>
    <col min="14864" max="14864" width="0" style="180" hidden="1" customWidth="1"/>
    <col min="14865" max="14865" width="20.5703125" style="180" customWidth="1"/>
    <col min="14866" max="15105" width="9.140625" style="180"/>
    <col min="15106" max="15106" width="0.140625" style="180" customWidth="1"/>
    <col min="15107" max="15107" width="9.140625" style="180"/>
    <col min="15108" max="15108" width="10.7109375" style="180" bestFit="1" customWidth="1"/>
    <col min="15109" max="15109" width="9.140625" style="180"/>
    <col min="15110" max="15110" width="31" style="180" customWidth="1"/>
    <col min="15111" max="15111" width="17.5703125" style="180" bestFit="1" customWidth="1"/>
    <col min="15112" max="15112" width="19.7109375" style="180" bestFit="1" customWidth="1"/>
    <col min="15113" max="15116" width="0" style="180" hidden="1" customWidth="1"/>
    <col min="15117" max="15117" width="21.140625" style="180" bestFit="1" customWidth="1"/>
    <col min="15118" max="15118" width="4.28515625" style="180" bestFit="1" customWidth="1"/>
    <col min="15119" max="15119" width="92.7109375" style="180" customWidth="1"/>
    <col min="15120" max="15120" width="0" style="180" hidden="1" customWidth="1"/>
    <col min="15121" max="15121" width="20.5703125" style="180" customWidth="1"/>
    <col min="15122" max="15361" width="9.140625" style="180"/>
    <col min="15362" max="15362" width="0.140625" style="180" customWidth="1"/>
    <col min="15363" max="15363" width="9.140625" style="180"/>
    <col min="15364" max="15364" width="10.7109375" style="180" bestFit="1" customWidth="1"/>
    <col min="15365" max="15365" width="9.140625" style="180"/>
    <col min="15366" max="15366" width="31" style="180" customWidth="1"/>
    <col min="15367" max="15367" width="17.5703125" style="180" bestFit="1" customWidth="1"/>
    <col min="15368" max="15368" width="19.7109375" style="180" bestFit="1" customWidth="1"/>
    <col min="15369" max="15372" width="0" style="180" hidden="1" customWidth="1"/>
    <col min="15373" max="15373" width="21.140625" style="180" bestFit="1" customWidth="1"/>
    <col min="15374" max="15374" width="4.28515625" style="180" bestFit="1" customWidth="1"/>
    <col min="15375" max="15375" width="92.7109375" style="180" customWidth="1"/>
    <col min="15376" max="15376" width="0" style="180" hidden="1" customWidth="1"/>
    <col min="15377" max="15377" width="20.5703125" style="180" customWidth="1"/>
    <col min="15378" max="15617" width="9.140625" style="180"/>
    <col min="15618" max="15618" width="0.140625" style="180" customWidth="1"/>
    <col min="15619" max="15619" width="9.140625" style="180"/>
    <col min="15620" max="15620" width="10.7109375" style="180" bestFit="1" customWidth="1"/>
    <col min="15621" max="15621" width="9.140625" style="180"/>
    <col min="15622" max="15622" width="31" style="180" customWidth="1"/>
    <col min="15623" max="15623" width="17.5703125" style="180" bestFit="1" customWidth="1"/>
    <col min="15624" max="15624" width="19.7109375" style="180" bestFit="1" customWidth="1"/>
    <col min="15625" max="15628" width="0" style="180" hidden="1" customWidth="1"/>
    <col min="15629" max="15629" width="21.140625" style="180" bestFit="1" customWidth="1"/>
    <col min="15630" max="15630" width="4.28515625" style="180" bestFit="1" customWidth="1"/>
    <col min="15631" max="15631" width="92.7109375" style="180" customWidth="1"/>
    <col min="15632" max="15632" width="0" style="180" hidden="1" customWidth="1"/>
    <col min="15633" max="15633" width="20.5703125" style="180" customWidth="1"/>
    <col min="15634" max="15873" width="9.140625" style="180"/>
    <col min="15874" max="15874" width="0.140625" style="180" customWidth="1"/>
    <col min="15875" max="15875" width="9.140625" style="180"/>
    <col min="15876" max="15876" width="10.7109375" style="180" bestFit="1" customWidth="1"/>
    <col min="15877" max="15877" width="9.140625" style="180"/>
    <col min="15878" max="15878" width="31" style="180" customWidth="1"/>
    <col min="15879" max="15879" width="17.5703125" style="180" bestFit="1" customWidth="1"/>
    <col min="15880" max="15880" width="19.7109375" style="180" bestFit="1" customWidth="1"/>
    <col min="15881" max="15884" width="0" style="180" hidden="1" customWidth="1"/>
    <col min="15885" max="15885" width="21.140625" style="180" bestFit="1" customWidth="1"/>
    <col min="15886" max="15886" width="4.28515625" style="180" bestFit="1" customWidth="1"/>
    <col min="15887" max="15887" width="92.7109375" style="180" customWidth="1"/>
    <col min="15888" max="15888" width="0" style="180" hidden="1" customWidth="1"/>
    <col min="15889" max="15889" width="20.5703125" style="180" customWidth="1"/>
    <col min="15890" max="16129" width="9.140625" style="180"/>
    <col min="16130" max="16130" width="0.140625" style="180" customWidth="1"/>
    <col min="16131" max="16131" width="9.140625" style="180"/>
    <col min="16132" max="16132" width="10.7109375" style="180" bestFit="1" customWidth="1"/>
    <col min="16133" max="16133" width="9.140625" style="180"/>
    <col min="16134" max="16134" width="31" style="180" customWidth="1"/>
    <col min="16135" max="16135" width="17.5703125" style="180" bestFit="1" customWidth="1"/>
    <col min="16136" max="16136" width="19.7109375" style="180" bestFit="1" customWidth="1"/>
    <col min="16137" max="16140" width="0" style="180" hidden="1" customWidth="1"/>
    <col min="16141" max="16141" width="21.140625" style="180" bestFit="1" customWidth="1"/>
    <col min="16142" max="16142" width="4.28515625" style="180" bestFit="1" customWidth="1"/>
    <col min="16143" max="16143" width="92.7109375" style="180" customWidth="1"/>
    <col min="16144" max="16144" width="0" style="180" hidden="1" customWidth="1"/>
    <col min="16145" max="16145" width="20.5703125" style="180" customWidth="1"/>
    <col min="16146" max="16384" width="9.140625" style="180"/>
  </cols>
  <sheetData>
    <row r="1" spans="1:19">
      <c r="A1" s="1026" t="s">
        <v>2388</v>
      </c>
      <c r="B1" s="1026"/>
      <c r="C1" s="1026"/>
      <c r="D1" s="1026"/>
      <c r="E1" s="1026"/>
      <c r="F1" s="1026"/>
      <c r="G1" s="1026"/>
      <c r="H1" s="1026"/>
      <c r="I1" s="1026"/>
      <c r="J1" s="1026"/>
      <c r="K1" s="1026"/>
      <c r="L1" s="1026"/>
      <c r="M1" s="1026"/>
      <c r="N1" s="1026"/>
      <c r="O1" s="1026"/>
      <c r="P1" s="1026"/>
      <c r="Q1" s="1026"/>
      <c r="R1" s="41"/>
      <c r="S1" s="41"/>
    </row>
    <row r="2" spans="1:19">
      <c r="A2" s="1026" t="s">
        <v>1797</v>
      </c>
      <c r="B2" s="1026"/>
      <c r="C2" s="1026"/>
      <c r="D2" s="1026"/>
      <c r="E2" s="1026"/>
      <c r="F2" s="1026"/>
      <c r="G2" s="1026"/>
      <c r="H2" s="1026"/>
      <c r="I2" s="1026"/>
      <c r="J2" s="1026"/>
      <c r="K2" s="1026"/>
      <c r="L2" s="1026"/>
      <c r="M2" s="1026"/>
      <c r="N2" s="1026"/>
      <c r="O2" s="1026"/>
      <c r="P2" s="1026"/>
      <c r="Q2" s="1026"/>
      <c r="R2" s="41"/>
      <c r="S2" s="41"/>
    </row>
    <row r="3" spans="1:19" ht="15" thickBot="1">
      <c r="A3" s="1026" t="s">
        <v>2389</v>
      </c>
      <c r="B3" s="1026"/>
      <c r="C3" s="1026"/>
      <c r="D3" s="1026"/>
      <c r="E3" s="1026"/>
      <c r="F3" s="1026"/>
      <c r="G3" s="1026"/>
      <c r="H3" s="1026"/>
      <c r="I3" s="1026"/>
      <c r="J3" s="1026"/>
      <c r="K3" s="1026"/>
      <c r="L3" s="1026"/>
      <c r="M3" s="1026"/>
      <c r="N3" s="1026"/>
      <c r="O3" s="1026"/>
      <c r="P3" s="1026"/>
      <c r="Q3" s="1026"/>
      <c r="R3" s="41"/>
      <c r="S3" s="41"/>
    </row>
    <row r="4" spans="1:19" ht="30" customHeight="1" thickTop="1" thickBot="1">
      <c r="A4" s="375"/>
      <c r="B4" s="649" t="s">
        <v>1</v>
      </c>
      <c r="C4" s="649" t="s">
        <v>1796</v>
      </c>
      <c r="D4" s="1021" t="s">
        <v>3</v>
      </c>
      <c r="E4" s="1021"/>
      <c r="F4" s="667" t="s">
        <v>1783</v>
      </c>
      <c r="G4" s="580" t="s">
        <v>1798</v>
      </c>
      <c r="H4" s="649"/>
      <c r="I4" s="649"/>
      <c r="J4" s="649"/>
      <c r="K4" s="649"/>
      <c r="L4" s="649" t="s">
        <v>809</v>
      </c>
      <c r="M4" s="649" t="s">
        <v>5</v>
      </c>
      <c r="N4" s="649" t="s">
        <v>7</v>
      </c>
      <c r="O4" s="782" t="s">
        <v>2582</v>
      </c>
      <c r="P4" s="581" t="s">
        <v>12</v>
      </c>
      <c r="Q4" s="461"/>
      <c r="R4" s="41" t="s">
        <v>1771</v>
      </c>
      <c r="S4" s="41"/>
    </row>
    <row r="5" spans="1:19" ht="30" customHeight="1" thickTop="1">
      <c r="A5" s="376">
        <v>1</v>
      </c>
      <c r="B5" s="574" t="s">
        <v>568</v>
      </c>
      <c r="C5" s="575">
        <v>150179</v>
      </c>
      <c r="D5" s="799" t="s">
        <v>628</v>
      </c>
      <c r="E5" s="799"/>
      <c r="F5" s="668" t="s">
        <v>21</v>
      </c>
      <c r="G5" s="577">
        <v>32997</v>
      </c>
      <c r="H5" s="575" t="s">
        <v>1799</v>
      </c>
      <c r="I5" s="576" t="s">
        <v>1800</v>
      </c>
      <c r="J5" s="576" t="s">
        <v>817</v>
      </c>
      <c r="K5" s="576" t="s">
        <v>594</v>
      </c>
      <c r="L5" s="578">
        <f ca="1">S5/365</f>
        <v>28.009440916730092</v>
      </c>
      <c r="M5" s="576" t="s">
        <v>786</v>
      </c>
      <c r="N5" s="575" t="s">
        <v>20</v>
      </c>
      <c r="O5" s="575" t="s">
        <v>529</v>
      </c>
      <c r="P5" s="579" t="s">
        <v>1801</v>
      </c>
      <c r="Q5" s="377" t="s">
        <v>1802</v>
      </c>
      <c r="R5" s="378">
        <f ca="1">NOW()</f>
        <v>43220.445934606483</v>
      </c>
      <c r="S5" s="379">
        <f t="shared" ref="S5:S47" ca="1" si="0">R5-G5</f>
        <v>10223.445934606483</v>
      </c>
    </row>
    <row r="6" spans="1:19" ht="30" customHeight="1">
      <c r="A6" s="376">
        <f t="shared" ref="A6:A43" si="1">+A5+1</f>
        <v>2</v>
      </c>
      <c r="B6" s="380" t="s">
        <v>572</v>
      </c>
      <c r="C6" s="381">
        <v>150200</v>
      </c>
      <c r="D6" s="800" t="s">
        <v>1803</v>
      </c>
      <c r="E6" s="800"/>
      <c r="F6" s="669" t="s">
        <v>21</v>
      </c>
      <c r="G6" s="383">
        <v>32008</v>
      </c>
      <c r="H6" s="381" t="s">
        <v>1799</v>
      </c>
      <c r="I6" s="382" t="s">
        <v>1800</v>
      </c>
      <c r="J6" s="382" t="s">
        <v>813</v>
      </c>
      <c r="K6" s="382" t="s">
        <v>35</v>
      </c>
      <c r="L6" s="384">
        <f t="shared" ref="L6:L43" ca="1" si="2">S6/365</f>
        <v>30.719029957825981</v>
      </c>
      <c r="M6" s="382" t="s">
        <v>786</v>
      </c>
      <c r="N6" s="381" t="s">
        <v>20</v>
      </c>
      <c r="O6" s="381" t="s">
        <v>2587</v>
      </c>
      <c r="P6" s="385" t="s">
        <v>1804</v>
      </c>
      <c r="Q6" s="382" t="s">
        <v>1802</v>
      </c>
      <c r="R6" s="378">
        <f t="shared" ref="R6:R47" ca="1" si="3">NOW()</f>
        <v>43220.445934606483</v>
      </c>
      <c r="S6" s="379">
        <f t="shared" ca="1" si="0"/>
        <v>11212.445934606483</v>
      </c>
    </row>
    <row r="7" spans="1:19" ht="30" customHeight="1">
      <c r="A7" s="376">
        <f t="shared" si="1"/>
        <v>3</v>
      </c>
      <c r="B7" s="574" t="s">
        <v>567</v>
      </c>
      <c r="C7" s="381">
        <v>150180</v>
      </c>
      <c r="D7" s="800" t="s">
        <v>618</v>
      </c>
      <c r="E7" s="800"/>
      <c r="F7" s="669" t="s">
        <v>267</v>
      </c>
      <c r="G7" s="383">
        <v>33713</v>
      </c>
      <c r="H7" s="381" t="s">
        <v>1799</v>
      </c>
      <c r="I7" s="382" t="s">
        <v>1800</v>
      </c>
      <c r="J7" s="382" t="s">
        <v>813</v>
      </c>
      <c r="K7" s="382" t="s">
        <v>35</v>
      </c>
      <c r="L7" s="384">
        <f t="shared" ca="1" si="2"/>
        <v>26.047797081113654</v>
      </c>
      <c r="M7" s="382" t="s">
        <v>786</v>
      </c>
      <c r="N7" s="381" t="s">
        <v>20</v>
      </c>
      <c r="O7" s="381" t="s">
        <v>2583</v>
      </c>
      <c r="P7" s="385" t="s">
        <v>1805</v>
      </c>
      <c r="Q7" s="382" t="s">
        <v>1802</v>
      </c>
      <c r="R7" s="378">
        <f t="shared" ca="1" si="3"/>
        <v>43220.445934606483</v>
      </c>
      <c r="S7" s="379">
        <f t="shared" ca="1" si="0"/>
        <v>9507.4459346064832</v>
      </c>
    </row>
    <row r="8" spans="1:19" ht="30" customHeight="1">
      <c r="A8" s="376">
        <f t="shared" si="1"/>
        <v>4</v>
      </c>
      <c r="B8" s="380" t="s">
        <v>573</v>
      </c>
      <c r="C8" s="381">
        <v>150201</v>
      </c>
      <c r="D8" s="800" t="s">
        <v>622</v>
      </c>
      <c r="E8" s="800"/>
      <c r="F8" s="669" t="s">
        <v>174</v>
      </c>
      <c r="G8" s="383">
        <v>33503</v>
      </c>
      <c r="H8" s="381" t="s">
        <v>1799</v>
      </c>
      <c r="I8" s="382" t="s">
        <v>1800</v>
      </c>
      <c r="J8" s="382" t="s">
        <v>813</v>
      </c>
      <c r="K8" s="382" t="s">
        <v>35</v>
      </c>
      <c r="L8" s="384">
        <f t="shared" ca="1" si="2"/>
        <v>26.623139546867076</v>
      </c>
      <c r="M8" s="382" t="s">
        <v>786</v>
      </c>
      <c r="N8" s="381" t="s">
        <v>20</v>
      </c>
      <c r="O8" s="381" t="s">
        <v>529</v>
      </c>
      <c r="P8" s="386" t="s">
        <v>1806</v>
      </c>
      <c r="Q8" s="382" t="s">
        <v>1802</v>
      </c>
      <c r="R8" s="378">
        <f t="shared" ca="1" si="3"/>
        <v>43220.445934606483</v>
      </c>
      <c r="S8" s="379">
        <f t="shared" ca="1" si="0"/>
        <v>9717.4459346064832</v>
      </c>
    </row>
    <row r="9" spans="1:19" ht="30" customHeight="1">
      <c r="A9" s="376">
        <f t="shared" si="1"/>
        <v>5</v>
      </c>
      <c r="B9" s="574" t="s">
        <v>574</v>
      </c>
      <c r="C9" s="381">
        <v>150181</v>
      </c>
      <c r="D9" s="800" t="s">
        <v>629</v>
      </c>
      <c r="E9" s="800"/>
      <c r="F9" s="669" t="s">
        <v>58</v>
      </c>
      <c r="G9" s="383">
        <v>34554</v>
      </c>
      <c r="H9" s="381" t="s">
        <v>1799</v>
      </c>
      <c r="I9" s="382" t="s">
        <v>1800</v>
      </c>
      <c r="J9" s="382" t="s">
        <v>815</v>
      </c>
      <c r="K9" s="382" t="s">
        <v>35</v>
      </c>
      <c r="L9" s="384">
        <f t="shared" ca="1" si="2"/>
        <v>23.743687492072556</v>
      </c>
      <c r="M9" s="382" t="s">
        <v>786</v>
      </c>
      <c r="N9" s="381" t="s">
        <v>20</v>
      </c>
      <c r="O9" s="381" t="s">
        <v>529</v>
      </c>
      <c r="P9" s="385" t="s">
        <v>1807</v>
      </c>
      <c r="Q9" s="382" t="s">
        <v>1802</v>
      </c>
      <c r="R9" s="378">
        <f t="shared" ca="1" si="3"/>
        <v>43220.445934606483</v>
      </c>
      <c r="S9" s="379">
        <f t="shared" ca="1" si="0"/>
        <v>8666.4459346064832</v>
      </c>
    </row>
    <row r="10" spans="1:19" ht="30" customHeight="1">
      <c r="A10" s="376" t="e">
        <f>+#REF!+1</f>
        <v>#REF!</v>
      </c>
      <c r="B10" s="380" t="s">
        <v>581</v>
      </c>
      <c r="C10" s="381">
        <v>150182</v>
      </c>
      <c r="D10" s="800" t="s">
        <v>1808</v>
      </c>
      <c r="E10" s="800"/>
      <c r="F10" s="669" t="s">
        <v>21</v>
      </c>
      <c r="G10" s="383">
        <v>32538</v>
      </c>
      <c r="H10" s="381" t="s">
        <v>1799</v>
      </c>
      <c r="I10" s="382" t="s">
        <v>1800</v>
      </c>
      <c r="J10" s="382" t="s">
        <v>813</v>
      </c>
      <c r="K10" s="382" t="s">
        <v>35</v>
      </c>
      <c r="L10" s="384">
        <f t="shared" ca="1" si="2"/>
        <v>29.266975163305432</v>
      </c>
      <c r="M10" s="382" t="s">
        <v>786</v>
      </c>
      <c r="N10" s="381" t="s">
        <v>20</v>
      </c>
      <c r="O10" s="381" t="s">
        <v>23</v>
      </c>
      <c r="P10" s="385" t="s">
        <v>1809</v>
      </c>
      <c r="Q10" s="382" t="s">
        <v>1802</v>
      </c>
      <c r="R10" s="378">
        <f t="shared" ca="1" si="3"/>
        <v>43220.445934606483</v>
      </c>
      <c r="S10" s="379">
        <f t="shared" ca="1" si="0"/>
        <v>10682.445934606483</v>
      </c>
    </row>
    <row r="11" spans="1:19" ht="30" customHeight="1">
      <c r="A11" s="376" t="e">
        <f t="shared" si="1"/>
        <v>#REF!</v>
      </c>
      <c r="B11" s="574" t="s">
        <v>693</v>
      </c>
      <c r="C11" s="381">
        <v>150202</v>
      </c>
      <c r="D11" s="800" t="s">
        <v>1763</v>
      </c>
      <c r="E11" s="800"/>
      <c r="F11" s="669" t="s">
        <v>140</v>
      </c>
      <c r="G11" s="383">
        <v>33548</v>
      </c>
      <c r="H11" s="381" t="s">
        <v>1799</v>
      </c>
      <c r="I11" s="382" t="s">
        <v>1800</v>
      </c>
      <c r="J11" s="382" t="s">
        <v>813</v>
      </c>
      <c r="K11" s="382" t="s">
        <v>35</v>
      </c>
      <c r="L11" s="384">
        <f t="shared" ca="1" si="2"/>
        <v>26.499851875634199</v>
      </c>
      <c r="M11" s="382" t="s">
        <v>786</v>
      </c>
      <c r="N11" s="381" t="s">
        <v>20</v>
      </c>
      <c r="O11" s="381" t="s">
        <v>529</v>
      </c>
      <c r="P11" s="385" t="s">
        <v>1810</v>
      </c>
      <c r="Q11" s="382" t="s">
        <v>1802</v>
      </c>
      <c r="R11" s="378">
        <f t="shared" ca="1" si="3"/>
        <v>43220.445934606483</v>
      </c>
      <c r="S11" s="379">
        <f t="shared" ca="1" si="0"/>
        <v>9672.4459346064832</v>
      </c>
    </row>
    <row r="12" spans="1:19" ht="30" customHeight="1">
      <c r="A12" s="376" t="e">
        <f t="shared" si="1"/>
        <v>#REF!</v>
      </c>
      <c r="B12" s="380" t="s">
        <v>694</v>
      </c>
      <c r="C12" s="381">
        <v>150203</v>
      </c>
      <c r="D12" s="800" t="s">
        <v>632</v>
      </c>
      <c r="E12" s="800"/>
      <c r="F12" s="669" t="s">
        <v>21</v>
      </c>
      <c r="G12" s="383">
        <v>33867</v>
      </c>
      <c r="H12" s="381" t="s">
        <v>1799</v>
      </c>
      <c r="I12" s="382" t="s">
        <v>1800</v>
      </c>
      <c r="J12" s="382" t="s">
        <v>813</v>
      </c>
      <c r="K12" s="382" t="s">
        <v>35</v>
      </c>
      <c r="L12" s="384">
        <f t="shared" ca="1" si="2"/>
        <v>25.625879272894476</v>
      </c>
      <c r="M12" s="382" t="s">
        <v>786</v>
      </c>
      <c r="N12" s="381" t="s">
        <v>20</v>
      </c>
      <c r="O12" s="381" t="s">
        <v>529</v>
      </c>
      <c r="P12" s="385" t="s">
        <v>1811</v>
      </c>
      <c r="Q12" s="382" t="s">
        <v>1802</v>
      </c>
      <c r="R12" s="378">
        <f t="shared" ca="1" si="3"/>
        <v>43220.445934606483</v>
      </c>
      <c r="S12" s="379">
        <f t="shared" ca="1" si="0"/>
        <v>9353.4459346064832</v>
      </c>
    </row>
    <row r="13" spans="1:19" ht="30" customHeight="1">
      <c r="A13" s="376" t="e">
        <f>+#REF!+1</f>
        <v>#REF!</v>
      </c>
      <c r="B13" s="574" t="s">
        <v>695</v>
      </c>
      <c r="C13" s="381">
        <v>150205</v>
      </c>
      <c r="D13" s="800" t="s">
        <v>624</v>
      </c>
      <c r="E13" s="800"/>
      <c r="F13" s="669" t="s">
        <v>21</v>
      </c>
      <c r="G13" s="383">
        <v>34152</v>
      </c>
      <c r="H13" s="381" t="s">
        <v>1799</v>
      </c>
      <c r="I13" s="382" t="s">
        <v>1800</v>
      </c>
      <c r="J13" s="382" t="s">
        <v>813</v>
      </c>
      <c r="K13" s="382" t="s">
        <v>594</v>
      </c>
      <c r="L13" s="384">
        <f t="shared" ca="1" si="2"/>
        <v>24.845057355086254</v>
      </c>
      <c r="M13" s="382" t="s">
        <v>786</v>
      </c>
      <c r="N13" s="381" t="s">
        <v>20</v>
      </c>
      <c r="O13" s="381" t="s">
        <v>529</v>
      </c>
      <c r="P13" s="385" t="s">
        <v>1813</v>
      </c>
      <c r="Q13" s="382" t="s">
        <v>1802</v>
      </c>
      <c r="R13" s="378">
        <f t="shared" ca="1" si="3"/>
        <v>43220.445934606483</v>
      </c>
      <c r="S13" s="379">
        <f t="shared" ca="1" si="0"/>
        <v>9068.4459346064832</v>
      </c>
    </row>
    <row r="14" spans="1:19" ht="30" customHeight="1">
      <c r="A14" s="376" t="e">
        <f t="shared" si="1"/>
        <v>#REF!</v>
      </c>
      <c r="B14" s="380" t="s">
        <v>696</v>
      </c>
      <c r="C14" s="381">
        <v>150206</v>
      </c>
      <c r="D14" s="800" t="s">
        <v>816</v>
      </c>
      <c r="E14" s="800"/>
      <c r="F14" s="669" t="s">
        <v>21</v>
      </c>
      <c r="G14" s="383">
        <v>32335</v>
      </c>
      <c r="H14" s="381" t="s">
        <v>1799</v>
      </c>
      <c r="I14" s="382" t="s">
        <v>1800</v>
      </c>
      <c r="J14" s="382" t="s">
        <v>813</v>
      </c>
      <c r="K14" s="382" t="s">
        <v>35</v>
      </c>
      <c r="L14" s="384">
        <f t="shared" ca="1" si="2"/>
        <v>29.823139546867079</v>
      </c>
      <c r="M14" s="382" t="s">
        <v>786</v>
      </c>
      <c r="N14" s="381" t="s">
        <v>20</v>
      </c>
      <c r="O14" s="381" t="s">
        <v>529</v>
      </c>
      <c r="P14" s="385" t="s">
        <v>1814</v>
      </c>
      <c r="Q14" s="382" t="s">
        <v>1802</v>
      </c>
      <c r="R14" s="378">
        <f t="shared" ca="1" si="3"/>
        <v>43220.445934606483</v>
      </c>
      <c r="S14" s="379">
        <f t="shared" ca="1" si="0"/>
        <v>10885.445934606483</v>
      </c>
    </row>
    <row r="15" spans="1:19" ht="30" customHeight="1">
      <c r="A15" s="376" t="e">
        <f t="shared" si="1"/>
        <v>#REF!</v>
      </c>
      <c r="B15" s="574" t="s">
        <v>697</v>
      </c>
      <c r="C15" s="381">
        <v>150184</v>
      </c>
      <c r="D15" s="800" t="s">
        <v>627</v>
      </c>
      <c r="E15" s="800"/>
      <c r="F15" s="669" t="s">
        <v>1815</v>
      </c>
      <c r="G15" s="383">
        <v>33516</v>
      </c>
      <c r="H15" s="381" t="s">
        <v>1799</v>
      </c>
      <c r="I15" s="382" t="s">
        <v>1800</v>
      </c>
      <c r="J15" s="382" t="s">
        <v>813</v>
      </c>
      <c r="K15" s="382" t="s">
        <v>594</v>
      </c>
      <c r="L15" s="384">
        <f t="shared" ca="1" si="2"/>
        <v>26.587523108510911</v>
      </c>
      <c r="M15" s="382" t="s">
        <v>786</v>
      </c>
      <c r="N15" s="381" t="s">
        <v>20</v>
      </c>
      <c r="O15" s="381" t="s">
        <v>529</v>
      </c>
      <c r="P15" s="385" t="s">
        <v>1816</v>
      </c>
      <c r="Q15" s="382" t="s">
        <v>1802</v>
      </c>
      <c r="R15" s="378">
        <f t="shared" ca="1" si="3"/>
        <v>43220.445934606483</v>
      </c>
      <c r="S15" s="379">
        <f t="shared" ca="1" si="0"/>
        <v>9704.4459346064832</v>
      </c>
    </row>
    <row r="16" spans="1:19" ht="30" customHeight="1">
      <c r="A16" s="376" t="e">
        <f>+#REF!+1</f>
        <v>#REF!</v>
      </c>
      <c r="B16" s="380" t="s">
        <v>698</v>
      </c>
      <c r="C16" s="381">
        <v>150209</v>
      </c>
      <c r="D16" s="800" t="s">
        <v>620</v>
      </c>
      <c r="E16" s="800"/>
      <c r="F16" s="669" t="s">
        <v>112</v>
      </c>
      <c r="G16" s="383">
        <v>34465</v>
      </c>
      <c r="H16" s="381" t="s">
        <v>1799</v>
      </c>
      <c r="I16" s="382" t="s">
        <v>1800</v>
      </c>
      <c r="J16" s="382" t="s">
        <v>813</v>
      </c>
      <c r="K16" s="382" t="s">
        <v>594</v>
      </c>
      <c r="L16" s="384">
        <f t="shared" ca="1" si="2"/>
        <v>23.987523108510914</v>
      </c>
      <c r="M16" s="382" t="s">
        <v>786</v>
      </c>
      <c r="N16" s="381" t="s">
        <v>20</v>
      </c>
      <c r="O16" s="381" t="s">
        <v>529</v>
      </c>
      <c r="P16" s="387" t="s">
        <v>1817</v>
      </c>
      <c r="Q16" s="382" t="s">
        <v>1802</v>
      </c>
      <c r="R16" s="378">
        <f t="shared" ca="1" si="3"/>
        <v>43220.445934606483</v>
      </c>
      <c r="S16" s="379">
        <f t="shared" ca="1" si="0"/>
        <v>8755.4459346064832</v>
      </c>
    </row>
    <row r="17" spans="1:19" ht="30" customHeight="1">
      <c r="A17" s="376" t="e">
        <f t="shared" si="1"/>
        <v>#REF!</v>
      </c>
      <c r="B17" s="574" t="s">
        <v>129</v>
      </c>
      <c r="C17" s="381">
        <v>150210</v>
      </c>
      <c r="D17" s="800" t="s">
        <v>617</v>
      </c>
      <c r="E17" s="800"/>
      <c r="F17" s="669" t="s">
        <v>21</v>
      </c>
      <c r="G17" s="383">
        <v>32691</v>
      </c>
      <c r="H17" s="381" t="s">
        <v>1812</v>
      </c>
      <c r="I17" s="382" t="s">
        <v>1800</v>
      </c>
      <c r="J17" s="382" t="s">
        <v>813</v>
      </c>
      <c r="K17" s="382" t="s">
        <v>35</v>
      </c>
      <c r="L17" s="384">
        <f t="shared" ca="1" si="2"/>
        <v>28.847797081113654</v>
      </c>
      <c r="M17" s="382" t="s">
        <v>786</v>
      </c>
      <c r="N17" s="381" t="s">
        <v>31</v>
      </c>
      <c r="O17" s="381" t="s">
        <v>529</v>
      </c>
      <c r="P17" s="385" t="s">
        <v>1818</v>
      </c>
      <c r="Q17" s="382" t="s">
        <v>1802</v>
      </c>
      <c r="R17" s="378">
        <f t="shared" ca="1" si="3"/>
        <v>43220.445934606483</v>
      </c>
      <c r="S17" s="379">
        <f t="shared" ca="1" si="0"/>
        <v>10529.445934606483</v>
      </c>
    </row>
    <row r="18" spans="1:19" ht="30" customHeight="1">
      <c r="A18" s="376" t="e">
        <f t="shared" si="1"/>
        <v>#REF!</v>
      </c>
      <c r="B18" s="380" t="s">
        <v>699</v>
      </c>
      <c r="C18" s="381">
        <v>150185</v>
      </c>
      <c r="D18" s="800" t="s">
        <v>814</v>
      </c>
      <c r="E18" s="800"/>
      <c r="F18" s="669" t="s">
        <v>21</v>
      </c>
      <c r="G18" s="383">
        <v>34778</v>
      </c>
      <c r="H18" s="381" t="s">
        <v>1799</v>
      </c>
      <c r="I18" s="382" t="s">
        <v>1800</v>
      </c>
      <c r="J18" s="382" t="s">
        <v>815</v>
      </c>
      <c r="K18" s="382" t="s">
        <v>35</v>
      </c>
      <c r="L18" s="384">
        <f t="shared" ca="1" si="2"/>
        <v>23.129988861935569</v>
      </c>
      <c r="M18" s="382" t="s">
        <v>786</v>
      </c>
      <c r="N18" s="381" t="s">
        <v>20</v>
      </c>
      <c r="O18" s="381" t="s">
        <v>529</v>
      </c>
      <c r="P18" s="387" t="s">
        <v>1819</v>
      </c>
      <c r="Q18" s="382" t="s">
        <v>1802</v>
      </c>
      <c r="R18" s="378">
        <f t="shared" ca="1" si="3"/>
        <v>43220.445934606483</v>
      </c>
      <c r="S18" s="379">
        <f t="shared" ca="1" si="0"/>
        <v>8442.4459346064832</v>
      </c>
    </row>
    <row r="19" spans="1:19" ht="30" customHeight="1">
      <c r="A19" s="376" t="e">
        <f t="shared" si="1"/>
        <v>#REF!</v>
      </c>
      <c r="B19" s="574" t="s">
        <v>700</v>
      </c>
      <c r="C19" s="381">
        <v>150211</v>
      </c>
      <c r="D19" s="800" t="s">
        <v>1820</v>
      </c>
      <c r="E19" s="800"/>
      <c r="F19" s="669" t="s">
        <v>21</v>
      </c>
      <c r="G19" s="383">
        <v>33515</v>
      </c>
      <c r="H19" s="381" t="s">
        <v>1799</v>
      </c>
      <c r="I19" s="382" t="s">
        <v>1800</v>
      </c>
      <c r="J19" s="382" t="s">
        <v>813</v>
      </c>
      <c r="K19" s="382" t="s">
        <v>35</v>
      </c>
      <c r="L19" s="384">
        <f t="shared" ca="1" si="2"/>
        <v>26.590262834538311</v>
      </c>
      <c r="M19" s="382" t="s">
        <v>786</v>
      </c>
      <c r="N19" s="381" t="s">
        <v>20</v>
      </c>
      <c r="O19" s="381" t="s">
        <v>529</v>
      </c>
      <c r="P19" s="385" t="s">
        <v>1821</v>
      </c>
      <c r="Q19" s="382" t="s">
        <v>1802</v>
      </c>
      <c r="R19" s="378">
        <f t="shared" ca="1" si="3"/>
        <v>43220.445934606483</v>
      </c>
      <c r="S19" s="379">
        <f t="shared" ca="1" si="0"/>
        <v>9705.4459346064832</v>
      </c>
    </row>
    <row r="20" spans="1:19" ht="30" customHeight="1">
      <c r="A20" s="376" t="e">
        <f t="shared" si="1"/>
        <v>#REF!</v>
      </c>
      <c r="B20" s="380" t="s">
        <v>119</v>
      </c>
      <c r="C20" s="381">
        <v>150212</v>
      </c>
      <c r="D20" s="801" t="s">
        <v>812</v>
      </c>
      <c r="E20" s="801"/>
      <c r="F20" s="670" t="s">
        <v>1822</v>
      </c>
      <c r="G20" s="383">
        <v>34003</v>
      </c>
      <c r="H20" s="381" t="s">
        <v>1799</v>
      </c>
      <c r="I20" s="382" t="s">
        <v>1800</v>
      </c>
      <c r="J20" s="382" t="s">
        <v>813</v>
      </c>
      <c r="K20" s="382" t="s">
        <v>1823</v>
      </c>
      <c r="L20" s="384">
        <f t="shared" ca="1" si="2"/>
        <v>25.253276533168446</v>
      </c>
      <c r="M20" s="382" t="s">
        <v>786</v>
      </c>
      <c r="N20" s="381" t="s">
        <v>20</v>
      </c>
      <c r="O20" s="381" t="s">
        <v>529</v>
      </c>
      <c r="P20" s="385" t="s">
        <v>1824</v>
      </c>
      <c r="Q20" s="382" t="s">
        <v>1825</v>
      </c>
      <c r="R20" s="378">
        <f t="shared" ca="1" si="3"/>
        <v>43220.445934606483</v>
      </c>
      <c r="S20" s="379">
        <f t="shared" ca="1" si="0"/>
        <v>9217.4459346064832</v>
      </c>
    </row>
    <row r="21" spans="1:19" ht="30" customHeight="1">
      <c r="A21" s="376" t="e">
        <f t="shared" si="1"/>
        <v>#REF!</v>
      </c>
      <c r="B21" s="574" t="s">
        <v>701</v>
      </c>
      <c r="C21" s="381">
        <v>150213</v>
      </c>
      <c r="D21" s="800" t="s">
        <v>1826</v>
      </c>
      <c r="E21" s="800"/>
      <c r="F21" s="669" t="s">
        <v>112</v>
      </c>
      <c r="G21" s="383">
        <v>33817</v>
      </c>
      <c r="H21" s="381" t="s">
        <v>1799</v>
      </c>
      <c r="I21" s="382" t="s">
        <v>1800</v>
      </c>
      <c r="J21" s="382" t="s">
        <v>813</v>
      </c>
      <c r="K21" s="382" t="s">
        <v>594</v>
      </c>
      <c r="L21" s="384">
        <f t="shared" ca="1" si="2"/>
        <v>25.762865574264339</v>
      </c>
      <c r="M21" s="382" t="s">
        <v>786</v>
      </c>
      <c r="N21" s="381" t="s">
        <v>20</v>
      </c>
      <c r="O21" s="381" t="s">
        <v>529</v>
      </c>
      <c r="P21" s="385" t="s">
        <v>1827</v>
      </c>
      <c r="Q21" s="382" t="s">
        <v>1802</v>
      </c>
      <c r="R21" s="378">
        <f t="shared" ca="1" si="3"/>
        <v>43220.445934606483</v>
      </c>
      <c r="S21" s="379">
        <f t="shared" ca="1" si="0"/>
        <v>9403.4459346064832</v>
      </c>
    </row>
    <row r="22" spans="1:19" ht="30" customHeight="1">
      <c r="A22" s="376" t="e">
        <f t="shared" si="1"/>
        <v>#REF!</v>
      </c>
      <c r="B22" s="380" t="s">
        <v>702</v>
      </c>
      <c r="C22" s="381">
        <v>150214</v>
      </c>
      <c r="D22" s="800" t="s">
        <v>619</v>
      </c>
      <c r="E22" s="800"/>
      <c r="F22" s="669" t="s">
        <v>296</v>
      </c>
      <c r="G22" s="383">
        <v>33861</v>
      </c>
      <c r="H22" s="381" t="s">
        <v>1799</v>
      </c>
      <c r="I22" s="382" t="s">
        <v>1800</v>
      </c>
      <c r="J22" s="382" t="s">
        <v>813</v>
      </c>
      <c r="K22" s="382" t="s">
        <v>35</v>
      </c>
      <c r="L22" s="384">
        <f t="shared" ca="1" si="2"/>
        <v>25.642317629058859</v>
      </c>
      <c r="M22" s="382" t="s">
        <v>786</v>
      </c>
      <c r="N22" s="381" t="s">
        <v>20</v>
      </c>
      <c r="O22" s="381" t="s">
        <v>529</v>
      </c>
      <c r="P22" s="385" t="s">
        <v>1828</v>
      </c>
      <c r="Q22" s="382" t="s">
        <v>1825</v>
      </c>
      <c r="R22" s="378">
        <f t="shared" ca="1" si="3"/>
        <v>43220.445934606483</v>
      </c>
      <c r="S22" s="379">
        <f t="shared" ca="1" si="0"/>
        <v>9359.4459346064832</v>
      </c>
    </row>
    <row r="23" spans="1:19" ht="30" customHeight="1">
      <c r="A23" s="376" t="e">
        <f t="shared" si="1"/>
        <v>#REF!</v>
      </c>
      <c r="B23" s="574" t="s">
        <v>703</v>
      </c>
      <c r="C23" s="381">
        <v>150215</v>
      </c>
      <c r="D23" s="800" t="s">
        <v>1829</v>
      </c>
      <c r="E23" s="800"/>
      <c r="F23" s="669" t="s">
        <v>21</v>
      </c>
      <c r="G23" s="383">
        <v>34546</v>
      </c>
      <c r="H23" s="381" t="s">
        <v>1799</v>
      </c>
      <c r="I23" s="382" t="s">
        <v>1800</v>
      </c>
      <c r="J23" s="382" t="s">
        <v>817</v>
      </c>
      <c r="K23" s="382" t="s">
        <v>35</v>
      </c>
      <c r="L23" s="384">
        <f t="shared" ca="1" si="2"/>
        <v>23.765605300291735</v>
      </c>
      <c r="M23" s="382" t="s">
        <v>786</v>
      </c>
      <c r="N23" s="381" t="s">
        <v>20</v>
      </c>
      <c r="O23" s="381" t="s">
        <v>529</v>
      </c>
      <c r="P23" s="386" t="s">
        <v>1830</v>
      </c>
      <c r="Q23" s="382" t="s">
        <v>1802</v>
      </c>
      <c r="R23" s="378">
        <f t="shared" ca="1" si="3"/>
        <v>43220.445934606483</v>
      </c>
      <c r="S23" s="379">
        <f t="shared" ca="1" si="0"/>
        <v>8674.4459346064832</v>
      </c>
    </row>
    <row r="24" spans="1:19" ht="30" customHeight="1">
      <c r="A24" s="376" t="e">
        <f t="shared" si="1"/>
        <v>#REF!</v>
      </c>
      <c r="B24" s="380" t="s">
        <v>721</v>
      </c>
      <c r="C24" s="381">
        <v>150186</v>
      </c>
      <c r="D24" s="800" t="s">
        <v>1781</v>
      </c>
      <c r="E24" s="800"/>
      <c r="F24" s="669" t="s">
        <v>492</v>
      </c>
      <c r="G24" s="383">
        <v>33889</v>
      </c>
      <c r="H24" s="381" t="s">
        <v>1799</v>
      </c>
      <c r="I24" s="382" t="s">
        <v>1800</v>
      </c>
      <c r="J24" s="382" t="s">
        <v>813</v>
      </c>
      <c r="K24" s="382" t="s">
        <v>35</v>
      </c>
      <c r="L24" s="384">
        <f t="shared" ca="1" si="2"/>
        <v>25.565605300291736</v>
      </c>
      <c r="M24" s="382" t="s">
        <v>786</v>
      </c>
      <c r="N24" s="381" t="s">
        <v>20</v>
      </c>
      <c r="O24" s="381" t="s">
        <v>529</v>
      </c>
      <c r="P24" s="385" t="s">
        <v>1831</v>
      </c>
      <c r="Q24" s="382" t="s">
        <v>1802</v>
      </c>
      <c r="R24" s="378">
        <f t="shared" ca="1" si="3"/>
        <v>43220.445934606483</v>
      </c>
      <c r="S24" s="379">
        <f t="shared" ca="1" si="0"/>
        <v>9331.4459346064832</v>
      </c>
    </row>
    <row r="25" spans="1:19" ht="30" customHeight="1">
      <c r="A25" s="376" t="e">
        <f>+#REF!+1</f>
        <v>#REF!</v>
      </c>
      <c r="B25" s="574" t="s">
        <v>130</v>
      </c>
      <c r="C25" s="381">
        <v>150216</v>
      </c>
      <c r="D25" s="800" t="s">
        <v>630</v>
      </c>
      <c r="E25" s="800"/>
      <c r="F25" s="669" t="s">
        <v>21</v>
      </c>
      <c r="G25" s="383">
        <v>33955</v>
      </c>
      <c r="H25" s="381" t="s">
        <v>1799</v>
      </c>
      <c r="I25" s="382" t="s">
        <v>1800</v>
      </c>
      <c r="J25" s="382" t="s">
        <v>813</v>
      </c>
      <c r="K25" s="382" t="s">
        <v>35</v>
      </c>
      <c r="L25" s="384">
        <f t="shared" ca="1" si="2"/>
        <v>25.384783382483516</v>
      </c>
      <c r="M25" s="382" t="s">
        <v>786</v>
      </c>
      <c r="N25" s="381" t="s">
        <v>20</v>
      </c>
      <c r="O25" s="381" t="s">
        <v>529</v>
      </c>
      <c r="P25" s="385" t="s">
        <v>1832</v>
      </c>
      <c r="Q25" s="382" t="s">
        <v>1802</v>
      </c>
      <c r="R25" s="378">
        <f t="shared" ca="1" si="3"/>
        <v>43220.445934606483</v>
      </c>
      <c r="S25" s="379">
        <f t="shared" ca="1" si="0"/>
        <v>9265.4459346064832</v>
      </c>
    </row>
    <row r="26" spans="1:19" ht="30" customHeight="1">
      <c r="A26" s="376" t="e">
        <f t="shared" si="1"/>
        <v>#REF!</v>
      </c>
      <c r="B26" s="380" t="s">
        <v>722</v>
      </c>
      <c r="C26" s="381">
        <v>150217</v>
      </c>
      <c r="D26" s="800" t="s">
        <v>631</v>
      </c>
      <c r="E26" s="800"/>
      <c r="F26" s="669" t="s">
        <v>1833</v>
      </c>
      <c r="G26" s="383">
        <v>34525</v>
      </c>
      <c r="H26" s="381" t="s">
        <v>1799</v>
      </c>
      <c r="I26" s="382" t="s">
        <v>1800</v>
      </c>
      <c r="J26" s="382" t="s">
        <v>813</v>
      </c>
      <c r="K26" s="382" t="s">
        <v>35</v>
      </c>
      <c r="L26" s="384">
        <f t="shared" ca="1" si="2"/>
        <v>23.823139546867079</v>
      </c>
      <c r="M26" s="382" t="s">
        <v>786</v>
      </c>
      <c r="N26" s="381" t="s">
        <v>20</v>
      </c>
      <c r="O26" s="381" t="s">
        <v>529</v>
      </c>
      <c r="P26" s="387" t="s">
        <v>1834</v>
      </c>
      <c r="Q26" s="382" t="s">
        <v>1802</v>
      </c>
      <c r="R26" s="378">
        <f t="shared" ca="1" si="3"/>
        <v>43220.445934606483</v>
      </c>
      <c r="S26" s="379">
        <f t="shared" ca="1" si="0"/>
        <v>8695.4459346064832</v>
      </c>
    </row>
    <row r="27" spans="1:19" ht="30" customHeight="1">
      <c r="A27" s="376" t="e">
        <f t="shared" si="1"/>
        <v>#REF!</v>
      </c>
      <c r="B27" s="574" t="s">
        <v>723</v>
      </c>
      <c r="C27" s="381">
        <v>150187</v>
      </c>
      <c r="D27" s="800" t="s">
        <v>625</v>
      </c>
      <c r="E27" s="800"/>
      <c r="F27" s="669" t="s">
        <v>178</v>
      </c>
      <c r="G27" s="383">
        <v>32575</v>
      </c>
      <c r="H27" s="381" t="s">
        <v>1799</v>
      </c>
      <c r="I27" s="382" t="s">
        <v>1800</v>
      </c>
      <c r="J27" s="382" t="s">
        <v>813</v>
      </c>
      <c r="K27" s="382" t="s">
        <v>35</v>
      </c>
      <c r="L27" s="384">
        <f t="shared" ca="1" si="2"/>
        <v>29.165605300291734</v>
      </c>
      <c r="M27" s="382" t="s">
        <v>786</v>
      </c>
      <c r="N27" s="381" t="s">
        <v>20</v>
      </c>
      <c r="O27" s="381" t="s">
        <v>529</v>
      </c>
      <c r="P27" s="385" t="s">
        <v>1835</v>
      </c>
      <c r="Q27" s="382" t="s">
        <v>1802</v>
      </c>
      <c r="R27" s="378">
        <f t="shared" ca="1" si="3"/>
        <v>43220.445934606483</v>
      </c>
      <c r="S27" s="379">
        <f t="shared" ca="1" si="0"/>
        <v>10645.445934606483</v>
      </c>
    </row>
    <row r="28" spans="1:19" ht="30" customHeight="1">
      <c r="A28" s="376" t="e">
        <f t="shared" si="1"/>
        <v>#REF!</v>
      </c>
      <c r="B28" s="380" t="s">
        <v>724</v>
      </c>
      <c r="C28" s="381">
        <v>150219</v>
      </c>
      <c r="D28" s="800" t="s">
        <v>615</v>
      </c>
      <c r="E28" s="800"/>
      <c r="F28" s="669" t="s">
        <v>21</v>
      </c>
      <c r="G28" s="383">
        <v>32670</v>
      </c>
      <c r="H28" s="381" t="s">
        <v>1799</v>
      </c>
      <c r="I28" s="382" t="s">
        <v>1800</v>
      </c>
      <c r="J28" s="382" t="s">
        <v>813</v>
      </c>
      <c r="K28" s="382" t="s">
        <v>35</v>
      </c>
      <c r="L28" s="384">
        <f t="shared" ca="1" si="2"/>
        <v>28.905331327688994</v>
      </c>
      <c r="M28" s="382" t="s">
        <v>786</v>
      </c>
      <c r="N28" s="381" t="s">
        <v>20</v>
      </c>
      <c r="O28" s="381" t="s">
        <v>529</v>
      </c>
      <c r="P28" s="385" t="s">
        <v>1836</v>
      </c>
      <c r="Q28" s="382" t="s">
        <v>1802</v>
      </c>
      <c r="R28" s="378">
        <f t="shared" ca="1" si="3"/>
        <v>43220.445934606483</v>
      </c>
      <c r="S28" s="379">
        <f t="shared" ca="1" si="0"/>
        <v>10550.445934606483</v>
      </c>
    </row>
    <row r="29" spans="1:19" ht="30" customHeight="1">
      <c r="A29" s="376" t="e">
        <f>+#REF!+1</f>
        <v>#REF!</v>
      </c>
      <c r="B29" s="574" t="s">
        <v>725</v>
      </c>
      <c r="C29" s="381">
        <v>150220</v>
      </c>
      <c r="D29" s="800" t="s">
        <v>1837</v>
      </c>
      <c r="E29" s="800"/>
      <c r="F29" s="669" t="s">
        <v>21</v>
      </c>
      <c r="G29" s="383">
        <v>32774</v>
      </c>
      <c r="H29" s="381" t="s">
        <v>1799</v>
      </c>
      <c r="I29" s="382" t="s">
        <v>1800</v>
      </c>
      <c r="J29" s="382" t="s">
        <v>813</v>
      </c>
      <c r="K29" s="382" t="s">
        <v>349</v>
      </c>
      <c r="L29" s="384">
        <f t="shared" ca="1" si="2"/>
        <v>28.62039982083968</v>
      </c>
      <c r="M29" s="382" t="s">
        <v>786</v>
      </c>
      <c r="N29" s="381" t="s">
        <v>20</v>
      </c>
      <c r="O29" s="381" t="s">
        <v>529</v>
      </c>
      <c r="P29" s="385" t="s">
        <v>1838</v>
      </c>
      <c r="Q29" s="382" t="s">
        <v>1802</v>
      </c>
      <c r="R29" s="378">
        <f t="shared" ca="1" si="3"/>
        <v>43220.445934606483</v>
      </c>
      <c r="S29" s="379">
        <f t="shared" ca="1" si="0"/>
        <v>10446.445934606483</v>
      </c>
    </row>
    <row r="30" spans="1:19" ht="30" customHeight="1">
      <c r="A30" s="376" t="e">
        <f t="shared" si="1"/>
        <v>#REF!</v>
      </c>
      <c r="B30" s="380" t="s">
        <v>726</v>
      </c>
      <c r="C30" s="381">
        <v>150223</v>
      </c>
      <c r="D30" s="800" t="s">
        <v>626</v>
      </c>
      <c r="E30" s="800"/>
      <c r="F30" s="669" t="s">
        <v>267</v>
      </c>
      <c r="G30" s="383">
        <v>34051</v>
      </c>
      <c r="H30" s="381" t="s">
        <v>1799</v>
      </c>
      <c r="I30" s="382" t="s">
        <v>1800</v>
      </c>
      <c r="J30" s="382" t="s">
        <v>813</v>
      </c>
      <c r="K30" s="382" t="s">
        <v>594</v>
      </c>
      <c r="L30" s="384">
        <f t="shared" ca="1" si="2"/>
        <v>25.12176968385338</v>
      </c>
      <c r="M30" s="382" t="s">
        <v>786</v>
      </c>
      <c r="N30" s="381" t="s">
        <v>20</v>
      </c>
      <c r="O30" s="381" t="s">
        <v>529</v>
      </c>
      <c r="P30" s="386" t="s">
        <v>1839</v>
      </c>
      <c r="Q30" s="382" t="s">
        <v>1802</v>
      </c>
      <c r="R30" s="378">
        <f t="shared" ca="1" si="3"/>
        <v>43220.445934606483</v>
      </c>
      <c r="S30" s="379">
        <f t="shared" ca="1" si="0"/>
        <v>9169.4459346064832</v>
      </c>
    </row>
    <row r="31" spans="1:19" ht="30" customHeight="1">
      <c r="A31" s="376" t="e">
        <f>+#REF!+1</f>
        <v>#REF!</v>
      </c>
      <c r="B31" s="574" t="s">
        <v>727</v>
      </c>
      <c r="C31" s="381">
        <v>150191</v>
      </c>
      <c r="D31" s="800" t="s">
        <v>1840</v>
      </c>
      <c r="E31" s="800"/>
      <c r="F31" s="669" t="s">
        <v>21</v>
      </c>
      <c r="G31" s="383">
        <v>33217</v>
      </c>
      <c r="H31" s="381" t="s">
        <v>1799</v>
      </c>
      <c r="I31" s="382" t="s">
        <v>1800</v>
      </c>
      <c r="J31" s="382" t="s">
        <v>813</v>
      </c>
      <c r="K31" s="382" t="s">
        <v>35</v>
      </c>
      <c r="L31" s="384">
        <f t="shared" ca="1" si="2"/>
        <v>27.406701190702695</v>
      </c>
      <c r="M31" s="382" t="s">
        <v>786</v>
      </c>
      <c r="N31" s="381" t="s">
        <v>20</v>
      </c>
      <c r="O31" s="381" t="s">
        <v>529</v>
      </c>
      <c r="P31" s="387" t="s">
        <v>1841</v>
      </c>
      <c r="Q31" s="382" t="s">
        <v>1802</v>
      </c>
      <c r="R31" s="378">
        <f t="shared" ca="1" si="3"/>
        <v>43220.445934606483</v>
      </c>
      <c r="S31" s="379">
        <f t="shared" ca="1" si="0"/>
        <v>10003.445934606483</v>
      </c>
    </row>
    <row r="32" spans="1:19" ht="30" customHeight="1">
      <c r="A32" s="376" t="e">
        <f t="shared" si="1"/>
        <v>#REF!</v>
      </c>
      <c r="B32" s="380" t="s">
        <v>728</v>
      </c>
      <c r="C32" s="381">
        <v>150192</v>
      </c>
      <c r="D32" s="800" t="s">
        <v>1782</v>
      </c>
      <c r="E32" s="800"/>
      <c r="F32" s="669" t="s">
        <v>80</v>
      </c>
      <c r="G32" s="383">
        <v>34138</v>
      </c>
      <c r="H32" s="381" t="s">
        <v>1799</v>
      </c>
      <c r="I32" s="382" t="s">
        <v>1800</v>
      </c>
      <c r="J32" s="382" t="s">
        <v>813</v>
      </c>
      <c r="K32" s="382" t="s">
        <v>594</v>
      </c>
      <c r="L32" s="384">
        <f t="shared" ca="1" si="2"/>
        <v>24.883413519469816</v>
      </c>
      <c r="M32" s="382" t="s">
        <v>786</v>
      </c>
      <c r="N32" s="381" t="s">
        <v>20</v>
      </c>
      <c r="O32" s="381" t="s">
        <v>529</v>
      </c>
      <c r="P32" s="385" t="s">
        <v>1842</v>
      </c>
      <c r="Q32" s="382" t="s">
        <v>1802</v>
      </c>
      <c r="R32" s="378">
        <f t="shared" ca="1" si="3"/>
        <v>43220.445934606483</v>
      </c>
      <c r="S32" s="379">
        <f t="shared" ca="1" si="0"/>
        <v>9082.4459346064832</v>
      </c>
    </row>
    <row r="33" spans="1:19" ht="30" customHeight="1">
      <c r="A33" s="376" t="e">
        <f t="shared" si="1"/>
        <v>#REF!</v>
      </c>
      <c r="B33" s="574" t="s">
        <v>729</v>
      </c>
      <c r="C33" s="381">
        <v>150224</v>
      </c>
      <c r="D33" s="800" t="s">
        <v>1764</v>
      </c>
      <c r="E33" s="800"/>
      <c r="F33" s="669" t="s">
        <v>255</v>
      </c>
      <c r="G33" s="383">
        <v>34148</v>
      </c>
      <c r="H33" s="381" t="s">
        <v>1812</v>
      </c>
      <c r="I33" s="382" t="s">
        <v>1800</v>
      </c>
      <c r="J33" s="382" t="s">
        <v>813</v>
      </c>
      <c r="K33" s="382" t="s">
        <v>35</v>
      </c>
      <c r="L33" s="384">
        <f t="shared" ca="1" si="2"/>
        <v>24.856016259195844</v>
      </c>
      <c r="M33" s="382" t="s">
        <v>786</v>
      </c>
      <c r="N33" s="381" t="s">
        <v>31</v>
      </c>
      <c r="O33" s="381" t="s">
        <v>23</v>
      </c>
      <c r="P33" s="387" t="s">
        <v>1843</v>
      </c>
      <c r="Q33" s="382" t="s">
        <v>1802</v>
      </c>
      <c r="R33" s="378">
        <f t="shared" ca="1" si="3"/>
        <v>43220.445934606483</v>
      </c>
      <c r="S33" s="379">
        <f t="shared" ca="1" si="0"/>
        <v>9072.4459346064832</v>
      </c>
    </row>
    <row r="34" spans="1:19" ht="30" customHeight="1">
      <c r="A34" s="376" t="e">
        <f>+#REF!+1</f>
        <v>#REF!</v>
      </c>
      <c r="B34" s="380" t="s">
        <v>730</v>
      </c>
      <c r="C34" s="381">
        <v>150194</v>
      </c>
      <c r="D34" s="800" t="s">
        <v>1844</v>
      </c>
      <c r="E34" s="800"/>
      <c r="F34" s="669" t="s">
        <v>21</v>
      </c>
      <c r="G34" s="383">
        <v>34375</v>
      </c>
      <c r="H34" s="381" t="s">
        <v>1799</v>
      </c>
      <c r="I34" s="382" t="s">
        <v>1800</v>
      </c>
      <c r="J34" s="382" t="s">
        <v>813</v>
      </c>
      <c r="K34" s="382" t="s">
        <v>35</v>
      </c>
      <c r="L34" s="384">
        <f t="shared" ca="1" si="2"/>
        <v>24.234098450976667</v>
      </c>
      <c r="M34" s="382" t="s">
        <v>786</v>
      </c>
      <c r="N34" s="381" t="s">
        <v>20</v>
      </c>
      <c r="O34" s="381" t="s">
        <v>529</v>
      </c>
      <c r="P34" s="385" t="s">
        <v>1845</v>
      </c>
      <c r="Q34" s="382" t="s">
        <v>1802</v>
      </c>
      <c r="R34" s="378">
        <f t="shared" ca="1" si="3"/>
        <v>43220.445934606483</v>
      </c>
      <c r="S34" s="379">
        <f t="shared" ca="1" si="0"/>
        <v>8845.4459346064832</v>
      </c>
    </row>
    <row r="35" spans="1:19" ht="30" customHeight="1">
      <c r="A35" s="376" t="e">
        <f t="shared" si="1"/>
        <v>#REF!</v>
      </c>
      <c r="B35" s="574" t="s">
        <v>731</v>
      </c>
      <c r="C35" s="381">
        <v>150226</v>
      </c>
      <c r="D35" s="800" t="s">
        <v>614</v>
      </c>
      <c r="E35" s="800"/>
      <c r="F35" s="669" t="s">
        <v>21</v>
      </c>
      <c r="G35" s="383">
        <v>33129</v>
      </c>
      <c r="H35" s="381" t="s">
        <v>1799</v>
      </c>
      <c r="I35" s="382" t="s">
        <v>1800</v>
      </c>
      <c r="J35" s="382" t="s">
        <v>813</v>
      </c>
      <c r="K35" s="382" t="s">
        <v>175</v>
      </c>
      <c r="L35" s="384">
        <f t="shared" ca="1" si="2"/>
        <v>27.647797081113652</v>
      </c>
      <c r="M35" s="382" t="s">
        <v>786</v>
      </c>
      <c r="N35" s="381" t="s">
        <v>31</v>
      </c>
      <c r="O35" s="381" t="s">
        <v>2586</v>
      </c>
      <c r="P35" s="385" t="s">
        <v>1846</v>
      </c>
      <c r="Q35" s="382" t="s">
        <v>1802</v>
      </c>
      <c r="R35" s="378">
        <f t="shared" ca="1" si="3"/>
        <v>43220.445934606483</v>
      </c>
      <c r="S35" s="379">
        <f t="shared" ca="1" si="0"/>
        <v>10091.445934606483</v>
      </c>
    </row>
    <row r="36" spans="1:19" ht="30" customHeight="1">
      <c r="A36" s="376" t="e">
        <f t="shared" si="1"/>
        <v>#REF!</v>
      </c>
      <c r="B36" s="380" t="s">
        <v>732</v>
      </c>
      <c r="C36" s="381">
        <v>150227</v>
      </c>
      <c r="D36" s="800" t="s">
        <v>623</v>
      </c>
      <c r="E36" s="800"/>
      <c r="F36" s="669" t="s">
        <v>21</v>
      </c>
      <c r="G36" s="383">
        <v>34459</v>
      </c>
      <c r="H36" s="381" t="s">
        <v>1799</v>
      </c>
      <c r="I36" s="382" t="s">
        <v>1800</v>
      </c>
      <c r="J36" s="382" t="s">
        <v>813</v>
      </c>
      <c r="K36" s="382" t="s">
        <v>35</v>
      </c>
      <c r="L36" s="384">
        <f t="shared" ca="1" si="2"/>
        <v>24.003961464675296</v>
      </c>
      <c r="M36" s="382" t="s">
        <v>786</v>
      </c>
      <c r="N36" s="381" t="s">
        <v>20</v>
      </c>
      <c r="O36" s="381" t="s">
        <v>529</v>
      </c>
      <c r="P36" s="385" t="s">
        <v>1847</v>
      </c>
      <c r="Q36" s="382" t="s">
        <v>1802</v>
      </c>
      <c r="R36" s="378">
        <f t="shared" ca="1" si="3"/>
        <v>43220.445934606483</v>
      </c>
      <c r="S36" s="379">
        <f t="shared" ca="1" si="0"/>
        <v>8761.4459346064832</v>
      </c>
    </row>
    <row r="37" spans="1:19" ht="30" customHeight="1">
      <c r="A37" s="376" t="e">
        <f>+#REF!+1</f>
        <v>#REF!</v>
      </c>
      <c r="B37" s="574" t="s">
        <v>733</v>
      </c>
      <c r="C37" s="381">
        <v>150197</v>
      </c>
      <c r="D37" s="800" t="s">
        <v>616</v>
      </c>
      <c r="E37" s="800"/>
      <c r="F37" s="669" t="s">
        <v>21</v>
      </c>
      <c r="G37" s="383">
        <v>32235</v>
      </c>
      <c r="H37" s="381" t="s">
        <v>1799</v>
      </c>
      <c r="I37" s="382" t="s">
        <v>1800</v>
      </c>
      <c r="J37" s="382" t="s">
        <v>813</v>
      </c>
      <c r="K37" s="382" t="s">
        <v>35</v>
      </c>
      <c r="L37" s="384">
        <f t="shared" ca="1" si="2"/>
        <v>30.097112149606804</v>
      </c>
      <c r="M37" s="382" t="s">
        <v>786</v>
      </c>
      <c r="N37" s="381" t="s">
        <v>20</v>
      </c>
      <c r="O37" s="381" t="s">
        <v>529</v>
      </c>
      <c r="P37" s="386" t="s">
        <v>1848</v>
      </c>
      <c r="Q37" s="382" t="s">
        <v>1802</v>
      </c>
      <c r="R37" s="378">
        <f t="shared" ca="1" si="3"/>
        <v>43220.445934606483</v>
      </c>
      <c r="S37" s="379">
        <f t="shared" ca="1" si="0"/>
        <v>10985.445934606483</v>
      </c>
    </row>
    <row r="38" spans="1:19" ht="30" customHeight="1">
      <c r="A38" s="376" t="e">
        <f t="shared" si="1"/>
        <v>#REF!</v>
      </c>
      <c r="B38" s="380" t="s">
        <v>734</v>
      </c>
      <c r="C38" s="381">
        <v>150228</v>
      </c>
      <c r="D38" s="800" t="s">
        <v>621</v>
      </c>
      <c r="E38" s="800"/>
      <c r="F38" s="669" t="s">
        <v>21</v>
      </c>
      <c r="G38" s="383">
        <v>33702</v>
      </c>
      <c r="H38" s="381" t="s">
        <v>1799</v>
      </c>
      <c r="I38" s="382" t="s">
        <v>1800</v>
      </c>
      <c r="J38" s="382" t="s">
        <v>813</v>
      </c>
      <c r="K38" s="382" t="s">
        <v>38</v>
      </c>
      <c r="L38" s="384">
        <f t="shared" ca="1" si="2"/>
        <v>26.077934067415022</v>
      </c>
      <c r="M38" s="382" t="s">
        <v>786</v>
      </c>
      <c r="N38" s="381" t="s">
        <v>20</v>
      </c>
      <c r="O38" s="381" t="s">
        <v>529</v>
      </c>
      <c r="P38" s="385" t="s">
        <v>1849</v>
      </c>
      <c r="Q38" s="382" t="s">
        <v>1802</v>
      </c>
      <c r="R38" s="378">
        <f t="shared" ca="1" si="3"/>
        <v>43220.445934606483</v>
      </c>
      <c r="S38" s="379">
        <f t="shared" ca="1" si="0"/>
        <v>9518.4459346064832</v>
      </c>
    </row>
    <row r="39" spans="1:19" ht="30" customHeight="1">
      <c r="A39" s="376" t="e">
        <f>+#REF!+1</f>
        <v>#REF!</v>
      </c>
      <c r="B39" s="574" t="s">
        <v>735</v>
      </c>
      <c r="C39" s="381">
        <v>150207</v>
      </c>
      <c r="D39" s="802" t="s">
        <v>1765</v>
      </c>
      <c r="E39" s="802"/>
      <c r="F39" s="669" t="s">
        <v>21</v>
      </c>
      <c r="G39" s="383">
        <v>34481</v>
      </c>
      <c r="H39" s="381" t="s">
        <v>1850</v>
      </c>
      <c r="I39" s="382"/>
      <c r="J39" s="382"/>
      <c r="K39" s="382"/>
      <c r="L39" s="384">
        <f t="shared" ca="1" si="2"/>
        <v>23.943687492072556</v>
      </c>
      <c r="M39" s="382" t="s">
        <v>786</v>
      </c>
      <c r="N39" s="381" t="s">
        <v>20</v>
      </c>
      <c r="O39" s="381" t="s">
        <v>529</v>
      </c>
      <c r="P39" s="385" t="s">
        <v>1851</v>
      </c>
      <c r="Q39" s="382"/>
      <c r="R39" s="378">
        <f t="shared" ca="1" si="3"/>
        <v>43220.445934606483</v>
      </c>
      <c r="S39" s="379">
        <f t="shared" ca="1" si="0"/>
        <v>8739.4459346064832</v>
      </c>
    </row>
    <row r="40" spans="1:19" ht="30" customHeight="1">
      <c r="A40" s="376" t="e">
        <f>+#REF!+1</f>
        <v>#REF!</v>
      </c>
      <c r="B40" s="380" t="s">
        <v>736</v>
      </c>
      <c r="C40" s="381">
        <v>150221</v>
      </c>
      <c r="D40" s="1023" t="s">
        <v>1766</v>
      </c>
      <c r="E40" s="1023"/>
      <c r="F40" s="669" t="s">
        <v>21</v>
      </c>
      <c r="G40" s="383">
        <v>34081</v>
      </c>
      <c r="H40" s="381" t="s">
        <v>1850</v>
      </c>
      <c r="I40" s="382"/>
      <c r="J40" s="382"/>
      <c r="K40" s="382"/>
      <c r="L40" s="384">
        <f t="shared" ca="1" si="2"/>
        <v>25.039577903031461</v>
      </c>
      <c r="M40" s="382" t="s">
        <v>786</v>
      </c>
      <c r="N40" s="381" t="s">
        <v>20</v>
      </c>
      <c r="O40" s="381" t="s">
        <v>529</v>
      </c>
      <c r="P40" s="385" t="s">
        <v>1852</v>
      </c>
      <c r="Q40" s="382"/>
      <c r="R40" s="378">
        <f t="shared" ca="1" si="3"/>
        <v>43220.445934606483</v>
      </c>
      <c r="S40" s="379">
        <f t="shared" ca="1" si="0"/>
        <v>9139.4459346064832</v>
      </c>
    </row>
    <row r="41" spans="1:19" ht="30" customHeight="1">
      <c r="A41" s="376" t="e">
        <f t="shared" si="1"/>
        <v>#REF!</v>
      </c>
      <c r="B41" s="574" t="s">
        <v>737</v>
      </c>
      <c r="C41" s="381">
        <v>150222</v>
      </c>
      <c r="D41" s="1023" t="s">
        <v>1767</v>
      </c>
      <c r="E41" s="1023"/>
      <c r="F41" s="669" t="s">
        <v>21</v>
      </c>
      <c r="G41" s="383">
        <v>34137</v>
      </c>
      <c r="H41" s="381" t="s">
        <v>1850</v>
      </c>
      <c r="I41" s="382"/>
      <c r="J41" s="382"/>
      <c r="K41" s="382"/>
      <c r="L41" s="384">
        <f t="shared" ca="1" si="2"/>
        <v>24.886153245497216</v>
      </c>
      <c r="M41" s="382" t="s">
        <v>786</v>
      </c>
      <c r="N41" s="381" t="s">
        <v>20</v>
      </c>
      <c r="O41" s="381" t="s">
        <v>529</v>
      </c>
      <c r="P41" s="385" t="s">
        <v>1853</v>
      </c>
      <c r="Q41" s="382"/>
      <c r="R41" s="378">
        <f t="shared" ca="1" si="3"/>
        <v>43220.445934606483</v>
      </c>
      <c r="S41" s="379">
        <f t="shared" ca="1" si="0"/>
        <v>9083.4459346064832</v>
      </c>
    </row>
    <row r="42" spans="1:19" ht="30" customHeight="1">
      <c r="A42" s="376" t="e">
        <f t="shared" si="1"/>
        <v>#REF!</v>
      </c>
      <c r="B42" s="380" t="s">
        <v>738</v>
      </c>
      <c r="C42" s="381">
        <v>150189</v>
      </c>
      <c r="D42" s="1023" t="s">
        <v>1768</v>
      </c>
      <c r="E42" s="1023"/>
      <c r="F42" s="669" t="s">
        <v>21</v>
      </c>
      <c r="G42" s="383">
        <v>34508</v>
      </c>
      <c r="H42" s="381" t="s">
        <v>1850</v>
      </c>
      <c r="I42" s="382"/>
      <c r="J42" s="382"/>
      <c r="K42" s="382"/>
      <c r="L42" s="384">
        <f t="shared" ca="1" si="2"/>
        <v>23.86971488933283</v>
      </c>
      <c r="M42" s="382" t="s">
        <v>786</v>
      </c>
      <c r="N42" s="381" t="s">
        <v>20</v>
      </c>
      <c r="O42" s="381" t="s">
        <v>529</v>
      </c>
      <c r="P42" s="385" t="s">
        <v>1854</v>
      </c>
      <c r="Q42" s="382"/>
      <c r="R42" s="378">
        <f t="shared" ca="1" si="3"/>
        <v>43220.445934606483</v>
      </c>
      <c r="S42" s="379">
        <f t="shared" ca="1" si="0"/>
        <v>8712.4459346064832</v>
      </c>
    </row>
    <row r="43" spans="1:19" ht="30" customHeight="1">
      <c r="A43" s="376" t="e">
        <f t="shared" si="1"/>
        <v>#REF!</v>
      </c>
      <c r="B43" s="574" t="s">
        <v>739</v>
      </c>
      <c r="C43" s="381">
        <v>150225</v>
      </c>
      <c r="D43" s="1023" t="s">
        <v>1769</v>
      </c>
      <c r="E43" s="1023"/>
      <c r="F43" s="669" t="s">
        <v>21</v>
      </c>
      <c r="G43" s="383">
        <v>34369</v>
      </c>
      <c r="H43" s="381" t="s">
        <v>1850</v>
      </c>
      <c r="I43" s="382"/>
      <c r="J43" s="382"/>
      <c r="K43" s="382"/>
      <c r="L43" s="384">
        <f t="shared" ca="1" si="2"/>
        <v>24.250536807141049</v>
      </c>
      <c r="M43" s="382" t="s">
        <v>786</v>
      </c>
      <c r="N43" s="381" t="s">
        <v>20</v>
      </c>
      <c r="O43" s="381" t="s">
        <v>529</v>
      </c>
      <c r="P43" s="385" t="s">
        <v>1855</v>
      </c>
      <c r="Q43" s="382"/>
      <c r="R43" s="378">
        <f t="shared" ca="1" si="3"/>
        <v>43220.445934606483</v>
      </c>
      <c r="S43" s="379">
        <f t="shared" ca="1" si="0"/>
        <v>8851.4459346064832</v>
      </c>
    </row>
    <row r="44" spans="1:19" ht="30" customHeight="1">
      <c r="A44" s="376" t="e">
        <f>+#REF!+1</f>
        <v>#REF!</v>
      </c>
      <c r="B44" s="380" t="s">
        <v>740</v>
      </c>
      <c r="C44" s="381">
        <v>150229</v>
      </c>
      <c r="D44" s="1024" t="s">
        <v>1770</v>
      </c>
      <c r="E44" s="1025"/>
      <c r="F44" s="669" t="s">
        <v>21</v>
      </c>
      <c r="G44" s="383">
        <v>34521</v>
      </c>
      <c r="H44" s="381" t="s">
        <v>1812</v>
      </c>
      <c r="I44" s="382"/>
      <c r="J44" s="382"/>
      <c r="K44" s="382"/>
      <c r="L44" s="384">
        <f t="shared" ref="L44:L47" ca="1" si="4">S44/365</f>
        <v>23.834098450976665</v>
      </c>
      <c r="M44" s="382" t="s">
        <v>786</v>
      </c>
      <c r="N44" s="381" t="s">
        <v>31</v>
      </c>
      <c r="O44" s="381" t="s">
        <v>529</v>
      </c>
      <c r="P44" s="385" t="s">
        <v>1856</v>
      </c>
      <c r="Q44" s="382"/>
      <c r="R44" s="378">
        <f t="shared" ca="1" si="3"/>
        <v>43220.445934606483</v>
      </c>
      <c r="S44" s="379">
        <f t="shared" ca="1" si="0"/>
        <v>8699.4459346064832</v>
      </c>
    </row>
    <row r="45" spans="1:19" ht="30" customHeight="1">
      <c r="A45" s="376" t="e">
        <f t="shared" ref="A45:A46" si="5">+A44+1</f>
        <v>#REF!</v>
      </c>
      <c r="B45" s="574" t="s">
        <v>741</v>
      </c>
      <c r="C45" s="381">
        <v>150183</v>
      </c>
      <c r="D45" s="1023" t="s">
        <v>403</v>
      </c>
      <c r="E45" s="1023"/>
      <c r="F45" s="669" t="s">
        <v>1857</v>
      </c>
      <c r="G45" s="383">
        <v>33538</v>
      </c>
      <c r="H45" s="381"/>
      <c r="I45" s="382"/>
      <c r="J45" s="382"/>
      <c r="K45" s="382"/>
      <c r="L45" s="384">
        <f t="shared" ca="1" si="4"/>
        <v>26.527249135908175</v>
      </c>
      <c r="M45" s="382" t="s">
        <v>786</v>
      </c>
      <c r="N45" s="381" t="s">
        <v>20</v>
      </c>
      <c r="O45" s="381" t="s">
        <v>529</v>
      </c>
      <c r="P45" s="385" t="s">
        <v>1858</v>
      </c>
      <c r="Q45" s="382"/>
      <c r="R45" s="378">
        <f t="shared" ca="1" si="3"/>
        <v>43220.445934606483</v>
      </c>
      <c r="S45" s="379">
        <f t="shared" ca="1" si="0"/>
        <v>9682.4459346064832</v>
      </c>
    </row>
    <row r="46" spans="1:19" ht="30" customHeight="1">
      <c r="A46" s="376" t="e">
        <f t="shared" si="5"/>
        <v>#REF!</v>
      </c>
      <c r="B46" s="380" t="s">
        <v>742</v>
      </c>
      <c r="C46" s="381">
        <v>151901</v>
      </c>
      <c r="D46" s="1024" t="s">
        <v>2431</v>
      </c>
      <c r="E46" s="1025"/>
      <c r="F46" s="669" t="s">
        <v>139</v>
      </c>
      <c r="G46" s="383">
        <v>34177</v>
      </c>
      <c r="H46" s="381"/>
      <c r="I46" s="382"/>
      <c r="J46" s="382"/>
      <c r="K46" s="382"/>
      <c r="L46" s="384">
        <f t="shared" ca="1" si="4"/>
        <v>24.776564204401325</v>
      </c>
      <c r="M46" s="382" t="s">
        <v>786</v>
      </c>
      <c r="N46" s="381" t="s">
        <v>20</v>
      </c>
      <c r="O46" s="381" t="s">
        <v>23</v>
      </c>
      <c r="P46" s="385" t="s">
        <v>2472</v>
      </c>
      <c r="Q46" s="382"/>
      <c r="R46" s="378">
        <f t="shared" ca="1" si="3"/>
        <v>43220.445934606483</v>
      </c>
      <c r="S46" s="379">
        <f t="shared" ca="1" si="0"/>
        <v>9043.4459346064832</v>
      </c>
    </row>
    <row r="47" spans="1:19" ht="30" customHeight="1">
      <c r="A47" s="376"/>
      <c r="B47" s="574" t="s">
        <v>743</v>
      </c>
      <c r="C47" s="381">
        <v>150218</v>
      </c>
      <c r="D47" s="1023" t="s">
        <v>1859</v>
      </c>
      <c r="E47" s="1023"/>
      <c r="F47" s="669" t="s">
        <v>21</v>
      </c>
      <c r="G47" s="383">
        <v>34547</v>
      </c>
      <c r="H47" s="381"/>
      <c r="I47" s="382"/>
      <c r="J47" s="382"/>
      <c r="K47" s="382"/>
      <c r="L47" s="384">
        <f t="shared" ca="1" si="4"/>
        <v>23.762865574264339</v>
      </c>
      <c r="M47" s="382" t="s">
        <v>786</v>
      </c>
      <c r="N47" s="381" t="s">
        <v>31</v>
      </c>
      <c r="O47" s="381" t="s">
        <v>529</v>
      </c>
      <c r="P47" s="385" t="s">
        <v>1860</v>
      </c>
      <c r="Q47" s="382"/>
      <c r="R47" s="378">
        <f t="shared" ca="1" si="3"/>
        <v>43220.445934606483</v>
      </c>
      <c r="S47" s="379">
        <f t="shared" ca="1" si="0"/>
        <v>8673.4459346064832</v>
      </c>
    </row>
    <row r="48" spans="1:19" ht="30" customHeight="1" thickBot="1">
      <c r="A48" s="376" t="e">
        <f>+A46+1</f>
        <v>#REF!</v>
      </c>
      <c r="B48" s="798"/>
      <c r="C48" s="388"/>
      <c r="D48" s="1022"/>
      <c r="E48" s="1022"/>
      <c r="F48" s="671"/>
      <c r="G48" s="389"/>
      <c r="H48" s="388"/>
      <c r="I48" s="390"/>
      <c r="J48" s="390"/>
      <c r="K48" s="390"/>
      <c r="L48" s="391"/>
      <c r="M48" s="390"/>
      <c r="N48" s="388"/>
      <c r="O48" s="388"/>
      <c r="P48" s="392"/>
      <c r="Q48" s="390"/>
      <c r="R48" s="378"/>
      <c r="S48" s="379"/>
    </row>
    <row r="49" spans="1:17" ht="30" customHeight="1">
      <c r="A49" s="181"/>
      <c r="B49" s="181"/>
      <c r="C49" s="181"/>
      <c r="D49" s="181"/>
      <c r="E49" s="181"/>
      <c r="F49" s="672"/>
      <c r="G49" s="182"/>
      <c r="H49" s="650"/>
      <c r="I49" s="181"/>
      <c r="J49" s="181"/>
      <c r="K49" s="181"/>
      <c r="L49" s="650"/>
      <c r="M49" s="181"/>
      <c r="N49" s="650"/>
      <c r="O49" s="781"/>
      <c r="P49" s="183"/>
      <c r="Q49" s="181"/>
    </row>
    <row r="50" spans="1:17" ht="30" customHeight="1">
      <c r="A50" s="181"/>
      <c r="B50" s="181"/>
      <c r="C50" s="1018" t="s">
        <v>633</v>
      </c>
      <c r="D50" s="1018"/>
      <c r="E50" s="1018"/>
      <c r="F50" s="672"/>
      <c r="G50" s="182"/>
      <c r="H50" s="650"/>
      <c r="I50" s="181"/>
      <c r="J50" s="181"/>
      <c r="K50" s="181"/>
      <c r="L50" s="650"/>
      <c r="M50" s="181"/>
      <c r="N50" s="650"/>
      <c r="O50" s="781"/>
      <c r="P50" s="396" t="s">
        <v>2826</v>
      </c>
      <c r="Q50" s="396"/>
    </row>
    <row r="51" spans="1:17" ht="30" customHeight="1">
      <c r="A51" s="181"/>
      <c r="B51" s="181"/>
      <c r="C51" s="1018" t="s">
        <v>676</v>
      </c>
      <c r="D51" s="1018"/>
      <c r="E51" s="1018"/>
      <c r="F51" s="672"/>
      <c r="G51" s="182"/>
      <c r="H51" s="650"/>
      <c r="I51" s="181"/>
      <c r="J51" s="181"/>
      <c r="K51" s="181"/>
      <c r="L51" s="650"/>
      <c r="M51" s="181"/>
      <c r="N51" s="650"/>
      <c r="O51" s="781"/>
      <c r="P51" s="396" t="s">
        <v>2517</v>
      </c>
      <c r="Q51" s="396"/>
    </row>
    <row r="52" spans="1:17" ht="30" customHeight="1">
      <c r="A52" s="181"/>
      <c r="B52" s="181"/>
      <c r="C52" s="181"/>
      <c r="D52" s="181"/>
      <c r="E52" s="181"/>
      <c r="F52" s="672"/>
      <c r="G52" s="182"/>
      <c r="H52" s="650"/>
      <c r="I52" s="181"/>
      <c r="J52" s="181"/>
      <c r="K52" s="181"/>
      <c r="L52" s="650"/>
      <c r="M52" s="181"/>
      <c r="N52" s="650"/>
      <c r="O52" s="781"/>
      <c r="P52" s="183"/>
      <c r="Q52" s="181"/>
    </row>
    <row r="53" spans="1:17" ht="30" customHeight="1">
      <c r="A53" s="181"/>
      <c r="B53" s="181"/>
      <c r="C53" s="181"/>
      <c r="D53" s="181"/>
      <c r="E53" s="181"/>
      <c r="F53" s="672"/>
      <c r="G53" s="182"/>
      <c r="H53" s="650"/>
      <c r="I53" s="181"/>
      <c r="J53" s="181"/>
      <c r="K53" s="181"/>
      <c r="L53" s="650"/>
      <c r="M53" s="181"/>
      <c r="N53" s="650"/>
      <c r="O53" s="781"/>
      <c r="P53" s="183"/>
      <c r="Q53" s="181"/>
    </row>
    <row r="54" spans="1:17" ht="30" customHeight="1">
      <c r="A54" s="181"/>
      <c r="B54" s="181"/>
      <c r="C54" s="1019" t="s">
        <v>2434</v>
      </c>
      <c r="D54" s="1019"/>
      <c r="E54" s="1019"/>
      <c r="F54" s="672"/>
      <c r="G54" s="182"/>
      <c r="H54" s="650"/>
      <c r="I54" s="181"/>
      <c r="J54" s="181"/>
      <c r="K54" s="181"/>
      <c r="L54" s="650"/>
      <c r="M54" s="181"/>
      <c r="N54" s="650"/>
      <c r="O54" s="781"/>
      <c r="P54" s="395" t="s">
        <v>2435</v>
      </c>
      <c r="Q54" s="395"/>
    </row>
    <row r="55" spans="1:17" ht="30" customHeight="1">
      <c r="A55" s="181"/>
      <c r="B55" s="181"/>
      <c r="C55" s="1018" t="s">
        <v>2467</v>
      </c>
      <c r="D55" s="1018"/>
      <c r="E55" s="1018"/>
      <c r="F55" s="672"/>
      <c r="G55" s="182"/>
      <c r="H55" s="650"/>
      <c r="I55" s="181"/>
      <c r="J55" s="181"/>
      <c r="K55" s="181"/>
      <c r="L55" s="650"/>
      <c r="M55" s="181"/>
      <c r="N55" s="650"/>
      <c r="O55" s="781"/>
      <c r="P55" s="396" t="s">
        <v>2438</v>
      </c>
      <c r="Q55" s="396"/>
    </row>
    <row r="56" spans="1:17" ht="30" customHeight="1">
      <c r="A56" s="181"/>
      <c r="B56" s="181"/>
      <c r="C56" s="181"/>
      <c r="D56" s="181"/>
      <c r="E56" s="181"/>
      <c r="F56" s="672"/>
      <c r="G56" s="182"/>
      <c r="H56" s="650"/>
      <c r="I56" s="181"/>
      <c r="J56" s="181"/>
      <c r="K56" s="181"/>
      <c r="L56" s="650"/>
      <c r="M56" s="181"/>
      <c r="N56" s="650"/>
      <c r="O56" s="781"/>
      <c r="P56" s="183"/>
      <c r="Q56" s="181"/>
    </row>
    <row r="57" spans="1:17" ht="30" customHeight="1">
      <c r="A57" s="181"/>
      <c r="B57" s="181"/>
      <c r="C57" s="181"/>
      <c r="D57" s="181"/>
      <c r="E57" s="181"/>
      <c r="F57" s="672"/>
      <c r="G57" s="182"/>
      <c r="H57" s="650"/>
      <c r="I57" s="181"/>
      <c r="J57" s="181"/>
      <c r="K57" s="181"/>
      <c r="L57" s="650"/>
      <c r="M57" s="181"/>
      <c r="N57" s="650"/>
      <c r="O57" s="781"/>
      <c r="P57" s="183"/>
      <c r="Q57" s="181"/>
    </row>
    <row r="58" spans="1:17" ht="30" customHeight="1">
      <c r="A58" s="181"/>
      <c r="B58" s="181"/>
      <c r="C58" s="181"/>
      <c r="D58" s="181"/>
      <c r="E58" s="181"/>
      <c r="F58" s="672"/>
      <c r="G58" s="182"/>
      <c r="H58" s="650"/>
      <c r="I58" s="181"/>
      <c r="J58" s="181"/>
      <c r="K58" s="181"/>
      <c r="L58" s="650"/>
      <c r="M58" s="181"/>
      <c r="N58" s="650"/>
      <c r="O58" s="781"/>
      <c r="P58" s="183"/>
      <c r="Q58" s="181"/>
    </row>
    <row r="59" spans="1:17" ht="30" customHeight="1">
      <c r="A59" s="181"/>
      <c r="B59" s="181"/>
      <c r="C59" s="181"/>
      <c r="D59" s="181"/>
      <c r="E59" s="181"/>
      <c r="F59" s="672"/>
      <c r="G59" s="182"/>
      <c r="H59" s="650"/>
      <c r="I59" s="181"/>
      <c r="J59" s="181"/>
      <c r="K59" s="181"/>
      <c r="L59" s="650"/>
      <c r="M59" s="181"/>
      <c r="N59" s="650"/>
      <c r="O59" s="781"/>
      <c r="P59" s="183"/>
      <c r="Q59" s="181"/>
    </row>
    <row r="60" spans="1:17" ht="30" customHeight="1">
      <c r="A60" s="181"/>
      <c r="B60" s="181"/>
      <c r="C60" s="181"/>
      <c r="D60" s="181"/>
      <c r="E60" s="181"/>
      <c r="F60" s="672"/>
      <c r="G60" s="182"/>
      <c r="H60" s="650"/>
      <c r="I60" s="181"/>
      <c r="J60" s="181"/>
      <c r="K60" s="181"/>
      <c r="L60" s="650"/>
      <c r="M60" s="181"/>
      <c r="N60" s="650"/>
      <c r="O60" s="781"/>
      <c r="P60" s="183"/>
      <c r="Q60" s="181"/>
    </row>
    <row r="61" spans="1:17" ht="30" customHeight="1">
      <c r="A61" s="181"/>
      <c r="B61" s="181"/>
      <c r="C61" s="181"/>
      <c r="D61" s="181"/>
      <c r="E61" s="181"/>
      <c r="F61" s="672"/>
      <c r="G61" s="182"/>
      <c r="H61" s="650"/>
      <c r="I61" s="181"/>
      <c r="J61" s="181"/>
      <c r="K61" s="181"/>
      <c r="L61" s="650"/>
      <c r="M61" s="181"/>
      <c r="N61" s="650"/>
      <c r="O61" s="781"/>
      <c r="P61" s="183"/>
      <c r="Q61" s="181"/>
    </row>
    <row r="62" spans="1:17" ht="30" customHeight="1">
      <c r="A62" s="181"/>
      <c r="C62" s="181"/>
      <c r="D62" s="181"/>
      <c r="E62" s="181"/>
      <c r="F62" s="672"/>
      <c r="G62" s="182"/>
      <c r="H62" s="650"/>
      <c r="I62" s="181"/>
      <c r="J62" s="181"/>
      <c r="K62" s="181"/>
      <c r="L62" s="650"/>
      <c r="M62" s="181"/>
      <c r="N62" s="650"/>
      <c r="O62" s="781"/>
      <c r="P62" s="183"/>
      <c r="Q62" s="181"/>
    </row>
    <row r="63" spans="1:17" ht="30" customHeight="1"/>
  </sheetData>
  <mergeCells count="17">
    <mergeCell ref="A1:Q1"/>
    <mergeCell ref="A2:Q2"/>
    <mergeCell ref="A3:Q3"/>
    <mergeCell ref="D4:E4"/>
    <mergeCell ref="C54:E54"/>
    <mergeCell ref="C55:E55"/>
    <mergeCell ref="D40:E40"/>
    <mergeCell ref="D41:E41"/>
    <mergeCell ref="D42:E42"/>
    <mergeCell ref="D43:E43"/>
    <mergeCell ref="D44:E44"/>
    <mergeCell ref="D46:E46"/>
    <mergeCell ref="D45:E45"/>
    <mergeCell ref="D47:E47"/>
    <mergeCell ref="D48:E48"/>
    <mergeCell ref="C50:E50"/>
    <mergeCell ref="C51:E51"/>
  </mergeCells>
  <printOptions horizontalCentered="1"/>
  <pageMargins left="1.25" right="0.25" top="0.75" bottom="0.75" header="0.3" footer="0.3"/>
  <pageSetup paperSize="5" scale="70" fitToHeight="3" orientation="landscape" r:id="rId1"/>
  <rowBreaks count="1" manualBreakCount="1">
    <brk id="22" min="1" max="1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H272"/>
  <sheetViews>
    <sheetView view="pageBreakPreview" topLeftCell="A10" zoomScaleSheetLayoutView="100" workbookViewId="0">
      <selection activeCell="H27" sqref="H27"/>
    </sheetView>
  </sheetViews>
  <sheetFormatPr defaultRowHeight="14.25"/>
  <cols>
    <col min="1" max="1" width="4.7109375" style="637" bestFit="1" customWidth="1"/>
    <col min="2" max="2" width="8.140625" style="637" customWidth="1"/>
    <col min="3" max="3" width="24.7109375" style="42" customWidth="1"/>
    <col min="4" max="4" width="45.85546875" style="42" bestFit="1" customWidth="1"/>
    <col min="5" max="5" width="20.85546875" style="42" customWidth="1"/>
    <col min="6" max="6" width="11.7109375" style="42" customWidth="1"/>
    <col min="7" max="7" width="18.140625" style="42" customWidth="1"/>
    <col min="8" max="8" width="45.7109375" style="42" customWidth="1"/>
    <col min="9" max="16384" width="9.140625" style="42"/>
  </cols>
  <sheetData>
    <row r="1" spans="1:8" ht="18">
      <c r="A1" s="1027" t="s">
        <v>2417</v>
      </c>
      <c r="B1" s="1027"/>
      <c r="C1" s="1027"/>
      <c r="D1" s="1027"/>
      <c r="E1" s="1027"/>
      <c r="F1" s="1027"/>
      <c r="G1" s="1027"/>
      <c r="H1" s="1027"/>
    </row>
    <row r="2" spans="1:8" ht="18">
      <c r="A2" s="1027" t="s">
        <v>2764</v>
      </c>
      <c r="B2" s="1027"/>
      <c r="C2" s="1027"/>
      <c r="D2" s="1027"/>
      <c r="E2" s="1027"/>
      <c r="F2" s="1027"/>
      <c r="G2" s="1027"/>
      <c r="H2" s="1027"/>
    </row>
    <row r="3" spans="1:8" ht="7.5" customHeight="1">
      <c r="A3" s="638"/>
      <c r="B3" s="638"/>
      <c r="C3" s="638"/>
      <c r="D3" s="638"/>
      <c r="E3" s="638"/>
      <c r="F3" s="638"/>
      <c r="G3" s="638"/>
      <c r="H3" s="638"/>
    </row>
    <row r="4" spans="1:8" s="639" customFormat="1" ht="39.75" customHeight="1">
      <c r="A4" s="643" t="s">
        <v>1</v>
      </c>
      <c r="B4" s="643" t="s">
        <v>2414</v>
      </c>
      <c r="C4" s="643" t="s">
        <v>3</v>
      </c>
      <c r="D4" s="643" t="s">
        <v>5</v>
      </c>
      <c r="E4" s="803" t="s">
        <v>2415</v>
      </c>
      <c r="F4" s="750" t="s">
        <v>2486</v>
      </c>
      <c r="G4" s="643" t="s">
        <v>516</v>
      </c>
      <c r="H4" s="643" t="s">
        <v>2416</v>
      </c>
    </row>
    <row r="5" spans="1:8" s="642" customFormat="1" ht="20.100000000000001" customHeight="1">
      <c r="A5" s="752">
        <v>1</v>
      </c>
      <c r="B5" s="752" t="s">
        <v>315</v>
      </c>
      <c r="C5" s="751" t="s">
        <v>2679</v>
      </c>
      <c r="D5" s="751" t="s">
        <v>2680</v>
      </c>
      <c r="E5" s="861" t="s">
        <v>2701</v>
      </c>
      <c r="F5" s="752" t="s">
        <v>2682</v>
      </c>
      <c r="G5" s="751" t="s">
        <v>2699</v>
      </c>
      <c r="H5" s="751" t="s">
        <v>2715</v>
      </c>
    </row>
    <row r="6" spans="1:8" s="642" customFormat="1" ht="20.100000000000001" customHeight="1">
      <c r="A6" s="752">
        <v>2</v>
      </c>
      <c r="B6" s="752" t="s">
        <v>398</v>
      </c>
      <c r="C6" s="751" t="s">
        <v>2683</v>
      </c>
      <c r="D6" s="751" t="s">
        <v>2680</v>
      </c>
      <c r="E6" s="861" t="s">
        <v>2702</v>
      </c>
      <c r="F6" s="752" t="s">
        <v>2682</v>
      </c>
      <c r="G6" s="751" t="s">
        <v>2699</v>
      </c>
      <c r="H6" s="751" t="s">
        <v>2715</v>
      </c>
    </row>
    <row r="7" spans="1:8" s="642" customFormat="1" ht="20.100000000000001" customHeight="1">
      <c r="A7" s="752">
        <v>3</v>
      </c>
      <c r="B7" s="752" t="s">
        <v>350</v>
      </c>
      <c r="C7" s="751" t="s">
        <v>2684</v>
      </c>
      <c r="D7" s="751" t="s">
        <v>2680</v>
      </c>
      <c r="E7" s="861" t="s">
        <v>2703</v>
      </c>
      <c r="F7" s="752" t="s">
        <v>2682</v>
      </c>
      <c r="G7" s="751" t="s">
        <v>2699</v>
      </c>
      <c r="H7" s="751" t="s">
        <v>2715</v>
      </c>
    </row>
    <row r="8" spans="1:8" s="642" customFormat="1" ht="20.100000000000001" customHeight="1">
      <c r="A8" s="752">
        <v>4</v>
      </c>
      <c r="B8" s="752" t="s">
        <v>369</v>
      </c>
      <c r="C8" s="751" t="s">
        <v>2685</v>
      </c>
      <c r="D8" s="751" t="s">
        <v>2680</v>
      </c>
      <c r="E8" s="861" t="s">
        <v>2704</v>
      </c>
      <c r="F8" s="752" t="s">
        <v>2682</v>
      </c>
      <c r="G8" s="751" t="s">
        <v>2699</v>
      </c>
      <c r="H8" s="751" t="s">
        <v>2715</v>
      </c>
    </row>
    <row r="9" spans="1:8" s="642" customFormat="1" ht="20.100000000000001" customHeight="1">
      <c r="A9" s="752">
        <v>5</v>
      </c>
      <c r="B9" s="752" t="s">
        <v>341</v>
      </c>
      <c r="C9" s="751" t="s">
        <v>2686</v>
      </c>
      <c r="D9" s="751" t="s">
        <v>2680</v>
      </c>
      <c r="E9" s="861" t="s">
        <v>2681</v>
      </c>
      <c r="F9" s="752" t="s">
        <v>2682</v>
      </c>
      <c r="G9" s="751" t="s">
        <v>2699</v>
      </c>
      <c r="H9" s="751" t="s">
        <v>2715</v>
      </c>
    </row>
    <row r="10" spans="1:8" s="642" customFormat="1" ht="20.100000000000001" customHeight="1">
      <c r="A10" s="752">
        <v>6</v>
      </c>
      <c r="B10" s="752" t="s">
        <v>319</v>
      </c>
      <c r="C10" s="751" t="s">
        <v>2687</v>
      </c>
      <c r="D10" s="751" t="s">
        <v>2680</v>
      </c>
      <c r="E10" s="861" t="s">
        <v>2705</v>
      </c>
      <c r="F10" s="752" t="s">
        <v>2682</v>
      </c>
      <c r="G10" s="751" t="s">
        <v>2699</v>
      </c>
      <c r="H10" s="751" t="s">
        <v>2715</v>
      </c>
    </row>
    <row r="11" spans="1:8" s="642" customFormat="1" ht="20.100000000000001" customHeight="1">
      <c r="A11" s="752">
        <v>7</v>
      </c>
      <c r="B11" s="752" t="s">
        <v>227</v>
      </c>
      <c r="C11" s="751" t="s">
        <v>2697</v>
      </c>
      <c r="D11" s="751" t="s">
        <v>2680</v>
      </c>
      <c r="E11" s="861" t="s">
        <v>2700</v>
      </c>
      <c r="F11" s="752" t="s">
        <v>2682</v>
      </c>
      <c r="G11" s="751" t="s">
        <v>2699</v>
      </c>
      <c r="H11" s="751" t="s">
        <v>2715</v>
      </c>
    </row>
    <row r="12" spans="1:8" s="642" customFormat="1" ht="20.100000000000001" customHeight="1">
      <c r="A12" s="752">
        <v>8</v>
      </c>
      <c r="B12" s="752" t="s">
        <v>488</v>
      </c>
      <c r="C12" s="751" t="s">
        <v>2688</v>
      </c>
      <c r="D12" s="751" t="s">
        <v>2680</v>
      </c>
      <c r="E12" s="861" t="s">
        <v>2706</v>
      </c>
      <c r="F12" s="752" t="s">
        <v>2682</v>
      </c>
      <c r="G12" s="751" t="s">
        <v>2699</v>
      </c>
      <c r="H12" s="751" t="s">
        <v>2715</v>
      </c>
    </row>
    <row r="13" spans="1:8" s="642" customFormat="1" ht="20.100000000000001" customHeight="1">
      <c r="A13" s="752">
        <v>9</v>
      </c>
      <c r="B13" s="752" t="s">
        <v>463</v>
      </c>
      <c r="C13" s="751" t="s">
        <v>2689</v>
      </c>
      <c r="D13" s="751" t="s">
        <v>2680</v>
      </c>
      <c r="E13" s="861" t="s">
        <v>2707</v>
      </c>
      <c r="F13" s="752" t="s">
        <v>2682</v>
      </c>
      <c r="G13" s="751" t="s">
        <v>2699</v>
      </c>
      <c r="H13" s="751" t="s">
        <v>2715</v>
      </c>
    </row>
    <row r="14" spans="1:8" s="642" customFormat="1" ht="20.100000000000001" customHeight="1">
      <c r="A14" s="752">
        <v>10</v>
      </c>
      <c r="B14" s="752" t="s">
        <v>2690</v>
      </c>
      <c r="C14" s="751" t="s">
        <v>2691</v>
      </c>
      <c r="D14" s="751" t="s">
        <v>2680</v>
      </c>
      <c r="E14" s="861" t="s">
        <v>2708</v>
      </c>
      <c r="F14" s="752" t="s">
        <v>2682</v>
      </c>
      <c r="G14" s="751" t="s">
        <v>2699</v>
      </c>
      <c r="H14" s="751" t="s">
        <v>2715</v>
      </c>
    </row>
    <row r="15" spans="1:8" s="642" customFormat="1" ht="20.100000000000001" customHeight="1">
      <c r="A15" s="752">
        <v>11</v>
      </c>
      <c r="B15" s="752" t="s">
        <v>317</v>
      </c>
      <c r="C15" s="751" t="s">
        <v>2692</v>
      </c>
      <c r="D15" s="751" t="s">
        <v>2680</v>
      </c>
      <c r="E15" s="861" t="s">
        <v>2709</v>
      </c>
      <c r="F15" s="752" t="s">
        <v>2682</v>
      </c>
      <c r="G15" s="751" t="s">
        <v>2699</v>
      </c>
      <c r="H15" s="751" t="s">
        <v>2715</v>
      </c>
    </row>
    <row r="16" spans="1:8" s="642" customFormat="1" ht="20.100000000000001" customHeight="1">
      <c r="A16" s="752">
        <v>12</v>
      </c>
      <c r="B16" s="752" t="s">
        <v>502</v>
      </c>
      <c r="C16" s="860" t="s">
        <v>2693</v>
      </c>
      <c r="D16" s="751" t="s">
        <v>2680</v>
      </c>
      <c r="E16" s="861" t="s">
        <v>2710</v>
      </c>
      <c r="F16" s="752" t="s">
        <v>2682</v>
      </c>
      <c r="G16" s="751" t="s">
        <v>2699</v>
      </c>
      <c r="H16" s="751" t="s">
        <v>2715</v>
      </c>
    </row>
    <row r="17" spans="1:8" s="642" customFormat="1" ht="20.100000000000001" customHeight="1">
      <c r="A17" s="752">
        <v>13</v>
      </c>
      <c r="B17" s="752" t="s">
        <v>506</v>
      </c>
      <c r="C17" s="860" t="s">
        <v>2694</v>
      </c>
      <c r="D17" s="751" t="s">
        <v>2680</v>
      </c>
      <c r="E17" s="861" t="s">
        <v>2711</v>
      </c>
      <c r="F17" s="752" t="s">
        <v>2682</v>
      </c>
      <c r="G17" s="751" t="s">
        <v>2699</v>
      </c>
      <c r="H17" s="751" t="s">
        <v>2715</v>
      </c>
    </row>
    <row r="18" spans="1:8" s="642" customFormat="1" ht="20.100000000000001" customHeight="1">
      <c r="A18" s="752">
        <v>14</v>
      </c>
      <c r="B18" s="752" t="s">
        <v>466</v>
      </c>
      <c r="C18" s="860" t="s">
        <v>2695</v>
      </c>
      <c r="D18" s="751" t="s">
        <v>2680</v>
      </c>
      <c r="E18" s="861" t="s">
        <v>2712</v>
      </c>
      <c r="F18" s="752" t="s">
        <v>2682</v>
      </c>
      <c r="G18" s="751" t="s">
        <v>2699</v>
      </c>
      <c r="H18" s="751" t="s">
        <v>2715</v>
      </c>
    </row>
    <row r="19" spans="1:8" s="642" customFormat="1" ht="20.100000000000001" customHeight="1">
      <c r="A19" s="752">
        <v>15</v>
      </c>
      <c r="B19" s="752" t="s">
        <v>331</v>
      </c>
      <c r="C19" s="860" t="s">
        <v>2696</v>
      </c>
      <c r="D19" s="751" t="s">
        <v>2680</v>
      </c>
      <c r="E19" s="861" t="s">
        <v>2713</v>
      </c>
      <c r="F19" s="752" t="s">
        <v>2682</v>
      </c>
      <c r="G19" s="751" t="s">
        <v>2699</v>
      </c>
      <c r="H19" s="751" t="s">
        <v>2715</v>
      </c>
    </row>
    <row r="20" spans="1:8" s="642" customFormat="1" ht="20.100000000000001" customHeight="1">
      <c r="A20" s="752">
        <v>16</v>
      </c>
      <c r="B20" s="752" t="s">
        <v>508</v>
      </c>
      <c r="C20" s="860" t="s">
        <v>2698</v>
      </c>
      <c r="D20" s="751" t="s">
        <v>2680</v>
      </c>
      <c r="E20" s="861" t="s">
        <v>2714</v>
      </c>
      <c r="F20" s="752" t="s">
        <v>2682</v>
      </c>
      <c r="G20" s="751" t="s">
        <v>2699</v>
      </c>
      <c r="H20" s="751" t="s">
        <v>2715</v>
      </c>
    </row>
    <row r="21" spans="1:8" s="642" customFormat="1" ht="20.100000000000001" customHeight="1">
      <c r="A21" s="752">
        <v>17</v>
      </c>
      <c r="B21" s="752" t="s">
        <v>2477</v>
      </c>
      <c r="C21" s="861" t="s">
        <v>2483</v>
      </c>
      <c r="D21" s="751" t="s">
        <v>2489</v>
      </c>
      <c r="E21" s="751" t="s">
        <v>2765</v>
      </c>
      <c r="F21" s="752" t="s">
        <v>2766</v>
      </c>
      <c r="G21" s="751" t="s">
        <v>2484</v>
      </c>
      <c r="H21" s="751" t="s">
        <v>2767</v>
      </c>
    </row>
    <row r="22" spans="1:8" s="642" customFormat="1" ht="20.100000000000001" customHeight="1">
      <c r="A22" s="752">
        <v>18</v>
      </c>
      <c r="B22" s="752" t="s">
        <v>74</v>
      </c>
      <c r="C22" s="861" t="s">
        <v>2573</v>
      </c>
      <c r="D22" s="751" t="s">
        <v>2574</v>
      </c>
      <c r="E22" s="751" t="s">
        <v>2575</v>
      </c>
      <c r="F22" s="752" t="s">
        <v>2576</v>
      </c>
      <c r="G22" s="751" t="s">
        <v>2563</v>
      </c>
      <c r="H22" s="751" t="s">
        <v>2577</v>
      </c>
    </row>
    <row r="23" spans="1:8" s="642" customFormat="1" ht="19.5" customHeight="1">
      <c r="A23" s="752">
        <v>19</v>
      </c>
      <c r="B23" s="752" t="s">
        <v>475</v>
      </c>
      <c r="C23" s="861" t="s">
        <v>2578</v>
      </c>
      <c r="D23" s="751" t="s">
        <v>2579</v>
      </c>
      <c r="E23" s="751" t="s">
        <v>2580</v>
      </c>
      <c r="F23" s="758" t="s">
        <v>2589</v>
      </c>
      <c r="G23" s="751" t="s">
        <v>2484</v>
      </c>
      <c r="H23" s="893" t="s">
        <v>2815</v>
      </c>
    </row>
    <row r="24" spans="1:8" s="642" customFormat="1" ht="20.100000000000001" customHeight="1">
      <c r="A24" s="752">
        <v>20</v>
      </c>
      <c r="B24" s="752" t="s">
        <v>415</v>
      </c>
      <c r="C24" s="751" t="s">
        <v>2588</v>
      </c>
      <c r="D24" s="751" t="s">
        <v>2590</v>
      </c>
      <c r="E24" s="788" t="s">
        <v>2591</v>
      </c>
      <c r="F24" s="758" t="s">
        <v>2592</v>
      </c>
      <c r="G24" s="751" t="s">
        <v>2581</v>
      </c>
      <c r="H24" s="751" t="s">
        <v>2593</v>
      </c>
    </row>
    <row r="25" spans="1:8" s="642" customFormat="1" ht="20.100000000000001" customHeight="1">
      <c r="A25" s="752">
        <v>21</v>
      </c>
      <c r="B25" s="752" t="s">
        <v>225</v>
      </c>
      <c r="C25" s="751" t="s">
        <v>2719</v>
      </c>
      <c r="D25" s="751" t="s">
        <v>2720</v>
      </c>
      <c r="E25" s="788" t="s">
        <v>2721</v>
      </c>
      <c r="F25" s="758" t="s">
        <v>2722</v>
      </c>
      <c r="G25" s="751" t="s">
        <v>2581</v>
      </c>
      <c r="H25" s="751" t="s">
        <v>2755</v>
      </c>
    </row>
    <row r="26" spans="1:8" s="642" customFormat="1" ht="20.100000000000001" customHeight="1">
      <c r="A26" s="752">
        <v>22</v>
      </c>
      <c r="B26" s="752" t="s">
        <v>78</v>
      </c>
      <c r="C26" s="751" t="s">
        <v>2756</v>
      </c>
      <c r="D26" s="751" t="s">
        <v>641</v>
      </c>
      <c r="E26" s="861" t="s">
        <v>2757</v>
      </c>
      <c r="F26" s="752" t="s">
        <v>2758</v>
      </c>
      <c r="G26" s="751" t="s">
        <v>2563</v>
      </c>
      <c r="H26" s="751" t="s">
        <v>2759</v>
      </c>
    </row>
    <row r="27" spans="1:8" s="642" customFormat="1" ht="20.100000000000001" customHeight="1">
      <c r="A27" s="752">
        <v>23</v>
      </c>
      <c r="B27" s="752" t="s">
        <v>50</v>
      </c>
      <c r="C27" s="860" t="s">
        <v>2768</v>
      </c>
      <c r="D27" s="751" t="s">
        <v>641</v>
      </c>
      <c r="E27" s="788" t="s">
        <v>2769</v>
      </c>
      <c r="F27" s="758" t="s">
        <v>2770</v>
      </c>
      <c r="G27" s="751" t="s">
        <v>2581</v>
      </c>
      <c r="H27" s="751" t="s">
        <v>2771</v>
      </c>
    </row>
    <row r="28" spans="1:8" s="642" customFormat="1" ht="20.100000000000001" customHeight="1">
      <c r="A28" s="752">
        <v>24</v>
      </c>
      <c r="B28" s="752" t="s">
        <v>500</v>
      </c>
      <c r="C28" s="751" t="s">
        <v>2773</v>
      </c>
      <c r="D28" s="751" t="s">
        <v>2590</v>
      </c>
      <c r="E28" s="751" t="s">
        <v>2774</v>
      </c>
      <c r="F28" s="758" t="s">
        <v>2775</v>
      </c>
      <c r="G28" s="751" t="s">
        <v>2581</v>
      </c>
      <c r="H28" s="751" t="s">
        <v>2776</v>
      </c>
    </row>
    <row r="29" spans="1:8" s="642" customFormat="1" ht="20.100000000000001" customHeight="1">
      <c r="A29" s="752">
        <v>25</v>
      </c>
      <c r="B29" s="880" t="s">
        <v>343</v>
      </c>
      <c r="C29" s="881" t="s">
        <v>2777</v>
      </c>
      <c r="D29" s="882" t="s">
        <v>2778</v>
      </c>
      <c r="E29" s="882" t="s">
        <v>2779</v>
      </c>
      <c r="F29" s="880" t="s">
        <v>2780</v>
      </c>
      <c r="G29" s="751" t="s">
        <v>2484</v>
      </c>
      <c r="H29" s="882" t="s">
        <v>2781</v>
      </c>
    </row>
    <row r="30" spans="1:8" s="642" customFormat="1" ht="20.100000000000001" customHeight="1">
      <c r="A30" s="752">
        <v>26</v>
      </c>
      <c r="B30" s="752" t="s">
        <v>326</v>
      </c>
      <c r="C30" s="751" t="s">
        <v>2784</v>
      </c>
      <c r="D30" s="751" t="s">
        <v>638</v>
      </c>
      <c r="E30" s="788" t="s">
        <v>2785</v>
      </c>
      <c r="F30" s="758" t="s">
        <v>2786</v>
      </c>
      <c r="G30" s="751" t="s">
        <v>2787</v>
      </c>
      <c r="H30" s="751" t="s">
        <v>2788</v>
      </c>
    </row>
    <row r="31" spans="1:8" s="642" customFormat="1" ht="20.100000000000001" customHeight="1">
      <c r="A31" s="752">
        <v>27</v>
      </c>
      <c r="B31" s="752" t="s">
        <v>249</v>
      </c>
      <c r="C31" s="751" t="s">
        <v>2789</v>
      </c>
      <c r="D31" s="751" t="s">
        <v>2790</v>
      </c>
      <c r="E31" s="861" t="s">
        <v>2791</v>
      </c>
      <c r="F31" s="752" t="s">
        <v>2792</v>
      </c>
      <c r="G31" s="751" t="s">
        <v>2699</v>
      </c>
      <c r="H31" s="751" t="s">
        <v>2793</v>
      </c>
    </row>
    <row r="32" spans="1:8" s="640" customFormat="1" ht="20.100000000000001" customHeight="1">
      <c r="A32" s="752">
        <v>28</v>
      </c>
      <c r="B32" s="752" t="s">
        <v>132</v>
      </c>
      <c r="C32" s="860" t="s">
        <v>2794</v>
      </c>
      <c r="D32" s="751" t="s">
        <v>2795</v>
      </c>
      <c r="E32" s="751" t="s">
        <v>2797</v>
      </c>
      <c r="F32" s="752" t="s">
        <v>2798</v>
      </c>
      <c r="G32" s="751" t="s">
        <v>2699</v>
      </c>
      <c r="H32" s="751" t="s">
        <v>2796</v>
      </c>
    </row>
    <row r="33" spans="1:8" s="640" customFormat="1" ht="20.100000000000001" customHeight="1">
      <c r="A33" s="752">
        <v>29</v>
      </c>
      <c r="B33" s="752" t="s">
        <v>402</v>
      </c>
      <c r="C33" s="860" t="s">
        <v>2799</v>
      </c>
      <c r="D33" s="751" t="s">
        <v>2802</v>
      </c>
      <c r="E33" s="751" t="s">
        <v>2803</v>
      </c>
      <c r="F33" s="752" t="s">
        <v>2804</v>
      </c>
      <c r="G33" s="751" t="s">
        <v>2800</v>
      </c>
      <c r="H33" s="751" t="s">
        <v>2801</v>
      </c>
    </row>
    <row r="34" spans="1:8" s="640" customFormat="1" ht="20.100000000000001" customHeight="1">
      <c r="A34" s="752">
        <v>30</v>
      </c>
      <c r="B34" s="752" t="s">
        <v>172</v>
      </c>
      <c r="C34" s="860" t="s">
        <v>2809</v>
      </c>
      <c r="D34" s="751" t="s">
        <v>2810</v>
      </c>
      <c r="E34" s="751" t="s">
        <v>2811</v>
      </c>
      <c r="F34" s="752" t="s">
        <v>2812</v>
      </c>
      <c r="G34" s="751" t="s">
        <v>2813</v>
      </c>
      <c r="H34" s="751"/>
    </row>
    <row r="35" spans="1:8" s="640" customFormat="1" ht="15">
      <c r="A35" s="883"/>
      <c r="B35" s="864"/>
      <c r="C35" s="865"/>
      <c r="D35" s="865"/>
      <c r="E35" s="865"/>
      <c r="F35" s="884"/>
      <c r="G35" s="865"/>
      <c r="H35" s="865"/>
    </row>
    <row r="36" spans="1:8" s="640" customFormat="1" ht="15">
      <c r="A36" s="885"/>
      <c r="B36" s="886"/>
      <c r="C36" s="887"/>
      <c r="D36" s="887"/>
      <c r="E36" s="887"/>
      <c r="F36" s="888"/>
      <c r="G36" s="887"/>
      <c r="H36" s="887"/>
    </row>
    <row r="37" spans="1:8" s="640" customFormat="1" ht="15">
      <c r="A37" s="1028" t="s">
        <v>633</v>
      </c>
      <c r="B37" s="1028"/>
      <c r="C37" s="1028"/>
      <c r="G37" s="1028" t="s">
        <v>2814</v>
      </c>
      <c r="H37" s="1028"/>
    </row>
    <row r="38" spans="1:8" s="640" customFormat="1" ht="15">
      <c r="A38" s="1028" t="s">
        <v>2418</v>
      </c>
      <c r="B38" s="1028"/>
      <c r="C38" s="1028"/>
      <c r="G38" s="1028" t="s">
        <v>793</v>
      </c>
      <c r="H38" s="1028"/>
    </row>
    <row r="39" spans="1:8" s="640" customFormat="1" ht="15">
      <c r="A39" s="866"/>
      <c r="B39" s="866"/>
    </row>
    <row r="40" spans="1:8" s="640" customFormat="1" ht="15">
      <c r="A40" s="866"/>
      <c r="B40" s="866"/>
    </row>
    <row r="41" spans="1:8" s="640" customFormat="1" ht="15">
      <c r="A41" s="866"/>
      <c r="B41" s="866"/>
    </row>
    <row r="42" spans="1:8" s="640" customFormat="1" ht="15">
      <c r="A42" s="866"/>
      <c r="B42" s="866"/>
    </row>
    <row r="43" spans="1:8" s="640" customFormat="1" ht="15">
      <c r="A43" s="1029" t="s">
        <v>2434</v>
      </c>
      <c r="B43" s="1029"/>
      <c r="C43" s="1029"/>
      <c r="G43" s="1029" t="s">
        <v>2435</v>
      </c>
      <c r="H43" s="1029"/>
    </row>
    <row r="44" spans="1:8" s="640" customFormat="1" ht="15">
      <c r="A44" s="1028" t="s">
        <v>2437</v>
      </c>
      <c r="B44" s="1028"/>
      <c r="C44" s="1028"/>
      <c r="G44" s="1028" t="s">
        <v>2438</v>
      </c>
      <c r="H44" s="1028"/>
    </row>
    <row r="45" spans="1:8" s="640" customFormat="1" ht="15">
      <c r="A45" s="641"/>
      <c r="B45" s="641"/>
    </row>
    <row r="46" spans="1:8" s="640" customFormat="1" ht="15">
      <c r="A46" s="641"/>
      <c r="B46" s="641"/>
    </row>
    <row r="47" spans="1:8" s="640" customFormat="1" ht="15">
      <c r="A47" s="641"/>
      <c r="B47" s="641"/>
    </row>
    <row r="48" spans="1:8" s="640" customFormat="1" ht="15">
      <c r="A48" s="641"/>
      <c r="B48" s="641"/>
    </row>
    <row r="49" spans="1:2" s="640" customFormat="1" ht="15">
      <c r="A49" s="641"/>
      <c r="B49" s="641"/>
    </row>
    <row r="50" spans="1:2" s="640" customFormat="1" ht="15">
      <c r="A50" s="641"/>
      <c r="B50" s="641"/>
    </row>
    <row r="51" spans="1:2" s="640" customFormat="1" ht="15">
      <c r="A51" s="641"/>
      <c r="B51" s="641"/>
    </row>
    <row r="52" spans="1:2" s="640" customFormat="1" ht="15">
      <c r="A52" s="641"/>
      <c r="B52" s="641"/>
    </row>
    <row r="53" spans="1:2" s="640" customFormat="1" ht="15">
      <c r="A53" s="641"/>
      <c r="B53" s="641"/>
    </row>
    <row r="54" spans="1:2" s="640" customFormat="1" ht="15">
      <c r="A54" s="641"/>
      <c r="B54" s="641"/>
    </row>
    <row r="55" spans="1:2" s="640" customFormat="1" ht="15">
      <c r="A55" s="641"/>
      <c r="B55" s="641"/>
    </row>
    <row r="56" spans="1:2" s="640" customFormat="1" ht="15">
      <c r="A56" s="641"/>
      <c r="B56" s="641"/>
    </row>
    <row r="57" spans="1:2" s="640" customFormat="1" ht="15">
      <c r="A57" s="641"/>
      <c r="B57" s="641"/>
    </row>
    <row r="58" spans="1:2" s="640" customFormat="1" ht="15">
      <c r="A58" s="641"/>
      <c r="B58" s="641"/>
    </row>
    <row r="59" spans="1:2" s="640" customFormat="1" ht="15">
      <c r="A59" s="641"/>
      <c r="B59" s="641"/>
    </row>
    <row r="60" spans="1:2" s="640" customFormat="1" ht="15">
      <c r="A60" s="641"/>
      <c r="B60" s="641"/>
    </row>
    <row r="61" spans="1:2" s="640" customFormat="1" ht="15">
      <c r="A61" s="641"/>
      <c r="B61" s="641"/>
    </row>
    <row r="62" spans="1:2" s="640" customFormat="1" ht="15">
      <c r="A62" s="641"/>
      <c r="B62" s="641"/>
    </row>
    <row r="63" spans="1:2" s="640" customFormat="1" ht="15">
      <c r="A63" s="641"/>
      <c r="B63" s="641"/>
    </row>
    <row r="64" spans="1:2" s="640" customFormat="1" ht="15">
      <c r="A64" s="641"/>
      <c r="B64" s="641"/>
    </row>
    <row r="65" spans="1:2" s="640" customFormat="1" ht="15">
      <c r="A65" s="641"/>
      <c r="B65" s="641"/>
    </row>
    <row r="66" spans="1:2" s="640" customFormat="1" ht="15">
      <c r="A66" s="641"/>
      <c r="B66" s="641"/>
    </row>
    <row r="67" spans="1:2" s="640" customFormat="1" ht="15">
      <c r="A67" s="641"/>
      <c r="B67" s="641"/>
    </row>
    <row r="68" spans="1:2" s="640" customFormat="1" ht="15">
      <c r="A68" s="641"/>
      <c r="B68" s="641"/>
    </row>
    <row r="69" spans="1:2" s="640" customFormat="1" ht="15">
      <c r="A69" s="641"/>
      <c r="B69" s="641"/>
    </row>
    <row r="70" spans="1:2" s="640" customFormat="1" ht="15">
      <c r="A70" s="641"/>
      <c r="B70" s="641"/>
    </row>
    <row r="71" spans="1:2" s="640" customFormat="1" ht="15">
      <c r="A71" s="641"/>
      <c r="B71" s="641"/>
    </row>
    <row r="72" spans="1:2" s="640" customFormat="1" ht="15">
      <c r="A72" s="641"/>
      <c r="B72" s="641"/>
    </row>
    <row r="73" spans="1:2" s="640" customFormat="1" ht="15">
      <c r="A73" s="641"/>
      <c r="B73" s="641"/>
    </row>
    <row r="74" spans="1:2" s="640" customFormat="1" ht="15">
      <c r="A74" s="641"/>
      <c r="B74" s="641"/>
    </row>
    <row r="75" spans="1:2" s="640" customFormat="1" ht="15">
      <c r="A75" s="641"/>
      <c r="B75" s="641"/>
    </row>
    <row r="76" spans="1:2" s="640" customFormat="1" ht="15">
      <c r="A76" s="641"/>
      <c r="B76" s="641"/>
    </row>
    <row r="77" spans="1:2" s="640" customFormat="1" ht="15">
      <c r="A77" s="641"/>
      <c r="B77" s="641"/>
    </row>
    <row r="78" spans="1:2" s="640" customFormat="1" ht="15">
      <c r="A78" s="641"/>
      <c r="B78" s="641"/>
    </row>
    <row r="79" spans="1:2" s="640" customFormat="1" ht="15">
      <c r="A79" s="641"/>
      <c r="B79" s="641"/>
    </row>
    <row r="80" spans="1:2" s="640" customFormat="1" ht="15">
      <c r="A80" s="641"/>
      <c r="B80" s="641"/>
    </row>
    <row r="81" spans="1:2" s="640" customFormat="1" ht="15">
      <c r="A81" s="641"/>
      <c r="B81" s="641"/>
    </row>
    <row r="82" spans="1:2" s="640" customFormat="1" ht="15">
      <c r="A82" s="641"/>
      <c r="B82" s="641"/>
    </row>
    <row r="83" spans="1:2" s="640" customFormat="1" ht="15">
      <c r="A83" s="641"/>
      <c r="B83" s="641"/>
    </row>
    <row r="84" spans="1:2" s="640" customFormat="1" ht="15">
      <c r="A84" s="641"/>
      <c r="B84" s="641"/>
    </row>
    <row r="85" spans="1:2" s="640" customFormat="1" ht="15">
      <c r="A85" s="641"/>
      <c r="B85" s="641"/>
    </row>
    <row r="86" spans="1:2" s="640" customFormat="1" ht="15">
      <c r="A86" s="641"/>
      <c r="B86" s="641"/>
    </row>
    <row r="87" spans="1:2" s="640" customFormat="1" ht="15">
      <c r="A87" s="641"/>
      <c r="B87" s="641"/>
    </row>
    <row r="88" spans="1:2" s="640" customFormat="1" ht="15">
      <c r="A88" s="641"/>
      <c r="B88" s="641"/>
    </row>
    <row r="89" spans="1:2" s="640" customFormat="1" ht="15">
      <c r="A89" s="641"/>
      <c r="B89" s="641"/>
    </row>
    <row r="90" spans="1:2" s="640" customFormat="1" ht="15">
      <c r="A90" s="641"/>
      <c r="B90" s="641"/>
    </row>
    <row r="91" spans="1:2" s="640" customFormat="1" ht="15">
      <c r="A91" s="641"/>
      <c r="B91" s="641"/>
    </row>
    <row r="92" spans="1:2" s="640" customFormat="1" ht="15">
      <c r="A92" s="641"/>
      <c r="B92" s="641"/>
    </row>
    <row r="93" spans="1:2" s="640" customFormat="1" ht="15">
      <c r="A93" s="641"/>
      <c r="B93" s="641"/>
    </row>
    <row r="94" spans="1:2" s="640" customFormat="1" ht="15">
      <c r="A94" s="641"/>
      <c r="B94" s="641"/>
    </row>
    <row r="95" spans="1:2" s="640" customFormat="1" ht="15">
      <c r="A95" s="641"/>
      <c r="B95" s="641"/>
    </row>
    <row r="96" spans="1:2" s="640" customFormat="1" ht="15">
      <c r="A96" s="641"/>
      <c r="B96" s="641"/>
    </row>
    <row r="97" spans="1:2" s="640" customFormat="1" ht="15">
      <c r="A97" s="641"/>
      <c r="B97" s="641"/>
    </row>
    <row r="98" spans="1:2" s="640" customFormat="1" ht="15">
      <c r="A98" s="641"/>
      <c r="B98" s="641"/>
    </row>
    <row r="99" spans="1:2" s="640" customFormat="1" ht="15">
      <c r="A99" s="641"/>
      <c r="B99" s="641"/>
    </row>
    <row r="100" spans="1:2" s="640" customFormat="1" ht="15">
      <c r="A100" s="641"/>
      <c r="B100" s="641"/>
    </row>
    <row r="101" spans="1:2" s="640" customFormat="1" ht="15">
      <c r="A101" s="641"/>
      <c r="B101" s="641"/>
    </row>
    <row r="102" spans="1:2" s="640" customFormat="1" ht="15">
      <c r="A102" s="641"/>
      <c r="B102" s="641"/>
    </row>
    <row r="103" spans="1:2" s="640" customFormat="1" ht="15">
      <c r="A103" s="641"/>
      <c r="B103" s="641"/>
    </row>
    <row r="104" spans="1:2" s="640" customFormat="1" ht="15">
      <c r="A104" s="641"/>
      <c r="B104" s="641"/>
    </row>
    <row r="105" spans="1:2" s="640" customFormat="1" ht="15">
      <c r="A105" s="641"/>
      <c r="B105" s="641"/>
    </row>
    <row r="106" spans="1:2" s="640" customFormat="1" ht="15">
      <c r="A106" s="641"/>
      <c r="B106" s="641"/>
    </row>
    <row r="107" spans="1:2" s="640" customFormat="1" ht="15">
      <c r="A107" s="641"/>
      <c r="B107" s="641"/>
    </row>
    <row r="108" spans="1:2" s="640" customFormat="1" ht="15">
      <c r="A108" s="641"/>
      <c r="B108" s="641"/>
    </row>
    <row r="109" spans="1:2" s="640" customFormat="1" ht="15">
      <c r="A109" s="641"/>
      <c r="B109" s="641"/>
    </row>
    <row r="110" spans="1:2" s="640" customFormat="1" ht="15">
      <c r="A110" s="641"/>
      <c r="B110" s="641"/>
    </row>
    <row r="111" spans="1:2" s="640" customFormat="1" ht="15">
      <c r="A111" s="641"/>
      <c r="B111" s="641"/>
    </row>
    <row r="112" spans="1:2" s="640" customFormat="1" ht="15">
      <c r="A112" s="641"/>
      <c r="B112" s="641"/>
    </row>
    <row r="113" spans="1:2" s="640" customFormat="1" ht="15">
      <c r="A113" s="641"/>
      <c r="B113" s="641"/>
    </row>
    <row r="114" spans="1:2" s="640" customFormat="1" ht="15">
      <c r="A114" s="641"/>
      <c r="B114" s="641"/>
    </row>
    <row r="115" spans="1:2" s="640" customFormat="1" ht="15">
      <c r="A115" s="641"/>
      <c r="B115" s="641"/>
    </row>
    <row r="116" spans="1:2" s="640" customFormat="1" ht="15">
      <c r="A116" s="641"/>
      <c r="B116" s="641"/>
    </row>
    <row r="117" spans="1:2" s="640" customFormat="1" ht="15">
      <c r="A117" s="641"/>
      <c r="B117" s="641"/>
    </row>
    <row r="118" spans="1:2" s="640" customFormat="1" ht="15">
      <c r="A118" s="641"/>
      <c r="B118" s="641"/>
    </row>
    <row r="119" spans="1:2" s="640" customFormat="1" ht="15">
      <c r="A119" s="641"/>
      <c r="B119" s="641"/>
    </row>
    <row r="120" spans="1:2" s="640" customFormat="1" ht="15">
      <c r="A120" s="641"/>
      <c r="B120" s="641"/>
    </row>
    <row r="121" spans="1:2" s="640" customFormat="1" ht="15">
      <c r="A121" s="641"/>
      <c r="B121" s="641"/>
    </row>
    <row r="122" spans="1:2" s="640" customFormat="1" ht="15">
      <c r="A122" s="641"/>
      <c r="B122" s="641"/>
    </row>
    <row r="123" spans="1:2" s="640" customFormat="1" ht="15">
      <c r="A123" s="641"/>
      <c r="B123" s="641"/>
    </row>
    <row r="124" spans="1:2" s="640" customFormat="1" ht="15">
      <c r="A124" s="641"/>
      <c r="B124" s="641"/>
    </row>
    <row r="125" spans="1:2" s="640" customFormat="1" ht="15">
      <c r="A125" s="641"/>
      <c r="B125" s="641"/>
    </row>
    <row r="126" spans="1:2" s="640" customFormat="1" ht="15">
      <c r="A126" s="641"/>
      <c r="B126" s="641"/>
    </row>
    <row r="127" spans="1:2" s="640" customFormat="1" ht="15">
      <c r="A127" s="641"/>
      <c r="B127" s="641"/>
    </row>
    <row r="128" spans="1:2" s="640" customFormat="1" ht="15">
      <c r="A128" s="641"/>
      <c r="B128" s="641"/>
    </row>
    <row r="129" spans="1:2" s="640" customFormat="1" ht="15">
      <c r="A129" s="641"/>
      <c r="B129" s="641"/>
    </row>
    <row r="130" spans="1:2" s="640" customFormat="1" ht="15">
      <c r="A130" s="641"/>
      <c r="B130" s="641"/>
    </row>
    <row r="131" spans="1:2" s="640" customFormat="1" ht="15">
      <c r="A131" s="641"/>
      <c r="B131" s="641"/>
    </row>
    <row r="132" spans="1:2" s="640" customFormat="1" ht="15">
      <c r="A132" s="641"/>
      <c r="B132" s="641"/>
    </row>
    <row r="133" spans="1:2" s="640" customFormat="1" ht="15">
      <c r="A133" s="641"/>
      <c r="B133" s="641"/>
    </row>
    <row r="134" spans="1:2" s="640" customFormat="1" ht="15">
      <c r="A134" s="641"/>
      <c r="B134" s="641"/>
    </row>
    <row r="135" spans="1:2" s="640" customFormat="1" ht="15">
      <c r="A135" s="641"/>
      <c r="B135" s="641"/>
    </row>
    <row r="136" spans="1:2" s="640" customFormat="1" ht="15">
      <c r="A136" s="641"/>
      <c r="B136" s="641"/>
    </row>
    <row r="137" spans="1:2" s="640" customFormat="1" ht="15">
      <c r="A137" s="641"/>
      <c r="B137" s="641"/>
    </row>
    <row r="138" spans="1:2" s="640" customFormat="1" ht="15">
      <c r="A138" s="641"/>
      <c r="B138" s="641"/>
    </row>
    <row r="139" spans="1:2" s="640" customFormat="1" ht="15">
      <c r="A139" s="641"/>
      <c r="B139" s="641"/>
    </row>
    <row r="140" spans="1:2" s="640" customFormat="1" ht="15">
      <c r="A140" s="641"/>
      <c r="B140" s="641"/>
    </row>
    <row r="141" spans="1:2" s="640" customFormat="1" ht="15">
      <c r="A141" s="641"/>
      <c r="B141" s="641"/>
    </row>
    <row r="142" spans="1:2" s="640" customFormat="1" ht="15">
      <c r="A142" s="641"/>
      <c r="B142" s="641"/>
    </row>
    <row r="143" spans="1:2" s="640" customFormat="1" ht="15">
      <c r="A143" s="641"/>
      <c r="B143" s="641"/>
    </row>
    <row r="144" spans="1:2" s="640" customFormat="1" ht="15">
      <c r="A144" s="641"/>
      <c r="B144" s="641"/>
    </row>
    <row r="145" spans="1:2" s="640" customFormat="1" ht="15">
      <c r="A145" s="641"/>
      <c r="B145" s="641"/>
    </row>
    <row r="146" spans="1:2" s="640" customFormat="1" ht="15">
      <c r="A146" s="641"/>
      <c r="B146" s="641"/>
    </row>
    <row r="147" spans="1:2" s="640" customFormat="1" ht="15">
      <c r="A147" s="641"/>
      <c r="B147" s="641"/>
    </row>
    <row r="148" spans="1:2" s="640" customFormat="1" ht="15">
      <c r="A148" s="641"/>
      <c r="B148" s="641"/>
    </row>
    <row r="149" spans="1:2" s="640" customFormat="1" ht="15">
      <c r="A149" s="641"/>
      <c r="B149" s="641"/>
    </row>
    <row r="150" spans="1:2" s="640" customFormat="1" ht="15">
      <c r="A150" s="641"/>
      <c r="B150" s="641"/>
    </row>
    <row r="151" spans="1:2" s="640" customFormat="1" ht="15">
      <c r="A151" s="641"/>
      <c r="B151" s="641"/>
    </row>
    <row r="152" spans="1:2" s="640" customFormat="1" ht="15">
      <c r="A152" s="641"/>
      <c r="B152" s="641"/>
    </row>
    <row r="153" spans="1:2" s="640" customFormat="1" ht="15">
      <c r="A153" s="641"/>
      <c r="B153" s="641"/>
    </row>
    <row r="154" spans="1:2" s="640" customFormat="1" ht="15">
      <c r="A154" s="641"/>
      <c r="B154" s="641"/>
    </row>
    <row r="155" spans="1:2" s="640" customFormat="1" ht="15">
      <c r="A155" s="641"/>
      <c r="B155" s="641"/>
    </row>
    <row r="156" spans="1:2" s="640" customFormat="1" ht="15">
      <c r="A156" s="641"/>
      <c r="B156" s="641"/>
    </row>
    <row r="157" spans="1:2" s="640" customFormat="1" ht="15">
      <c r="A157" s="641"/>
      <c r="B157" s="641"/>
    </row>
    <row r="158" spans="1:2" s="640" customFormat="1" ht="15">
      <c r="A158" s="641"/>
      <c r="B158" s="641"/>
    </row>
    <row r="159" spans="1:2" s="640" customFormat="1" ht="15">
      <c r="A159" s="641"/>
      <c r="B159" s="641"/>
    </row>
    <row r="160" spans="1:2" s="640" customFormat="1" ht="15">
      <c r="A160" s="641"/>
      <c r="B160" s="641"/>
    </row>
    <row r="161" spans="1:2" s="640" customFormat="1" ht="15">
      <c r="A161" s="641"/>
      <c r="B161" s="641"/>
    </row>
    <row r="162" spans="1:2" s="640" customFormat="1" ht="15">
      <c r="A162" s="641"/>
      <c r="B162" s="641"/>
    </row>
    <row r="163" spans="1:2" s="640" customFormat="1" ht="15">
      <c r="A163" s="641"/>
      <c r="B163" s="641"/>
    </row>
    <row r="164" spans="1:2" s="640" customFormat="1" ht="15">
      <c r="A164" s="641"/>
      <c r="B164" s="641"/>
    </row>
    <row r="165" spans="1:2" s="640" customFormat="1" ht="15">
      <c r="A165" s="641"/>
      <c r="B165" s="641"/>
    </row>
    <row r="166" spans="1:2" s="640" customFormat="1" ht="15">
      <c r="A166" s="641"/>
      <c r="B166" s="641"/>
    </row>
    <row r="167" spans="1:2" s="640" customFormat="1" ht="15">
      <c r="A167" s="641"/>
      <c r="B167" s="641"/>
    </row>
    <row r="168" spans="1:2" s="640" customFormat="1" ht="15">
      <c r="A168" s="641"/>
      <c r="B168" s="641"/>
    </row>
    <row r="169" spans="1:2" s="640" customFormat="1" ht="15">
      <c r="A169" s="641"/>
      <c r="B169" s="641"/>
    </row>
    <row r="170" spans="1:2" s="640" customFormat="1" ht="15">
      <c r="A170" s="641"/>
      <c r="B170" s="641"/>
    </row>
    <row r="171" spans="1:2" s="640" customFormat="1" ht="15">
      <c r="A171" s="641"/>
      <c r="B171" s="641"/>
    </row>
    <row r="172" spans="1:2" s="640" customFormat="1" ht="15">
      <c r="A172" s="641"/>
      <c r="B172" s="641"/>
    </row>
    <row r="173" spans="1:2" s="640" customFormat="1" ht="15">
      <c r="A173" s="641"/>
      <c r="B173" s="641"/>
    </row>
    <row r="174" spans="1:2" s="640" customFormat="1" ht="15">
      <c r="A174" s="641"/>
      <c r="B174" s="641"/>
    </row>
    <row r="175" spans="1:2" s="640" customFormat="1" ht="15">
      <c r="A175" s="641"/>
      <c r="B175" s="641"/>
    </row>
    <row r="176" spans="1:2" s="640" customFormat="1" ht="15">
      <c r="A176" s="641"/>
      <c r="B176" s="641"/>
    </row>
    <row r="177" spans="1:2" s="640" customFormat="1" ht="15">
      <c r="A177" s="641"/>
      <c r="B177" s="641"/>
    </row>
    <row r="178" spans="1:2" s="640" customFormat="1" ht="15">
      <c r="A178" s="641"/>
      <c r="B178" s="641"/>
    </row>
    <row r="179" spans="1:2" s="640" customFormat="1" ht="15">
      <c r="A179" s="641"/>
      <c r="B179" s="641"/>
    </row>
    <row r="180" spans="1:2" s="640" customFormat="1" ht="15">
      <c r="A180" s="641"/>
      <c r="B180" s="641"/>
    </row>
    <row r="181" spans="1:2" s="640" customFormat="1" ht="15">
      <c r="A181" s="641"/>
      <c r="B181" s="641"/>
    </row>
    <row r="182" spans="1:2" s="640" customFormat="1" ht="15">
      <c r="A182" s="641"/>
      <c r="B182" s="641"/>
    </row>
    <row r="183" spans="1:2" s="640" customFormat="1" ht="15">
      <c r="A183" s="641"/>
      <c r="B183" s="641"/>
    </row>
    <row r="184" spans="1:2" s="640" customFormat="1" ht="15">
      <c r="A184" s="641"/>
      <c r="B184" s="641"/>
    </row>
    <row r="185" spans="1:2" s="640" customFormat="1" ht="15">
      <c r="A185" s="641"/>
      <c r="B185" s="641"/>
    </row>
    <row r="186" spans="1:2" s="640" customFormat="1" ht="15">
      <c r="A186" s="641"/>
      <c r="B186" s="641"/>
    </row>
    <row r="187" spans="1:2" s="640" customFormat="1" ht="15">
      <c r="A187" s="641"/>
      <c r="B187" s="641"/>
    </row>
    <row r="188" spans="1:2" s="640" customFormat="1" ht="15">
      <c r="A188" s="641"/>
      <c r="B188" s="641"/>
    </row>
    <row r="189" spans="1:2" s="640" customFormat="1" ht="15">
      <c r="A189" s="641"/>
      <c r="B189" s="641"/>
    </row>
    <row r="190" spans="1:2" s="640" customFormat="1" ht="15">
      <c r="A190" s="641"/>
      <c r="B190" s="641"/>
    </row>
    <row r="191" spans="1:2" s="640" customFormat="1" ht="15">
      <c r="A191" s="641"/>
      <c r="B191" s="641"/>
    </row>
    <row r="192" spans="1:2" s="640" customFormat="1" ht="15">
      <c r="A192" s="641"/>
      <c r="B192" s="641"/>
    </row>
    <row r="193" spans="1:2" s="640" customFormat="1" ht="15">
      <c r="A193" s="641"/>
      <c r="B193" s="641"/>
    </row>
    <row r="194" spans="1:2" s="640" customFormat="1" ht="15">
      <c r="A194" s="641"/>
      <c r="B194" s="641"/>
    </row>
    <row r="195" spans="1:2" s="640" customFormat="1" ht="15">
      <c r="A195" s="641"/>
      <c r="B195" s="641"/>
    </row>
    <row r="196" spans="1:2" s="640" customFormat="1" ht="15">
      <c r="A196" s="641"/>
      <c r="B196" s="641"/>
    </row>
    <row r="197" spans="1:2" s="640" customFormat="1" ht="15">
      <c r="A197" s="641"/>
      <c r="B197" s="641"/>
    </row>
    <row r="198" spans="1:2" s="640" customFormat="1" ht="15">
      <c r="A198" s="641"/>
      <c r="B198" s="641"/>
    </row>
    <row r="199" spans="1:2" s="640" customFormat="1" ht="15">
      <c r="A199" s="641"/>
      <c r="B199" s="641"/>
    </row>
    <row r="200" spans="1:2" s="640" customFormat="1" ht="15">
      <c r="A200" s="641"/>
      <c r="B200" s="641"/>
    </row>
    <row r="201" spans="1:2" s="640" customFormat="1" ht="15">
      <c r="A201" s="641"/>
      <c r="B201" s="641"/>
    </row>
    <row r="202" spans="1:2" s="640" customFormat="1" ht="15">
      <c r="A202" s="641"/>
      <c r="B202" s="641"/>
    </row>
    <row r="203" spans="1:2" s="640" customFormat="1" ht="15">
      <c r="A203" s="641"/>
      <c r="B203" s="641"/>
    </row>
    <row r="204" spans="1:2" s="640" customFormat="1" ht="15">
      <c r="A204" s="641"/>
      <c r="B204" s="641"/>
    </row>
    <row r="205" spans="1:2" s="640" customFormat="1" ht="15">
      <c r="A205" s="641"/>
      <c r="B205" s="641"/>
    </row>
    <row r="206" spans="1:2" s="640" customFormat="1" ht="15">
      <c r="A206" s="641"/>
      <c r="B206" s="641"/>
    </row>
    <row r="207" spans="1:2" s="640" customFormat="1" ht="15">
      <c r="A207" s="641"/>
      <c r="B207" s="641"/>
    </row>
    <row r="208" spans="1:2" s="640" customFormat="1" ht="15">
      <c r="A208" s="641"/>
      <c r="B208" s="641"/>
    </row>
    <row r="209" spans="1:2" s="640" customFormat="1" ht="15">
      <c r="A209" s="641"/>
      <c r="B209" s="641"/>
    </row>
    <row r="210" spans="1:2" s="640" customFormat="1" ht="15">
      <c r="A210" s="641"/>
      <c r="B210" s="641"/>
    </row>
    <row r="211" spans="1:2" s="640" customFormat="1" ht="15">
      <c r="A211" s="641"/>
      <c r="B211" s="641"/>
    </row>
    <row r="212" spans="1:2" s="640" customFormat="1" ht="15">
      <c r="A212" s="641"/>
      <c r="B212" s="641"/>
    </row>
    <row r="213" spans="1:2" s="640" customFormat="1" ht="15">
      <c r="A213" s="641"/>
      <c r="B213" s="641"/>
    </row>
    <row r="214" spans="1:2" s="640" customFormat="1" ht="15">
      <c r="A214" s="641"/>
      <c r="B214" s="641"/>
    </row>
    <row r="215" spans="1:2" s="640" customFormat="1" ht="15">
      <c r="A215" s="641"/>
      <c r="B215" s="641"/>
    </row>
    <row r="216" spans="1:2" s="640" customFormat="1" ht="15">
      <c r="A216" s="641"/>
      <c r="B216" s="641"/>
    </row>
    <row r="217" spans="1:2" s="640" customFormat="1" ht="15">
      <c r="A217" s="641"/>
      <c r="B217" s="641"/>
    </row>
    <row r="218" spans="1:2" s="640" customFormat="1" ht="15">
      <c r="A218" s="641"/>
      <c r="B218" s="641"/>
    </row>
    <row r="219" spans="1:2" s="640" customFormat="1" ht="15">
      <c r="A219" s="641"/>
      <c r="B219" s="641"/>
    </row>
    <row r="220" spans="1:2" s="640" customFormat="1" ht="15">
      <c r="A220" s="641"/>
      <c r="B220" s="641"/>
    </row>
    <row r="221" spans="1:2" s="640" customFormat="1" ht="15">
      <c r="A221" s="641"/>
      <c r="B221" s="641"/>
    </row>
    <row r="222" spans="1:2" s="640" customFormat="1" ht="15">
      <c r="A222" s="641"/>
      <c r="B222" s="641"/>
    </row>
    <row r="223" spans="1:2" s="640" customFormat="1" ht="15">
      <c r="A223" s="641"/>
      <c r="B223" s="641"/>
    </row>
    <row r="224" spans="1:2" s="640" customFormat="1" ht="15">
      <c r="A224" s="641"/>
      <c r="B224" s="641"/>
    </row>
    <row r="225" spans="1:2" s="640" customFormat="1" ht="15">
      <c r="A225" s="641"/>
      <c r="B225" s="641"/>
    </row>
    <row r="226" spans="1:2" s="640" customFormat="1" ht="15">
      <c r="A226" s="641"/>
      <c r="B226" s="641"/>
    </row>
    <row r="227" spans="1:2" s="640" customFormat="1" ht="15">
      <c r="A227" s="641"/>
      <c r="B227" s="641"/>
    </row>
    <row r="228" spans="1:2" s="640" customFormat="1" ht="15">
      <c r="A228" s="641"/>
      <c r="B228" s="641"/>
    </row>
    <row r="229" spans="1:2" s="640" customFormat="1" ht="15">
      <c r="A229" s="641"/>
      <c r="B229" s="641"/>
    </row>
    <row r="230" spans="1:2" s="640" customFormat="1" ht="15">
      <c r="A230" s="641"/>
      <c r="B230" s="641"/>
    </row>
    <row r="231" spans="1:2" s="640" customFormat="1" ht="15">
      <c r="A231" s="641"/>
      <c r="B231" s="641"/>
    </row>
    <row r="232" spans="1:2" s="640" customFormat="1" ht="15">
      <c r="A232" s="641"/>
      <c r="B232" s="641"/>
    </row>
    <row r="233" spans="1:2" s="640" customFormat="1" ht="15">
      <c r="A233" s="641"/>
      <c r="B233" s="641"/>
    </row>
    <row r="234" spans="1:2" s="640" customFormat="1" ht="15">
      <c r="A234" s="641"/>
      <c r="B234" s="641"/>
    </row>
    <row r="235" spans="1:2" s="640" customFormat="1" ht="15">
      <c r="A235" s="641"/>
      <c r="B235" s="641"/>
    </row>
    <row r="236" spans="1:2" s="640" customFormat="1" ht="15">
      <c r="A236" s="641"/>
      <c r="B236" s="641"/>
    </row>
    <row r="237" spans="1:2" s="640" customFormat="1" ht="15">
      <c r="A237" s="641"/>
      <c r="B237" s="641"/>
    </row>
    <row r="238" spans="1:2" s="640" customFormat="1" ht="15">
      <c r="A238" s="641"/>
      <c r="B238" s="641"/>
    </row>
    <row r="239" spans="1:2" s="640" customFormat="1" ht="15">
      <c r="A239" s="641"/>
      <c r="B239" s="641"/>
    </row>
    <row r="240" spans="1:2" s="640" customFormat="1" ht="15">
      <c r="A240" s="641"/>
      <c r="B240" s="641"/>
    </row>
    <row r="241" spans="1:2" s="640" customFormat="1" ht="15">
      <c r="A241" s="641"/>
      <c r="B241" s="641"/>
    </row>
    <row r="242" spans="1:2" s="640" customFormat="1" ht="15">
      <c r="A242" s="641"/>
      <c r="B242" s="641"/>
    </row>
    <row r="243" spans="1:2" s="640" customFormat="1" ht="15">
      <c r="A243" s="641"/>
      <c r="B243" s="641"/>
    </row>
    <row r="244" spans="1:2" s="640" customFormat="1" ht="15">
      <c r="A244" s="641"/>
      <c r="B244" s="641"/>
    </row>
    <row r="245" spans="1:2" s="640" customFormat="1" ht="15">
      <c r="A245" s="641"/>
      <c r="B245" s="641"/>
    </row>
    <row r="246" spans="1:2" s="640" customFormat="1" ht="15">
      <c r="A246" s="641"/>
      <c r="B246" s="641"/>
    </row>
    <row r="247" spans="1:2" s="640" customFormat="1" ht="15">
      <c r="A247" s="641"/>
      <c r="B247" s="641"/>
    </row>
    <row r="248" spans="1:2" s="640" customFormat="1" ht="15">
      <c r="A248" s="641"/>
      <c r="B248" s="641"/>
    </row>
    <row r="249" spans="1:2" s="640" customFormat="1" ht="15">
      <c r="A249" s="641"/>
      <c r="B249" s="641"/>
    </row>
    <row r="250" spans="1:2" s="640" customFormat="1" ht="15">
      <c r="A250" s="641"/>
      <c r="B250" s="641"/>
    </row>
    <row r="251" spans="1:2" s="640" customFormat="1" ht="15">
      <c r="A251" s="641"/>
      <c r="B251" s="641"/>
    </row>
    <row r="252" spans="1:2" s="640" customFormat="1" ht="15">
      <c r="A252" s="641"/>
      <c r="B252" s="641"/>
    </row>
    <row r="253" spans="1:2" s="640" customFormat="1" ht="15">
      <c r="A253" s="641"/>
      <c r="B253" s="641"/>
    </row>
    <row r="254" spans="1:2" s="640" customFormat="1" ht="15">
      <c r="A254" s="641"/>
      <c r="B254" s="641"/>
    </row>
    <row r="255" spans="1:2" s="640" customFormat="1" ht="15">
      <c r="A255" s="641"/>
      <c r="B255" s="641"/>
    </row>
    <row r="256" spans="1:2" s="640" customFormat="1" ht="15">
      <c r="A256" s="641"/>
      <c r="B256" s="641"/>
    </row>
    <row r="257" spans="1:2" s="640" customFormat="1" ht="15">
      <c r="A257" s="641"/>
      <c r="B257" s="641"/>
    </row>
    <row r="258" spans="1:2" s="640" customFormat="1" ht="15">
      <c r="A258" s="641"/>
      <c r="B258" s="641"/>
    </row>
    <row r="259" spans="1:2" s="640" customFormat="1" ht="15">
      <c r="A259" s="641"/>
      <c r="B259" s="641"/>
    </row>
    <row r="260" spans="1:2" s="640" customFormat="1" ht="15">
      <c r="A260" s="641"/>
      <c r="B260" s="641"/>
    </row>
    <row r="261" spans="1:2" s="640" customFormat="1" ht="15">
      <c r="A261" s="641"/>
      <c r="B261" s="641"/>
    </row>
    <row r="262" spans="1:2" s="640" customFormat="1" ht="15">
      <c r="A262" s="641"/>
      <c r="B262" s="641"/>
    </row>
    <row r="263" spans="1:2" s="640" customFormat="1" ht="15">
      <c r="A263" s="641"/>
      <c r="B263" s="641"/>
    </row>
    <row r="264" spans="1:2" s="640" customFormat="1" ht="15">
      <c r="A264" s="641"/>
      <c r="B264" s="641"/>
    </row>
    <row r="265" spans="1:2" s="640" customFormat="1" ht="15">
      <c r="A265" s="641"/>
      <c r="B265" s="641"/>
    </row>
    <row r="266" spans="1:2" s="640" customFormat="1" ht="15">
      <c r="A266" s="641"/>
      <c r="B266" s="641"/>
    </row>
    <row r="267" spans="1:2" s="640" customFormat="1" ht="15">
      <c r="A267" s="641"/>
      <c r="B267" s="641"/>
    </row>
    <row r="268" spans="1:2" s="640" customFormat="1" ht="15">
      <c r="A268" s="641"/>
      <c r="B268" s="641"/>
    </row>
    <row r="269" spans="1:2" s="640" customFormat="1" ht="15">
      <c r="A269" s="641"/>
      <c r="B269" s="641"/>
    </row>
    <row r="270" spans="1:2" s="640" customFormat="1" ht="15">
      <c r="A270" s="641"/>
      <c r="B270" s="641"/>
    </row>
    <row r="271" spans="1:2" s="640" customFormat="1" ht="15">
      <c r="A271" s="641"/>
      <c r="B271" s="641"/>
    </row>
    <row r="272" spans="1:2" s="640" customFormat="1" ht="15">
      <c r="A272" s="641"/>
      <c r="B272" s="641"/>
    </row>
  </sheetData>
  <mergeCells count="10">
    <mergeCell ref="A1:H1"/>
    <mergeCell ref="A2:H2"/>
    <mergeCell ref="A44:C44"/>
    <mergeCell ref="G44:H44"/>
    <mergeCell ref="A37:C37"/>
    <mergeCell ref="G37:H37"/>
    <mergeCell ref="A38:C38"/>
    <mergeCell ref="G38:H38"/>
    <mergeCell ref="A43:C43"/>
    <mergeCell ref="G43:H43"/>
  </mergeCells>
  <printOptions horizontalCentered="1"/>
  <pageMargins left="0.25" right="0.25" top="0.75" bottom="0" header="0.3" footer="0.3"/>
  <pageSetup paperSize="9" scale="59" fitToWidth="2" fitToHeight="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300"/>
  <sheetViews>
    <sheetView workbookViewId="0">
      <selection activeCell="J21" sqref="J21"/>
    </sheetView>
  </sheetViews>
  <sheetFormatPr defaultRowHeight="15"/>
  <cols>
    <col min="1" max="1" width="5.28515625" style="11" customWidth="1"/>
    <col min="2" max="2" width="8" customWidth="1"/>
    <col min="3" max="3" width="32.28515625" customWidth="1"/>
    <col min="4" max="4" width="7.5703125" customWidth="1"/>
    <col min="5" max="5" width="73.28515625" customWidth="1"/>
    <col min="6" max="6" width="24.85546875" customWidth="1"/>
    <col min="7" max="7" width="25.28515625" customWidth="1"/>
    <col min="8" max="8" width="19.28515625" customWidth="1"/>
    <col min="9" max="9" width="16.42578125" customWidth="1"/>
    <col min="11" max="11" width="30.5703125" customWidth="1"/>
  </cols>
  <sheetData>
    <row r="1" spans="1:12">
      <c r="A1" s="4" t="s">
        <v>677</v>
      </c>
    </row>
    <row r="2" spans="1:12">
      <c r="A2" s="4" t="s">
        <v>528</v>
      </c>
    </row>
    <row r="3" spans="1:12" ht="19.5">
      <c r="A3" s="1030" t="s">
        <v>847</v>
      </c>
      <c r="B3" s="1030"/>
      <c r="C3" s="1030"/>
      <c r="D3" s="1030"/>
      <c r="E3" s="1030"/>
      <c r="F3" s="1030"/>
      <c r="G3" s="1030"/>
      <c r="H3" s="1030"/>
      <c r="I3" s="1030"/>
      <c r="J3" s="1030"/>
      <c r="K3" s="1030"/>
    </row>
    <row r="4" spans="1:12" ht="15.75" thickBot="1"/>
    <row r="5" spans="1:12" ht="16.5" thickTop="1" thickBot="1">
      <c r="A5" s="57" t="s">
        <v>515</v>
      </c>
      <c r="B5" s="58" t="s">
        <v>2</v>
      </c>
      <c r="C5" s="58" t="s">
        <v>3</v>
      </c>
      <c r="D5" s="59" t="s">
        <v>848</v>
      </c>
      <c r="E5" s="58" t="s">
        <v>849</v>
      </c>
      <c r="F5" s="58" t="s">
        <v>850</v>
      </c>
      <c r="G5" s="58" t="s">
        <v>851</v>
      </c>
      <c r="H5" s="58" t="s">
        <v>852</v>
      </c>
      <c r="I5" s="58" t="s">
        <v>853</v>
      </c>
      <c r="J5" s="58" t="s">
        <v>854</v>
      </c>
      <c r="K5" s="60" t="s">
        <v>855</v>
      </c>
      <c r="L5" s="2"/>
    </row>
    <row r="6" spans="1:12" ht="15.75" thickTop="1">
      <c r="A6" s="61">
        <v>1</v>
      </c>
      <c r="B6" s="62" t="s">
        <v>856</v>
      </c>
      <c r="C6" s="63" t="s">
        <v>857</v>
      </c>
      <c r="D6" s="64" t="s">
        <v>131</v>
      </c>
      <c r="E6" s="65" t="s">
        <v>858</v>
      </c>
      <c r="F6" s="66" t="s">
        <v>859</v>
      </c>
      <c r="G6" s="66" t="s">
        <v>860</v>
      </c>
      <c r="H6" s="66" t="s">
        <v>21</v>
      </c>
      <c r="I6" s="66" t="s">
        <v>861</v>
      </c>
      <c r="J6" s="66" t="s">
        <v>862</v>
      </c>
      <c r="K6" s="67" t="s">
        <v>863</v>
      </c>
      <c r="L6" s="2"/>
    </row>
    <row r="7" spans="1:12">
      <c r="A7" s="68">
        <f t="shared" ref="A7:A70" si="0">A6+1</f>
        <v>2</v>
      </c>
      <c r="B7" s="69" t="s">
        <v>88</v>
      </c>
      <c r="C7" s="70" t="s">
        <v>89</v>
      </c>
      <c r="D7" s="71" t="s">
        <v>291</v>
      </c>
      <c r="E7" s="72" t="s">
        <v>864</v>
      </c>
      <c r="F7" s="69" t="s">
        <v>865</v>
      </c>
      <c r="G7" s="69" t="s">
        <v>865</v>
      </c>
      <c r="H7" s="69" t="s">
        <v>21</v>
      </c>
      <c r="I7" s="69" t="s">
        <v>861</v>
      </c>
      <c r="J7" s="69" t="s">
        <v>866</v>
      </c>
      <c r="K7" s="73" t="s">
        <v>867</v>
      </c>
      <c r="L7" s="2"/>
    </row>
    <row r="8" spans="1:12">
      <c r="A8" s="68">
        <f t="shared" si="0"/>
        <v>3</v>
      </c>
      <c r="B8" s="69" t="s">
        <v>868</v>
      </c>
      <c r="C8" s="70" t="s">
        <v>869</v>
      </c>
      <c r="D8" s="71" t="s">
        <v>55</v>
      </c>
      <c r="E8" s="72" t="s">
        <v>870</v>
      </c>
      <c r="F8" s="69" t="s">
        <v>865</v>
      </c>
      <c r="G8" s="69" t="s">
        <v>865</v>
      </c>
      <c r="H8" s="69" t="s">
        <v>21</v>
      </c>
      <c r="I8" s="69" t="s">
        <v>861</v>
      </c>
      <c r="J8" s="69" t="s">
        <v>866</v>
      </c>
      <c r="K8" s="73" t="s">
        <v>871</v>
      </c>
      <c r="L8" s="2"/>
    </row>
    <row r="9" spans="1:12">
      <c r="A9" s="68">
        <f t="shared" si="0"/>
        <v>4</v>
      </c>
      <c r="B9" s="69" t="s">
        <v>872</v>
      </c>
      <c r="C9" s="74" t="s">
        <v>873</v>
      </c>
      <c r="D9" s="71" t="s">
        <v>120</v>
      </c>
      <c r="E9" s="72" t="s">
        <v>874</v>
      </c>
      <c r="F9" s="69" t="s">
        <v>860</v>
      </c>
      <c r="G9" s="69" t="s">
        <v>860</v>
      </c>
      <c r="H9" s="69" t="s">
        <v>21</v>
      </c>
      <c r="I9" s="69" t="s">
        <v>861</v>
      </c>
      <c r="J9" s="69" t="s">
        <v>875</v>
      </c>
      <c r="K9" s="73" t="s">
        <v>876</v>
      </c>
      <c r="L9" s="2"/>
    </row>
    <row r="10" spans="1:12">
      <c r="A10" s="68">
        <f t="shared" si="0"/>
        <v>5</v>
      </c>
      <c r="B10" s="69" t="s">
        <v>141</v>
      </c>
      <c r="C10" s="70" t="s">
        <v>142</v>
      </c>
      <c r="D10" s="71" t="s">
        <v>120</v>
      </c>
      <c r="E10" s="72" t="s">
        <v>877</v>
      </c>
      <c r="F10" s="69" t="s">
        <v>878</v>
      </c>
      <c r="G10" s="69" t="s">
        <v>865</v>
      </c>
      <c r="H10" s="69" t="s">
        <v>21</v>
      </c>
      <c r="I10" s="69" t="s">
        <v>861</v>
      </c>
      <c r="J10" s="69" t="s">
        <v>862</v>
      </c>
      <c r="K10" s="73" t="s">
        <v>862</v>
      </c>
      <c r="L10" s="2"/>
    </row>
    <row r="11" spans="1:12" ht="29.25">
      <c r="A11" s="68">
        <f t="shared" si="0"/>
        <v>6</v>
      </c>
      <c r="B11" s="75" t="s">
        <v>879</v>
      </c>
      <c r="C11" s="70" t="s">
        <v>880</v>
      </c>
      <c r="D11" s="71" t="s">
        <v>120</v>
      </c>
      <c r="E11" s="72" t="s">
        <v>881</v>
      </c>
      <c r="F11" s="69" t="s">
        <v>882</v>
      </c>
      <c r="G11" s="69" t="s">
        <v>882</v>
      </c>
      <c r="H11" s="69" t="s">
        <v>882</v>
      </c>
      <c r="I11" s="69"/>
      <c r="J11" s="69"/>
      <c r="K11" s="76" t="s">
        <v>883</v>
      </c>
      <c r="L11" s="2"/>
    </row>
    <row r="12" spans="1:12">
      <c r="A12" s="68">
        <f t="shared" si="0"/>
        <v>7</v>
      </c>
      <c r="B12" s="69" t="s">
        <v>252</v>
      </c>
      <c r="C12" s="70" t="s">
        <v>884</v>
      </c>
      <c r="D12" s="71" t="s">
        <v>55</v>
      </c>
      <c r="E12" s="72" t="s">
        <v>885</v>
      </c>
      <c r="F12" s="69" t="s">
        <v>878</v>
      </c>
      <c r="G12" s="69" t="s">
        <v>865</v>
      </c>
      <c r="H12" s="69" t="s">
        <v>21</v>
      </c>
      <c r="I12" s="69" t="s">
        <v>861</v>
      </c>
      <c r="J12" s="69" t="s">
        <v>886</v>
      </c>
      <c r="K12" s="73" t="s">
        <v>887</v>
      </c>
      <c r="L12" s="2"/>
    </row>
    <row r="13" spans="1:12">
      <c r="A13" s="68">
        <f t="shared" si="0"/>
        <v>8</v>
      </c>
      <c r="B13" s="69" t="s">
        <v>888</v>
      </c>
      <c r="C13" s="70" t="s">
        <v>889</v>
      </c>
      <c r="D13" s="71" t="s">
        <v>120</v>
      </c>
      <c r="E13" s="72" t="s">
        <v>890</v>
      </c>
      <c r="F13" s="69" t="s">
        <v>878</v>
      </c>
      <c r="G13" s="69" t="s">
        <v>865</v>
      </c>
      <c r="H13" s="69" t="s">
        <v>21</v>
      </c>
      <c r="I13" s="69" t="s">
        <v>861</v>
      </c>
      <c r="J13" s="69" t="s">
        <v>862</v>
      </c>
      <c r="K13" s="73" t="s">
        <v>891</v>
      </c>
      <c r="L13" s="2"/>
    </row>
    <row r="14" spans="1:12">
      <c r="A14" s="68">
        <f t="shared" si="0"/>
        <v>9</v>
      </c>
      <c r="B14" s="69" t="s">
        <v>155</v>
      </c>
      <c r="C14" s="74" t="s">
        <v>892</v>
      </c>
      <c r="D14" s="71" t="s">
        <v>55</v>
      </c>
      <c r="E14" s="72" t="s">
        <v>893</v>
      </c>
      <c r="F14" s="69" t="s">
        <v>894</v>
      </c>
      <c r="G14" s="69" t="s">
        <v>895</v>
      </c>
      <c r="H14" s="69" t="s">
        <v>21</v>
      </c>
      <c r="I14" s="69" t="s">
        <v>861</v>
      </c>
      <c r="J14" s="69" t="s">
        <v>896</v>
      </c>
      <c r="K14" s="73" t="s">
        <v>897</v>
      </c>
      <c r="L14" s="2"/>
    </row>
    <row r="15" spans="1:12">
      <c r="A15" s="68">
        <f t="shared" si="0"/>
        <v>10</v>
      </c>
      <c r="B15" s="69" t="s">
        <v>898</v>
      </c>
      <c r="C15" s="70" t="s">
        <v>899</v>
      </c>
      <c r="D15" s="71" t="s">
        <v>291</v>
      </c>
      <c r="E15" s="72" t="s">
        <v>900</v>
      </c>
      <c r="F15" s="69" t="s">
        <v>901</v>
      </c>
      <c r="G15" s="69" t="s">
        <v>860</v>
      </c>
      <c r="H15" s="69" t="s">
        <v>21</v>
      </c>
      <c r="I15" s="69" t="s">
        <v>861</v>
      </c>
      <c r="J15" s="69" t="s">
        <v>902</v>
      </c>
      <c r="K15" s="73" t="s">
        <v>903</v>
      </c>
      <c r="L15" s="2"/>
    </row>
    <row r="16" spans="1:12">
      <c r="A16" s="68">
        <f t="shared" si="0"/>
        <v>11</v>
      </c>
      <c r="B16" s="69" t="s">
        <v>904</v>
      </c>
      <c r="C16" s="70" t="s">
        <v>905</v>
      </c>
      <c r="D16" s="71" t="s">
        <v>55</v>
      </c>
      <c r="E16" s="72" t="s">
        <v>906</v>
      </c>
      <c r="F16" s="69" t="s">
        <v>907</v>
      </c>
      <c r="G16" s="69" t="s">
        <v>860</v>
      </c>
      <c r="H16" s="69" t="s">
        <v>21</v>
      </c>
      <c r="I16" s="69" t="s">
        <v>861</v>
      </c>
      <c r="J16" s="69" t="s">
        <v>908</v>
      </c>
      <c r="K16" s="73" t="s">
        <v>909</v>
      </c>
      <c r="L16" s="2"/>
    </row>
    <row r="17" spans="1:12">
      <c r="A17" s="68">
        <f t="shared" si="0"/>
        <v>12</v>
      </c>
      <c r="B17" s="69" t="s">
        <v>72</v>
      </c>
      <c r="C17" s="70" t="s">
        <v>73</v>
      </c>
      <c r="D17" s="71" t="s">
        <v>131</v>
      </c>
      <c r="E17" s="72" t="s">
        <v>910</v>
      </c>
      <c r="F17" s="69" t="s">
        <v>911</v>
      </c>
      <c r="G17" s="69" t="s">
        <v>912</v>
      </c>
      <c r="H17" s="69" t="s">
        <v>21</v>
      </c>
      <c r="I17" s="69" t="s">
        <v>861</v>
      </c>
      <c r="J17" s="69" t="s">
        <v>913</v>
      </c>
      <c r="K17" s="73" t="s">
        <v>914</v>
      </c>
      <c r="L17" s="2"/>
    </row>
    <row r="18" spans="1:12">
      <c r="A18" s="68">
        <f t="shared" si="0"/>
        <v>13</v>
      </c>
      <c r="B18" s="69" t="s">
        <v>94</v>
      </c>
      <c r="C18" s="74" t="s">
        <v>915</v>
      </c>
      <c r="D18" s="71" t="s">
        <v>55</v>
      </c>
      <c r="E18" s="72" t="s">
        <v>916</v>
      </c>
      <c r="F18" s="69" t="s">
        <v>917</v>
      </c>
      <c r="G18" s="69" t="s">
        <v>918</v>
      </c>
      <c r="H18" s="69" t="s">
        <v>21</v>
      </c>
      <c r="I18" s="69" t="s">
        <v>861</v>
      </c>
      <c r="J18" s="69" t="s">
        <v>919</v>
      </c>
      <c r="K18" s="73" t="s">
        <v>920</v>
      </c>
      <c r="L18" s="2"/>
    </row>
    <row r="19" spans="1:12">
      <c r="A19" s="68">
        <f t="shared" si="0"/>
        <v>14</v>
      </c>
      <c r="B19" s="69" t="s">
        <v>921</v>
      </c>
      <c r="C19" s="74" t="s">
        <v>922</v>
      </c>
      <c r="D19" s="71" t="s">
        <v>120</v>
      </c>
      <c r="E19" s="72" t="s">
        <v>923</v>
      </c>
      <c r="F19" s="69" t="s">
        <v>924</v>
      </c>
      <c r="G19" s="69" t="s">
        <v>918</v>
      </c>
      <c r="H19" s="69" t="s">
        <v>21</v>
      </c>
      <c r="I19" s="69" t="s">
        <v>861</v>
      </c>
      <c r="J19" s="69" t="s">
        <v>925</v>
      </c>
      <c r="K19" s="73" t="s">
        <v>926</v>
      </c>
      <c r="L19" s="2"/>
    </row>
    <row r="20" spans="1:12">
      <c r="A20" s="68">
        <f t="shared" si="0"/>
        <v>15</v>
      </c>
      <c r="B20" s="69" t="s">
        <v>172</v>
      </c>
      <c r="C20" s="70" t="s">
        <v>927</v>
      </c>
      <c r="D20" s="71" t="s">
        <v>55</v>
      </c>
      <c r="E20" s="72" t="s">
        <v>928</v>
      </c>
      <c r="F20" s="69" t="s">
        <v>907</v>
      </c>
      <c r="G20" s="69" t="s">
        <v>860</v>
      </c>
      <c r="H20" s="69" t="s">
        <v>929</v>
      </c>
      <c r="I20" s="69" t="s">
        <v>930</v>
      </c>
      <c r="J20" s="69" t="s">
        <v>908</v>
      </c>
      <c r="K20" s="73" t="s">
        <v>931</v>
      </c>
      <c r="L20" s="2"/>
    </row>
    <row r="21" spans="1:12">
      <c r="A21" s="68">
        <f t="shared" si="0"/>
        <v>16</v>
      </c>
      <c r="B21" s="69" t="s">
        <v>430</v>
      </c>
      <c r="C21" s="70" t="s">
        <v>431</v>
      </c>
      <c r="D21" s="71" t="s">
        <v>291</v>
      </c>
      <c r="E21" s="72" t="s">
        <v>932</v>
      </c>
      <c r="F21" s="69" t="s">
        <v>865</v>
      </c>
      <c r="G21" s="69" t="s">
        <v>865</v>
      </c>
      <c r="H21" s="69" t="s">
        <v>21</v>
      </c>
      <c r="I21" s="69" t="s">
        <v>861</v>
      </c>
      <c r="J21" s="69" t="s">
        <v>866</v>
      </c>
      <c r="K21" s="73" t="s">
        <v>933</v>
      </c>
      <c r="L21" s="2"/>
    </row>
    <row r="22" spans="1:12">
      <c r="A22" s="68">
        <f t="shared" si="0"/>
        <v>17</v>
      </c>
      <c r="B22" s="69" t="s">
        <v>114</v>
      </c>
      <c r="C22" s="70" t="s">
        <v>115</v>
      </c>
      <c r="D22" s="71" t="s">
        <v>120</v>
      </c>
      <c r="E22" s="72" t="s">
        <v>934</v>
      </c>
      <c r="F22" s="69" t="s">
        <v>865</v>
      </c>
      <c r="G22" s="69" t="s">
        <v>865</v>
      </c>
      <c r="H22" s="69" t="s">
        <v>21</v>
      </c>
      <c r="I22" s="69" t="s">
        <v>861</v>
      </c>
      <c r="J22" s="69" t="s">
        <v>866</v>
      </c>
      <c r="K22" s="73" t="s">
        <v>935</v>
      </c>
      <c r="L22" s="2"/>
    </row>
    <row r="23" spans="1:12">
      <c r="A23" s="68">
        <f t="shared" si="0"/>
        <v>18</v>
      </c>
      <c r="B23" s="69" t="s">
        <v>143</v>
      </c>
      <c r="C23" s="70" t="s">
        <v>144</v>
      </c>
      <c r="D23" s="71" t="s">
        <v>55</v>
      </c>
      <c r="E23" s="72" t="s">
        <v>936</v>
      </c>
      <c r="F23" s="69" t="s">
        <v>865</v>
      </c>
      <c r="G23" s="69" t="s">
        <v>865</v>
      </c>
      <c r="H23" s="69" t="s">
        <v>21</v>
      </c>
      <c r="I23" s="69" t="s">
        <v>861</v>
      </c>
      <c r="J23" s="69" t="s">
        <v>866</v>
      </c>
      <c r="K23" s="73" t="s">
        <v>937</v>
      </c>
      <c r="L23" s="2"/>
    </row>
    <row r="24" spans="1:12" ht="29.25">
      <c r="A24" s="68">
        <f t="shared" si="0"/>
        <v>19</v>
      </c>
      <c r="B24" s="69" t="s">
        <v>938</v>
      </c>
      <c r="C24" s="70" t="s">
        <v>208</v>
      </c>
      <c r="D24" s="71" t="s">
        <v>55</v>
      </c>
      <c r="E24" s="72" t="s">
        <v>939</v>
      </c>
      <c r="F24" s="69" t="s">
        <v>940</v>
      </c>
      <c r="G24" s="69" t="s">
        <v>941</v>
      </c>
      <c r="H24" s="69" t="s">
        <v>21</v>
      </c>
      <c r="I24" s="69" t="s">
        <v>861</v>
      </c>
      <c r="J24" s="69" t="s">
        <v>942</v>
      </c>
      <c r="K24" s="73" t="s">
        <v>943</v>
      </c>
      <c r="L24" s="2"/>
    </row>
    <row r="25" spans="1:12" ht="29.25">
      <c r="A25" s="68">
        <f t="shared" si="0"/>
        <v>20</v>
      </c>
      <c r="B25" s="69" t="s">
        <v>125</v>
      </c>
      <c r="C25" s="70" t="s">
        <v>126</v>
      </c>
      <c r="D25" s="71" t="s">
        <v>55</v>
      </c>
      <c r="E25" s="72" t="s">
        <v>944</v>
      </c>
      <c r="F25" s="69" t="s">
        <v>907</v>
      </c>
      <c r="G25" s="69" t="s">
        <v>860</v>
      </c>
      <c r="H25" s="69" t="s">
        <v>21</v>
      </c>
      <c r="I25" s="69" t="s">
        <v>861</v>
      </c>
      <c r="J25" s="69" t="s">
        <v>908</v>
      </c>
      <c r="K25" s="73" t="s">
        <v>945</v>
      </c>
      <c r="L25" s="2"/>
    </row>
    <row r="26" spans="1:12">
      <c r="A26" s="68">
        <f t="shared" si="0"/>
        <v>21</v>
      </c>
      <c r="B26" s="69" t="s">
        <v>97</v>
      </c>
      <c r="C26" s="70" t="s">
        <v>98</v>
      </c>
      <c r="D26" s="71" t="s">
        <v>55</v>
      </c>
      <c r="E26" s="72" t="s">
        <v>946</v>
      </c>
      <c r="F26" s="69" t="s">
        <v>860</v>
      </c>
      <c r="G26" s="69" t="s">
        <v>860</v>
      </c>
      <c r="H26" s="69" t="s">
        <v>21</v>
      </c>
      <c r="I26" s="69" t="s">
        <v>861</v>
      </c>
      <c r="J26" s="69" t="s">
        <v>862</v>
      </c>
      <c r="K26" s="73" t="s">
        <v>862</v>
      </c>
      <c r="L26" s="2"/>
    </row>
    <row r="27" spans="1:12">
      <c r="A27" s="68">
        <f t="shared" si="0"/>
        <v>22</v>
      </c>
      <c r="B27" s="69" t="s">
        <v>28</v>
      </c>
      <c r="C27" s="74" t="s">
        <v>29</v>
      </c>
      <c r="D27" s="71" t="s">
        <v>55</v>
      </c>
      <c r="E27" s="72" t="s">
        <v>947</v>
      </c>
      <c r="F27" s="69" t="s">
        <v>948</v>
      </c>
      <c r="G27" s="69" t="s">
        <v>949</v>
      </c>
      <c r="H27" s="77" t="s">
        <v>215</v>
      </c>
      <c r="I27" s="69" t="s">
        <v>861</v>
      </c>
      <c r="J27" s="69" t="s">
        <v>950</v>
      </c>
      <c r="K27" s="73" t="s">
        <v>951</v>
      </c>
      <c r="L27" s="2"/>
    </row>
    <row r="28" spans="1:12">
      <c r="A28" s="68">
        <f t="shared" si="0"/>
        <v>23</v>
      </c>
      <c r="B28" s="69" t="s">
        <v>157</v>
      </c>
      <c r="C28" s="74" t="s">
        <v>952</v>
      </c>
      <c r="D28" s="71" t="s">
        <v>55</v>
      </c>
      <c r="E28" s="72" t="s">
        <v>953</v>
      </c>
      <c r="F28" s="69" t="s">
        <v>954</v>
      </c>
      <c r="G28" s="69" t="s">
        <v>955</v>
      </c>
      <c r="H28" s="77" t="s">
        <v>479</v>
      </c>
      <c r="I28" s="69" t="s">
        <v>861</v>
      </c>
      <c r="J28" s="69" t="s">
        <v>116</v>
      </c>
      <c r="K28" s="73" t="s">
        <v>956</v>
      </c>
      <c r="L28" s="2"/>
    </row>
    <row r="29" spans="1:12">
      <c r="A29" s="68">
        <f t="shared" si="0"/>
        <v>24</v>
      </c>
      <c r="B29" s="69" t="s">
        <v>76</v>
      </c>
      <c r="C29" s="70" t="s">
        <v>77</v>
      </c>
      <c r="D29" s="71" t="s">
        <v>55</v>
      </c>
      <c r="E29" s="72" t="s">
        <v>957</v>
      </c>
      <c r="F29" s="69" t="s">
        <v>865</v>
      </c>
      <c r="G29" s="69" t="s">
        <v>865</v>
      </c>
      <c r="H29" s="69" t="s">
        <v>21</v>
      </c>
      <c r="I29" s="69" t="s">
        <v>861</v>
      </c>
      <c r="J29" s="69" t="s">
        <v>866</v>
      </c>
      <c r="K29" s="73" t="s">
        <v>958</v>
      </c>
      <c r="L29" s="2"/>
    </row>
    <row r="30" spans="1:12">
      <c r="A30" s="68">
        <f t="shared" si="0"/>
        <v>25</v>
      </c>
      <c r="B30" s="69" t="s">
        <v>68</v>
      </c>
      <c r="C30" s="74" t="s">
        <v>69</v>
      </c>
      <c r="D30" s="71" t="s">
        <v>55</v>
      </c>
      <c r="E30" s="72" t="s">
        <v>959</v>
      </c>
      <c r="F30" s="69" t="s">
        <v>960</v>
      </c>
      <c r="G30" s="69" t="s">
        <v>58</v>
      </c>
      <c r="H30" s="77" t="s">
        <v>58</v>
      </c>
      <c r="I30" s="69" t="s">
        <v>861</v>
      </c>
      <c r="J30" s="69" t="s">
        <v>961</v>
      </c>
      <c r="K30" s="73" t="s">
        <v>962</v>
      </c>
      <c r="L30" s="2"/>
    </row>
    <row r="31" spans="1:12">
      <c r="A31" s="68">
        <f t="shared" si="0"/>
        <v>26</v>
      </c>
      <c r="B31" s="69" t="s">
        <v>78</v>
      </c>
      <c r="C31" s="70" t="s">
        <v>963</v>
      </c>
      <c r="D31" s="71" t="s">
        <v>120</v>
      </c>
      <c r="E31" s="72" t="s">
        <v>964</v>
      </c>
      <c r="F31" s="69" t="s">
        <v>965</v>
      </c>
      <c r="G31" s="69" t="s">
        <v>860</v>
      </c>
      <c r="H31" s="69" t="s">
        <v>929</v>
      </c>
      <c r="I31" s="69" t="s">
        <v>930</v>
      </c>
      <c r="J31" s="69" t="s">
        <v>966</v>
      </c>
      <c r="K31" s="73" t="s">
        <v>967</v>
      </c>
      <c r="L31" s="2"/>
    </row>
    <row r="32" spans="1:12">
      <c r="A32" s="68">
        <f t="shared" si="0"/>
        <v>27</v>
      </c>
      <c r="B32" s="69" t="s">
        <v>99</v>
      </c>
      <c r="C32" s="70" t="s">
        <v>100</v>
      </c>
      <c r="D32" s="71" t="s">
        <v>55</v>
      </c>
      <c r="E32" s="72" t="s">
        <v>968</v>
      </c>
      <c r="F32" s="69" t="s">
        <v>969</v>
      </c>
      <c r="G32" s="69" t="s">
        <v>860</v>
      </c>
      <c r="H32" s="69" t="s">
        <v>21</v>
      </c>
      <c r="I32" s="69" t="s">
        <v>861</v>
      </c>
      <c r="J32" s="69" t="s">
        <v>970</v>
      </c>
      <c r="K32" s="73" t="s">
        <v>971</v>
      </c>
      <c r="L32" s="2"/>
    </row>
    <row r="33" spans="1:12">
      <c r="A33" s="68">
        <f t="shared" si="0"/>
        <v>28</v>
      </c>
      <c r="B33" s="69" t="s">
        <v>74</v>
      </c>
      <c r="C33" s="70" t="s">
        <v>75</v>
      </c>
      <c r="D33" s="71" t="s">
        <v>55</v>
      </c>
      <c r="E33" s="72" t="s">
        <v>972</v>
      </c>
      <c r="F33" s="69" t="s">
        <v>973</v>
      </c>
      <c r="G33" s="69" t="s">
        <v>941</v>
      </c>
      <c r="H33" s="69" t="s">
        <v>21</v>
      </c>
      <c r="I33" s="69" t="s">
        <v>861</v>
      </c>
      <c r="J33" s="69" t="s">
        <v>974</v>
      </c>
      <c r="K33" s="73" t="s">
        <v>975</v>
      </c>
      <c r="L33" s="2"/>
    </row>
    <row r="34" spans="1:12">
      <c r="A34" s="68">
        <f t="shared" si="0"/>
        <v>29</v>
      </c>
      <c r="B34" s="69" t="s">
        <v>432</v>
      </c>
      <c r="C34" s="70" t="s">
        <v>976</v>
      </c>
      <c r="D34" s="71" t="s">
        <v>120</v>
      </c>
      <c r="E34" s="72" t="s">
        <v>977</v>
      </c>
      <c r="F34" s="69" t="s">
        <v>978</v>
      </c>
      <c r="G34" s="69" t="s">
        <v>860</v>
      </c>
      <c r="H34" s="69" t="s">
        <v>21</v>
      </c>
      <c r="I34" s="69" t="s">
        <v>861</v>
      </c>
      <c r="J34" s="69" t="s">
        <v>979</v>
      </c>
      <c r="K34" s="73" t="s">
        <v>980</v>
      </c>
      <c r="L34" s="2"/>
    </row>
    <row r="35" spans="1:12">
      <c r="A35" s="68">
        <f t="shared" si="0"/>
        <v>30</v>
      </c>
      <c r="B35" s="69" t="s">
        <v>106</v>
      </c>
      <c r="C35" s="70" t="s">
        <v>107</v>
      </c>
      <c r="D35" s="71" t="s">
        <v>55</v>
      </c>
      <c r="E35" s="72" t="s">
        <v>981</v>
      </c>
      <c r="F35" s="69" t="s">
        <v>894</v>
      </c>
      <c r="G35" s="69" t="s">
        <v>895</v>
      </c>
      <c r="H35" s="69" t="s">
        <v>21</v>
      </c>
      <c r="I35" s="69" t="s">
        <v>861</v>
      </c>
      <c r="J35" s="69" t="s">
        <v>896</v>
      </c>
      <c r="K35" s="73" t="s">
        <v>982</v>
      </c>
      <c r="L35" s="2"/>
    </row>
    <row r="36" spans="1:12">
      <c r="A36" s="68">
        <f t="shared" si="0"/>
        <v>31</v>
      </c>
      <c r="B36" s="69" t="s">
        <v>983</v>
      </c>
      <c r="C36" s="70" t="s">
        <v>984</v>
      </c>
      <c r="D36" s="71" t="s">
        <v>120</v>
      </c>
      <c r="E36" s="72" t="s">
        <v>985</v>
      </c>
      <c r="F36" s="69" t="s">
        <v>986</v>
      </c>
      <c r="G36" s="69" t="s">
        <v>860</v>
      </c>
      <c r="H36" s="69" t="s">
        <v>21</v>
      </c>
      <c r="I36" s="69" t="s">
        <v>861</v>
      </c>
      <c r="J36" s="69" t="s">
        <v>862</v>
      </c>
      <c r="K36" s="73" t="s">
        <v>862</v>
      </c>
      <c r="L36" s="2"/>
    </row>
    <row r="37" spans="1:12">
      <c r="A37" s="68">
        <f t="shared" si="0"/>
        <v>32</v>
      </c>
      <c r="B37" s="69" t="s">
        <v>279</v>
      </c>
      <c r="C37" s="70" t="s">
        <v>987</v>
      </c>
      <c r="D37" s="71" t="s">
        <v>55</v>
      </c>
      <c r="E37" s="72" t="s">
        <v>988</v>
      </c>
      <c r="F37" s="69" t="s">
        <v>865</v>
      </c>
      <c r="G37" s="69" t="s">
        <v>865</v>
      </c>
      <c r="H37" s="69" t="s">
        <v>21</v>
      </c>
      <c r="I37" s="69" t="s">
        <v>861</v>
      </c>
      <c r="J37" s="69" t="s">
        <v>866</v>
      </c>
      <c r="K37" s="73" t="s">
        <v>989</v>
      </c>
      <c r="L37" s="2"/>
    </row>
    <row r="38" spans="1:12">
      <c r="A38" s="68">
        <f t="shared" si="0"/>
        <v>33</v>
      </c>
      <c r="B38" s="69" t="s">
        <v>62</v>
      </c>
      <c r="C38" s="70" t="s">
        <v>990</v>
      </c>
      <c r="D38" s="71" t="s">
        <v>291</v>
      </c>
      <c r="E38" s="72" t="s">
        <v>991</v>
      </c>
      <c r="F38" s="69" t="s">
        <v>986</v>
      </c>
      <c r="G38" s="69" t="s">
        <v>860</v>
      </c>
      <c r="H38" s="69" t="s">
        <v>21</v>
      </c>
      <c r="I38" s="69" t="s">
        <v>861</v>
      </c>
      <c r="J38" s="69" t="s">
        <v>970</v>
      </c>
      <c r="K38" s="78" t="s">
        <v>992</v>
      </c>
      <c r="L38" s="2"/>
    </row>
    <row r="39" spans="1:12">
      <c r="A39" s="68">
        <f t="shared" si="0"/>
        <v>34</v>
      </c>
      <c r="B39" s="69" t="s">
        <v>204</v>
      </c>
      <c r="C39" s="74" t="s">
        <v>205</v>
      </c>
      <c r="D39" s="71" t="s">
        <v>120</v>
      </c>
      <c r="E39" s="72" t="s">
        <v>993</v>
      </c>
      <c r="F39" s="69" t="s">
        <v>423</v>
      </c>
      <c r="G39" s="69" t="s">
        <v>994</v>
      </c>
      <c r="H39" s="77" t="s">
        <v>423</v>
      </c>
      <c r="I39" s="69" t="s">
        <v>861</v>
      </c>
      <c r="J39" s="69" t="s">
        <v>995</v>
      </c>
      <c r="K39" s="73" t="s">
        <v>996</v>
      </c>
      <c r="L39" s="2"/>
    </row>
    <row r="40" spans="1:12">
      <c r="A40" s="68">
        <f t="shared" si="0"/>
        <v>35</v>
      </c>
      <c r="B40" s="69" t="s">
        <v>256</v>
      </c>
      <c r="C40" s="70" t="s">
        <v>257</v>
      </c>
      <c r="D40" s="71" t="s">
        <v>120</v>
      </c>
      <c r="E40" s="72" t="s">
        <v>997</v>
      </c>
      <c r="F40" s="69" t="s">
        <v>998</v>
      </c>
      <c r="G40" s="69" t="s">
        <v>999</v>
      </c>
      <c r="H40" s="69" t="s">
        <v>21</v>
      </c>
      <c r="I40" s="69" t="s">
        <v>861</v>
      </c>
      <c r="J40" s="69" t="s">
        <v>1000</v>
      </c>
      <c r="K40" s="73" t="s">
        <v>1001</v>
      </c>
      <c r="L40" s="2"/>
    </row>
    <row r="41" spans="1:12">
      <c r="A41" s="68">
        <f t="shared" si="0"/>
        <v>36</v>
      </c>
      <c r="B41" s="69" t="s">
        <v>1002</v>
      </c>
      <c r="C41" s="70" t="s">
        <v>1003</v>
      </c>
      <c r="D41" s="71" t="s">
        <v>291</v>
      </c>
      <c r="E41" s="72" t="s">
        <v>1004</v>
      </c>
      <c r="F41" s="69" t="s">
        <v>1005</v>
      </c>
      <c r="G41" s="69" t="s">
        <v>865</v>
      </c>
      <c r="H41" s="69" t="s">
        <v>21</v>
      </c>
      <c r="I41" s="69" t="s">
        <v>861</v>
      </c>
      <c r="J41" s="69" t="s">
        <v>862</v>
      </c>
      <c r="K41" s="73" t="s">
        <v>1006</v>
      </c>
      <c r="L41" s="2"/>
    </row>
    <row r="42" spans="1:12">
      <c r="A42" s="68">
        <f t="shared" si="0"/>
        <v>37</v>
      </c>
      <c r="B42" s="69" t="s">
        <v>453</v>
      </c>
      <c r="C42" s="74" t="s">
        <v>454</v>
      </c>
      <c r="D42" s="71" t="s">
        <v>120</v>
      </c>
      <c r="E42" s="72" t="s">
        <v>1007</v>
      </c>
      <c r="F42" s="69" t="s">
        <v>1008</v>
      </c>
      <c r="G42" s="69" t="s">
        <v>1009</v>
      </c>
      <c r="H42" s="77" t="s">
        <v>479</v>
      </c>
      <c r="I42" s="69" t="s">
        <v>861</v>
      </c>
      <c r="J42" s="69" t="s">
        <v>1010</v>
      </c>
      <c r="K42" s="73" t="s">
        <v>1011</v>
      </c>
      <c r="L42" s="2"/>
    </row>
    <row r="43" spans="1:12">
      <c r="A43" s="68">
        <f t="shared" si="0"/>
        <v>38</v>
      </c>
      <c r="B43" s="69" t="s">
        <v>1012</v>
      </c>
      <c r="C43" s="70" t="s">
        <v>1013</v>
      </c>
      <c r="D43" s="71" t="s">
        <v>291</v>
      </c>
      <c r="E43" s="72" t="s">
        <v>1014</v>
      </c>
      <c r="F43" s="69" t="s">
        <v>1015</v>
      </c>
      <c r="G43" s="69" t="s">
        <v>1015</v>
      </c>
      <c r="H43" s="69" t="s">
        <v>21</v>
      </c>
      <c r="I43" s="69" t="s">
        <v>861</v>
      </c>
      <c r="J43" s="69" t="s">
        <v>862</v>
      </c>
      <c r="K43" s="73" t="s">
        <v>1016</v>
      </c>
      <c r="L43" s="2"/>
    </row>
    <row r="44" spans="1:12">
      <c r="A44" s="68">
        <f>A43+1</f>
        <v>39</v>
      </c>
      <c r="B44" s="69" t="s">
        <v>48</v>
      </c>
      <c r="C44" s="74" t="s">
        <v>49</v>
      </c>
      <c r="D44" s="71" t="s">
        <v>55</v>
      </c>
      <c r="E44" s="72" t="s">
        <v>1017</v>
      </c>
      <c r="F44" s="69" t="s">
        <v>1018</v>
      </c>
      <c r="G44" s="69" t="s">
        <v>1019</v>
      </c>
      <c r="H44" s="77" t="s">
        <v>423</v>
      </c>
      <c r="I44" s="69" t="s">
        <v>861</v>
      </c>
      <c r="J44" s="69" t="s">
        <v>1020</v>
      </c>
      <c r="K44" s="73" t="s">
        <v>1021</v>
      </c>
      <c r="L44" s="2"/>
    </row>
    <row r="45" spans="1:12">
      <c r="A45" s="68">
        <f t="shared" si="0"/>
        <v>40</v>
      </c>
      <c r="B45" s="69" t="s">
        <v>127</v>
      </c>
      <c r="C45" s="70" t="s">
        <v>1022</v>
      </c>
      <c r="D45" s="71" t="s">
        <v>131</v>
      </c>
      <c r="E45" s="72" t="s">
        <v>1023</v>
      </c>
      <c r="F45" s="69" t="s">
        <v>1024</v>
      </c>
      <c r="G45" s="69" t="s">
        <v>860</v>
      </c>
      <c r="H45" s="69" t="s">
        <v>21</v>
      </c>
      <c r="I45" s="69" t="s">
        <v>861</v>
      </c>
      <c r="J45" s="69" t="s">
        <v>1025</v>
      </c>
      <c r="K45" s="73" t="s">
        <v>1026</v>
      </c>
      <c r="L45" s="2"/>
    </row>
    <row r="46" spans="1:12">
      <c r="A46" s="68">
        <f t="shared" si="0"/>
        <v>41</v>
      </c>
      <c r="B46" s="69" t="s">
        <v>101</v>
      </c>
      <c r="C46" s="70" t="s">
        <v>1027</v>
      </c>
      <c r="D46" s="71" t="s">
        <v>120</v>
      </c>
      <c r="E46" s="72" t="s">
        <v>1028</v>
      </c>
      <c r="F46" s="69" t="s">
        <v>859</v>
      </c>
      <c r="G46" s="69" t="s">
        <v>860</v>
      </c>
      <c r="H46" s="69" t="s">
        <v>929</v>
      </c>
      <c r="I46" s="69" t="s">
        <v>930</v>
      </c>
      <c r="J46" s="69" t="s">
        <v>970</v>
      </c>
      <c r="K46" s="73" t="s">
        <v>1029</v>
      </c>
      <c r="L46" s="2"/>
    </row>
    <row r="47" spans="1:12">
      <c r="A47" s="68">
        <f t="shared" si="0"/>
        <v>42</v>
      </c>
      <c r="B47" s="75" t="s">
        <v>1030</v>
      </c>
      <c r="C47" s="70" t="s">
        <v>1031</v>
      </c>
      <c r="D47" s="71" t="s">
        <v>55</v>
      </c>
      <c r="E47" s="72" t="s">
        <v>1032</v>
      </c>
      <c r="F47" s="69"/>
      <c r="G47" s="69"/>
      <c r="H47" s="69"/>
      <c r="I47" s="69"/>
      <c r="J47" s="69"/>
      <c r="K47" s="73"/>
      <c r="L47" s="2"/>
    </row>
    <row r="48" spans="1:12">
      <c r="A48" s="68">
        <f t="shared" si="0"/>
        <v>43</v>
      </c>
      <c r="B48" s="69" t="s">
        <v>1033</v>
      </c>
      <c r="C48" s="74" t="s">
        <v>1034</v>
      </c>
      <c r="D48" s="71" t="s">
        <v>55</v>
      </c>
      <c r="E48" s="72" t="s">
        <v>1035</v>
      </c>
      <c r="F48" s="69" t="s">
        <v>674</v>
      </c>
      <c r="G48" s="69" t="s">
        <v>674</v>
      </c>
      <c r="H48" s="69" t="s">
        <v>674</v>
      </c>
      <c r="I48" s="69" t="s">
        <v>1036</v>
      </c>
      <c r="J48" s="69" t="s">
        <v>862</v>
      </c>
      <c r="K48" s="73" t="s">
        <v>1037</v>
      </c>
      <c r="L48" s="2"/>
    </row>
    <row r="49" spans="1:12">
      <c r="A49" s="68">
        <f t="shared" si="0"/>
        <v>44</v>
      </c>
      <c r="B49" s="69" t="s">
        <v>258</v>
      </c>
      <c r="C49" s="70" t="s">
        <v>259</v>
      </c>
      <c r="D49" s="71" t="s">
        <v>131</v>
      </c>
      <c r="E49" s="72" t="s">
        <v>1038</v>
      </c>
      <c r="F49" s="69" t="s">
        <v>1039</v>
      </c>
      <c r="G49" s="69" t="s">
        <v>1039</v>
      </c>
      <c r="H49" s="69" t="s">
        <v>21</v>
      </c>
      <c r="I49" s="69" t="s">
        <v>861</v>
      </c>
      <c r="J49" s="69" t="s">
        <v>1040</v>
      </c>
      <c r="K49" s="73" t="s">
        <v>1041</v>
      </c>
      <c r="L49" s="2"/>
    </row>
    <row r="50" spans="1:12">
      <c r="A50" s="68">
        <f t="shared" si="0"/>
        <v>45</v>
      </c>
      <c r="B50" s="69" t="s">
        <v>1042</v>
      </c>
      <c r="C50" s="70" t="s">
        <v>1043</v>
      </c>
      <c r="D50" s="71" t="s">
        <v>120</v>
      </c>
      <c r="E50" s="72" t="s">
        <v>1044</v>
      </c>
      <c r="F50" s="69" t="s">
        <v>859</v>
      </c>
      <c r="G50" s="69" t="s">
        <v>860</v>
      </c>
      <c r="H50" s="69" t="s">
        <v>21</v>
      </c>
      <c r="I50" s="69" t="s">
        <v>861</v>
      </c>
      <c r="J50" s="69" t="s">
        <v>970</v>
      </c>
      <c r="K50" s="73" t="s">
        <v>1045</v>
      </c>
      <c r="L50" s="2"/>
    </row>
    <row r="51" spans="1:12">
      <c r="A51" s="68">
        <f t="shared" si="0"/>
        <v>46</v>
      </c>
      <c r="B51" s="69" t="s">
        <v>50</v>
      </c>
      <c r="C51" s="70" t="s">
        <v>1046</v>
      </c>
      <c r="D51" s="71" t="s">
        <v>131</v>
      </c>
      <c r="E51" s="72" t="s">
        <v>1047</v>
      </c>
      <c r="F51" s="69" t="s">
        <v>860</v>
      </c>
      <c r="G51" s="69" t="s">
        <v>860</v>
      </c>
      <c r="H51" s="69" t="s">
        <v>21</v>
      </c>
      <c r="I51" s="69" t="s">
        <v>861</v>
      </c>
      <c r="J51" s="69" t="s">
        <v>862</v>
      </c>
      <c r="K51" s="73" t="s">
        <v>862</v>
      </c>
      <c r="L51" s="2"/>
    </row>
    <row r="52" spans="1:12">
      <c r="A52" s="68">
        <f t="shared" si="0"/>
        <v>47</v>
      </c>
      <c r="B52" s="75" t="s">
        <v>1048</v>
      </c>
      <c r="C52" s="70" t="s">
        <v>1049</v>
      </c>
      <c r="D52" s="71" t="s">
        <v>131</v>
      </c>
      <c r="E52" s="72" t="s">
        <v>1050</v>
      </c>
      <c r="F52" s="69"/>
      <c r="G52" s="69"/>
      <c r="H52" s="69"/>
      <c r="I52" s="69" t="s">
        <v>861</v>
      </c>
      <c r="J52" s="69"/>
      <c r="K52" s="79">
        <v>81326660900</v>
      </c>
      <c r="L52" s="2" t="s">
        <v>1051</v>
      </c>
    </row>
    <row r="53" spans="1:12">
      <c r="A53" s="68">
        <f t="shared" si="0"/>
        <v>48</v>
      </c>
      <c r="B53" s="69" t="s">
        <v>434</v>
      </c>
      <c r="C53" s="70" t="s">
        <v>1052</v>
      </c>
      <c r="D53" s="71" t="s">
        <v>131</v>
      </c>
      <c r="E53" s="72" t="s">
        <v>944</v>
      </c>
      <c r="F53" s="69" t="s">
        <v>1053</v>
      </c>
      <c r="G53" s="69" t="s">
        <v>860</v>
      </c>
      <c r="H53" s="69" t="s">
        <v>21</v>
      </c>
      <c r="I53" s="69" t="s">
        <v>861</v>
      </c>
      <c r="J53" s="69" t="s">
        <v>862</v>
      </c>
      <c r="K53" s="73" t="s">
        <v>862</v>
      </c>
      <c r="L53" s="2"/>
    </row>
    <row r="54" spans="1:12">
      <c r="A54" s="68">
        <f t="shared" si="0"/>
        <v>49</v>
      </c>
      <c r="B54" s="69" t="s">
        <v>807</v>
      </c>
      <c r="C54" s="70" t="s">
        <v>806</v>
      </c>
      <c r="D54" s="71" t="s">
        <v>291</v>
      </c>
      <c r="E54" s="72" t="s">
        <v>1054</v>
      </c>
      <c r="F54" s="69" t="s">
        <v>1055</v>
      </c>
      <c r="G54" s="69" t="s">
        <v>1056</v>
      </c>
      <c r="H54" s="69" t="s">
        <v>21</v>
      </c>
      <c r="I54" s="69" t="s">
        <v>861</v>
      </c>
      <c r="J54" s="69" t="s">
        <v>1057</v>
      </c>
      <c r="K54" s="73" t="s">
        <v>1058</v>
      </c>
      <c r="L54" s="2"/>
    </row>
    <row r="55" spans="1:12" ht="15.75" thickBot="1">
      <c r="A55" s="80">
        <f t="shared" si="0"/>
        <v>50</v>
      </c>
      <c r="B55" s="81" t="s">
        <v>1059</v>
      </c>
      <c r="C55" s="82" t="s">
        <v>1060</v>
      </c>
      <c r="D55" s="83" t="s">
        <v>291</v>
      </c>
      <c r="E55" s="84" t="s">
        <v>1061</v>
      </c>
      <c r="F55" s="85" t="s">
        <v>1055</v>
      </c>
      <c r="G55" s="85" t="s">
        <v>1056</v>
      </c>
      <c r="H55" s="85" t="s">
        <v>21</v>
      </c>
      <c r="I55" s="85" t="s">
        <v>861</v>
      </c>
      <c r="J55" s="86"/>
      <c r="K55" s="87" t="s">
        <v>1062</v>
      </c>
      <c r="L55" s="2"/>
    </row>
    <row r="56" spans="1:12" ht="15.75" thickBot="1">
      <c r="A56" s="88"/>
      <c r="B56" s="89"/>
      <c r="C56" s="90"/>
      <c r="D56" s="91"/>
      <c r="E56" s="92"/>
      <c r="F56" s="92"/>
      <c r="G56" s="92"/>
      <c r="H56" s="92"/>
      <c r="I56" s="92"/>
      <c r="J56" s="93"/>
      <c r="K56" s="94"/>
      <c r="L56" s="2"/>
    </row>
    <row r="57" spans="1:12" ht="16.5" thickTop="1" thickBot="1">
      <c r="A57" s="57" t="s">
        <v>515</v>
      </c>
      <c r="B57" s="58" t="s">
        <v>2</v>
      </c>
      <c r="C57" s="58" t="s">
        <v>3</v>
      </c>
      <c r="D57" s="59" t="s">
        <v>848</v>
      </c>
      <c r="E57" s="58" t="s">
        <v>849</v>
      </c>
      <c r="F57" s="58" t="s">
        <v>850</v>
      </c>
      <c r="G57" s="58" t="s">
        <v>851</v>
      </c>
      <c r="H57" s="58" t="s">
        <v>852</v>
      </c>
      <c r="I57" s="58" t="s">
        <v>853</v>
      </c>
      <c r="J57" s="58" t="s">
        <v>854</v>
      </c>
      <c r="K57" s="60" t="s">
        <v>855</v>
      </c>
      <c r="L57" s="2"/>
    </row>
    <row r="58" spans="1:12" ht="15.75" thickTop="1">
      <c r="A58" s="95"/>
      <c r="B58" s="96"/>
      <c r="C58" s="97"/>
      <c r="D58" s="98"/>
      <c r="E58" s="99"/>
      <c r="F58" s="100"/>
      <c r="G58" s="100"/>
      <c r="H58" s="100"/>
      <c r="I58" s="100"/>
      <c r="J58" s="66"/>
      <c r="K58" s="101"/>
      <c r="L58" s="2"/>
    </row>
    <row r="59" spans="1:12">
      <c r="A59" s="61">
        <f>A55+1</f>
        <v>51</v>
      </c>
      <c r="B59" s="62" t="s">
        <v>1063</v>
      </c>
      <c r="C59" s="53" t="s">
        <v>1064</v>
      </c>
      <c r="D59" s="102"/>
      <c r="E59" s="54" t="s">
        <v>1065</v>
      </c>
      <c r="F59" s="103"/>
      <c r="G59" s="103"/>
      <c r="H59" s="103" t="s">
        <v>21</v>
      </c>
      <c r="I59" s="103" t="s">
        <v>861</v>
      </c>
      <c r="J59" s="69"/>
      <c r="K59" s="104"/>
      <c r="L59" s="2"/>
    </row>
    <row r="60" spans="1:12">
      <c r="A60" s="68">
        <v>52</v>
      </c>
      <c r="B60" s="69" t="s">
        <v>145</v>
      </c>
      <c r="C60" s="70" t="s">
        <v>1066</v>
      </c>
      <c r="D60" s="71" t="s">
        <v>291</v>
      </c>
      <c r="E60" s="72" t="s">
        <v>1067</v>
      </c>
      <c r="F60" s="69" t="s">
        <v>859</v>
      </c>
      <c r="G60" s="69" t="s">
        <v>860</v>
      </c>
      <c r="H60" s="69" t="s">
        <v>21</v>
      </c>
      <c r="I60" s="69" t="s">
        <v>861</v>
      </c>
      <c r="J60" s="69" t="s">
        <v>970</v>
      </c>
      <c r="K60" s="73" t="s">
        <v>1068</v>
      </c>
      <c r="L60" s="2"/>
    </row>
    <row r="61" spans="1:12">
      <c r="A61" s="68">
        <f t="shared" si="0"/>
        <v>53</v>
      </c>
      <c r="B61" s="69" t="s">
        <v>42</v>
      </c>
      <c r="C61" s="70" t="s">
        <v>1069</v>
      </c>
      <c r="D61" s="71" t="s">
        <v>120</v>
      </c>
      <c r="E61" s="72" t="s">
        <v>1070</v>
      </c>
      <c r="F61" s="69" t="s">
        <v>1071</v>
      </c>
      <c r="G61" s="69" t="s">
        <v>1072</v>
      </c>
      <c r="H61" s="69" t="s">
        <v>368</v>
      </c>
      <c r="I61" s="69" t="s">
        <v>861</v>
      </c>
      <c r="J61" s="69" t="s">
        <v>862</v>
      </c>
      <c r="K61" s="78" t="s">
        <v>1073</v>
      </c>
      <c r="L61" s="2"/>
    </row>
    <row r="62" spans="1:12" ht="29.25">
      <c r="A62" s="68">
        <f t="shared" si="0"/>
        <v>54</v>
      </c>
      <c r="B62" s="69" t="s">
        <v>117</v>
      </c>
      <c r="C62" s="70" t="s">
        <v>1074</v>
      </c>
      <c r="D62" s="71" t="s">
        <v>120</v>
      </c>
      <c r="E62" s="72" t="s">
        <v>1075</v>
      </c>
      <c r="F62" s="69" t="s">
        <v>1076</v>
      </c>
      <c r="G62" s="69" t="s">
        <v>1077</v>
      </c>
      <c r="H62" s="69" t="s">
        <v>1077</v>
      </c>
      <c r="I62" s="69" t="s">
        <v>861</v>
      </c>
      <c r="J62" s="69" t="s">
        <v>862</v>
      </c>
      <c r="K62" s="73" t="s">
        <v>1078</v>
      </c>
      <c r="L62" s="2"/>
    </row>
    <row r="63" spans="1:12">
      <c r="A63" s="68">
        <f t="shared" si="0"/>
        <v>55</v>
      </c>
      <c r="B63" s="69" t="s">
        <v>86</v>
      </c>
      <c r="C63" s="70" t="s">
        <v>1079</v>
      </c>
      <c r="D63" s="71" t="s">
        <v>120</v>
      </c>
      <c r="E63" s="72" t="s">
        <v>1080</v>
      </c>
      <c r="F63" s="69" t="s">
        <v>998</v>
      </c>
      <c r="G63" s="69" t="s">
        <v>215</v>
      </c>
      <c r="H63" s="69" t="s">
        <v>21</v>
      </c>
      <c r="I63" s="69" t="s">
        <v>861</v>
      </c>
      <c r="J63" s="69" t="s">
        <v>862</v>
      </c>
      <c r="K63" s="73" t="s">
        <v>1081</v>
      </c>
      <c r="L63" s="2"/>
    </row>
    <row r="64" spans="1:12">
      <c r="A64" s="68">
        <f t="shared" si="0"/>
        <v>56</v>
      </c>
      <c r="B64" s="69" t="s">
        <v>160</v>
      </c>
      <c r="C64" s="70" t="s">
        <v>1082</v>
      </c>
      <c r="D64" s="71" t="s">
        <v>55</v>
      </c>
      <c r="E64" s="72" t="s">
        <v>1083</v>
      </c>
      <c r="F64" s="69" t="s">
        <v>998</v>
      </c>
      <c r="G64" s="69" t="s">
        <v>215</v>
      </c>
      <c r="H64" s="69" t="s">
        <v>929</v>
      </c>
      <c r="I64" s="69" t="s">
        <v>930</v>
      </c>
      <c r="J64" s="69" t="s">
        <v>1084</v>
      </c>
      <c r="K64" s="73" t="s">
        <v>1085</v>
      </c>
      <c r="L64" s="2"/>
    </row>
    <row r="65" spans="1:12">
      <c r="A65" s="68">
        <f t="shared" si="0"/>
        <v>57</v>
      </c>
      <c r="B65" s="69" t="s">
        <v>163</v>
      </c>
      <c r="C65" s="70" t="s">
        <v>1086</v>
      </c>
      <c r="D65" s="71" t="s">
        <v>55</v>
      </c>
      <c r="E65" s="72" t="s">
        <v>1087</v>
      </c>
      <c r="F65" s="69" t="s">
        <v>1088</v>
      </c>
      <c r="G65" s="69" t="s">
        <v>1089</v>
      </c>
      <c r="H65" s="69" t="s">
        <v>21</v>
      </c>
      <c r="I65" s="69" t="s">
        <v>861</v>
      </c>
      <c r="J65" s="69" t="s">
        <v>862</v>
      </c>
      <c r="K65" s="73" t="s">
        <v>1090</v>
      </c>
      <c r="L65" s="2"/>
    </row>
    <row r="66" spans="1:12">
      <c r="A66" s="68">
        <f t="shared" si="0"/>
        <v>58</v>
      </c>
      <c r="B66" s="69" t="s">
        <v>435</v>
      </c>
      <c r="C66" s="70" t="s">
        <v>1091</v>
      </c>
      <c r="D66" s="71" t="s">
        <v>55</v>
      </c>
      <c r="E66" s="72" t="s">
        <v>1092</v>
      </c>
      <c r="F66" s="69" t="s">
        <v>924</v>
      </c>
      <c r="G66" s="69" t="s">
        <v>918</v>
      </c>
      <c r="H66" s="69" t="s">
        <v>21</v>
      </c>
      <c r="I66" s="69" t="s">
        <v>861</v>
      </c>
      <c r="J66" s="69" t="s">
        <v>925</v>
      </c>
      <c r="K66" s="73" t="s">
        <v>1093</v>
      </c>
      <c r="L66" s="2"/>
    </row>
    <row r="67" spans="1:12">
      <c r="A67" s="68">
        <f t="shared" si="0"/>
        <v>59</v>
      </c>
      <c r="B67" s="69" t="s">
        <v>90</v>
      </c>
      <c r="C67" s="70" t="s">
        <v>1094</v>
      </c>
      <c r="D67" s="71" t="s">
        <v>55</v>
      </c>
      <c r="E67" s="72" t="s">
        <v>1095</v>
      </c>
      <c r="F67" s="69" t="s">
        <v>1096</v>
      </c>
      <c r="G67" s="69" t="s">
        <v>1097</v>
      </c>
      <c r="H67" s="69" t="s">
        <v>21</v>
      </c>
      <c r="I67" s="69" t="s">
        <v>861</v>
      </c>
      <c r="J67" s="69" t="s">
        <v>862</v>
      </c>
      <c r="K67" s="73" t="s">
        <v>1098</v>
      </c>
      <c r="L67" s="2"/>
    </row>
    <row r="68" spans="1:12">
      <c r="A68" s="68">
        <f t="shared" si="0"/>
        <v>60</v>
      </c>
      <c r="B68" s="69" t="s">
        <v>437</v>
      </c>
      <c r="C68" s="74" t="s">
        <v>1099</v>
      </c>
      <c r="D68" s="71" t="s">
        <v>131</v>
      </c>
      <c r="E68" s="72" t="s">
        <v>1100</v>
      </c>
      <c r="F68" s="69" t="s">
        <v>1101</v>
      </c>
      <c r="G68" s="69" t="s">
        <v>1102</v>
      </c>
      <c r="H68" s="77" t="s">
        <v>191</v>
      </c>
      <c r="I68" s="69" t="s">
        <v>1103</v>
      </c>
      <c r="J68" s="69" t="s">
        <v>1104</v>
      </c>
      <c r="K68" s="73" t="s">
        <v>1105</v>
      </c>
      <c r="L68" s="2"/>
    </row>
    <row r="69" spans="1:12">
      <c r="A69" s="68">
        <f t="shared" si="0"/>
        <v>61</v>
      </c>
      <c r="B69" s="69" t="s">
        <v>207</v>
      </c>
      <c r="C69" s="70" t="s">
        <v>208</v>
      </c>
      <c r="D69" s="71" t="s">
        <v>55</v>
      </c>
      <c r="E69" s="72" t="s">
        <v>1106</v>
      </c>
      <c r="F69" s="69" t="s">
        <v>1107</v>
      </c>
      <c r="G69" s="69" t="s">
        <v>1108</v>
      </c>
      <c r="H69" s="69" t="s">
        <v>21</v>
      </c>
      <c r="I69" s="69" t="s">
        <v>861</v>
      </c>
      <c r="J69" s="69" t="s">
        <v>862</v>
      </c>
      <c r="K69" s="73" t="s">
        <v>1109</v>
      </c>
      <c r="L69" s="2"/>
    </row>
    <row r="70" spans="1:12">
      <c r="A70" s="68">
        <f t="shared" si="0"/>
        <v>62</v>
      </c>
      <c r="B70" s="69" t="s">
        <v>546</v>
      </c>
      <c r="C70" s="70" t="s">
        <v>1110</v>
      </c>
      <c r="D70" s="71" t="s">
        <v>120</v>
      </c>
      <c r="E70" s="72" t="s">
        <v>1111</v>
      </c>
      <c r="F70" s="69" t="s">
        <v>878</v>
      </c>
      <c r="G70" s="69" t="s">
        <v>865</v>
      </c>
      <c r="H70" s="69" t="s">
        <v>21</v>
      </c>
      <c r="I70" s="69" t="s">
        <v>861</v>
      </c>
      <c r="J70" s="69" t="s">
        <v>1057</v>
      </c>
      <c r="K70" s="73" t="s">
        <v>1112</v>
      </c>
      <c r="L70" s="2"/>
    </row>
    <row r="71" spans="1:12">
      <c r="A71" s="68">
        <f t="shared" ref="A71:A134" si="1">A70+1</f>
        <v>63</v>
      </c>
      <c r="B71" s="69" t="s">
        <v>186</v>
      </c>
      <c r="C71" s="74" t="s">
        <v>547</v>
      </c>
      <c r="D71" s="71" t="s">
        <v>120</v>
      </c>
      <c r="E71" s="72" t="s">
        <v>1113</v>
      </c>
      <c r="F71" s="69" t="s">
        <v>862</v>
      </c>
      <c r="G71" s="69" t="s">
        <v>1114</v>
      </c>
      <c r="H71" s="77" t="s">
        <v>1115</v>
      </c>
      <c r="I71" s="69" t="s">
        <v>861</v>
      </c>
      <c r="J71" s="69" t="s">
        <v>862</v>
      </c>
      <c r="K71" s="73" t="s">
        <v>862</v>
      </c>
      <c r="L71" s="2"/>
    </row>
    <row r="72" spans="1:12">
      <c r="A72" s="68">
        <f t="shared" si="1"/>
        <v>64</v>
      </c>
      <c r="B72" s="69" t="s">
        <v>1116</v>
      </c>
      <c r="C72" s="70" t="s">
        <v>1117</v>
      </c>
      <c r="D72" s="71" t="s">
        <v>120</v>
      </c>
      <c r="E72" s="72" t="s">
        <v>1118</v>
      </c>
      <c r="F72" s="69" t="s">
        <v>1096</v>
      </c>
      <c r="G72" s="69" t="s">
        <v>941</v>
      </c>
      <c r="H72" s="69" t="s">
        <v>21</v>
      </c>
      <c r="I72" s="69" t="s">
        <v>861</v>
      </c>
      <c r="J72" s="69" t="s">
        <v>862</v>
      </c>
      <c r="K72" s="73" t="s">
        <v>1119</v>
      </c>
      <c r="L72" s="2"/>
    </row>
    <row r="73" spans="1:12">
      <c r="A73" s="68">
        <f t="shared" si="1"/>
        <v>65</v>
      </c>
      <c r="B73" s="69" t="s">
        <v>283</v>
      </c>
      <c r="C73" s="70" t="s">
        <v>1120</v>
      </c>
      <c r="D73" s="71" t="s">
        <v>120</v>
      </c>
      <c r="E73" s="72" t="s">
        <v>1121</v>
      </c>
      <c r="F73" s="69" t="s">
        <v>878</v>
      </c>
      <c r="G73" s="69" t="s">
        <v>865</v>
      </c>
      <c r="H73" s="69" t="s">
        <v>929</v>
      </c>
      <c r="I73" s="69" t="s">
        <v>930</v>
      </c>
      <c r="J73" s="69" t="s">
        <v>862</v>
      </c>
      <c r="K73" s="73" t="s">
        <v>1122</v>
      </c>
      <c r="L73" s="2"/>
    </row>
    <row r="74" spans="1:12">
      <c r="A74" s="68">
        <f t="shared" si="1"/>
        <v>66</v>
      </c>
      <c r="B74" s="69" t="s">
        <v>277</v>
      </c>
      <c r="C74" s="70" t="s">
        <v>1123</v>
      </c>
      <c r="D74" s="71" t="s">
        <v>291</v>
      </c>
      <c r="E74" s="72" t="s">
        <v>1124</v>
      </c>
      <c r="F74" s="69" t="s">
        <v>860</v>
      </c>
      <c r="G74" s="69" t="s">
        <v>860</v>
      </c>
      <c r="H74" s="69" t="s">
        <v>21</v>
      </c>
      <c r="I74" s="69" t="s">
        <v>861</v>
      </c>
      <c r="J74" s="69" t="s">
        <v>1125</v>
      </c>
      <c r="K74" s="73" t="s">
        <v>1126</v>
      </c>
      <c r="L74" s="2"/>
    </row>
    <row r="75" spans="1:12">
      <c r="A75" s="68">
        <f t="shared" si="1"/>
        <v>67</v>
      </c>
      <c r="B75" s="69" t="s">
        <v>275</v>
      </c>
      <c r="C75" s="70" t="s">
        <v>1127</v>
      </c>
      <c r="D75" s="71" t="s">
        <v>131</v>
      </c>
      <c r="E75" s="72" t="s">
        <v>1128</v>
      </c>
      <c r="F75" s="69" t="s">
        <v>986</v>
      </c>
      <c r="G75" s="69" t="s">
        <v>1129</v>
      </c>
      <c r="H75" s="69" t="s">
        <v>929</v>
      </c>
      <c r="I75" s="69" t="s">
        <v>930</v>
      </c>
      <c r="J75" s="69" t="s">
        <v>970</v>
      </c>
      <c r="K75" s="73" t="s">
        <v>1130</v>
      </c>
      <c r="L75" s="2"/>
    </row>
    <row r="76" spans="1:12">
      <c r="A76" s="68">
        <f t="shared" si="1"/>
        <v>68</v>
      </c>
      <c r="B76" s="69" t="s">
        <v>92</v>
      </c>
      <c r="C76" s="70" t="s">
        <v>1131</v>
      </c>
      <c r="D76" s="71" t="s">
        <v>131</v>
      </c>
      <c r="E76" s="72" t="s">
        <v>1132</v>
      </c>
      <c r="F76" s="69" t="s">
        <v>1133</v>
      </c>
      <c r="G76" s="69" t="s">
        <v>895</v>
      </c>
      <c r="H76" s="69" t="s">
        <v>21</v>
      </c>
      <c r="I76" s="69" t="s">
        <v>861</v>
      </c>
      <c r="J76" s="69" t="s">
        <v>862</v>
      </c>
      <c r="K76" s="73" t="s">
        <v>862</v>
      </c>
      <c r="L76" s="2"/>
    </row>
    <row r="77" spans="1:12">
      <c r="A77" s="68">
        <f t="shared" si="1"/>
        <v>69</v>
      </c>
      <c r="B77" s="69" t="s">
        <v>1134</v>
      </c>
      <c r="C77" s="70" t="s">
        <v>1135</v>
      </c>
      <c r="D77" s="71" t="s">
        <v>131</v>
      </c>
      <c r="E77" s="72" t="s">
        <v>1136</v>
      </c>
      <c r="F77" s="69" t="s">
        <v>986</v>
      </c>
      <c r="G77" s="69" t="s">
        <v>860</v>
      </c>
      <c r="H77" s="69" t="s">
        <v>929</v>
      </c>
      <c r="I77" s="69" t="s">
        <v>930</v>
      </c>
      <c r="J77" s="69" t="s">
        <v>970</v>
      </c>
      <c r="K77" s="73" t="s">
        <v>1137</v>
      </c>
      <c r="L77" s="2"/>
    </row>
    <row r="78" spans="1:12">
      <c r="A78" s="68">
        <f t="shared" si="1"/>
        <v>70</v>
      </c>
      <c r="B78" s="69" t="s">
        <v>449</v>
      </c>
      <c r="C78" s="70" t="s">
        <v>1138</v>
      </c>
      <c r="D78" s="71" t="s">
        <v>131</v>
      </c>
      <c r="E78" s="72" t="s">
        <v>1139</v>
      </c>
      <c r="F78" s="69" t="s">
        <v>860</v>
      </c>
      <c r="G78" s="69" t="s">
        <v>860</v>
      </c>
      <c r="H78" s="69" t="s">
        <v>21</v>
      </c>
      <c r="I78" s="69" t="s">
        <v>861</v>
      </c>
      <c r="J78" s="69" t="s">
        <v>875</v>
      </c>
      <c r="K78" s="73" t="s">
        <v>1140</v>
      </c>
      <c r="L78" s="2"/>
    </row>
    <row r="79" spans="1:12">
      <c r="A79" s="68">
        <f t="shared" si="1"/>
        <v>71</v>
      </c>
      <c r="B79" s="69" t="s">
        <v>33</v>
      </c>
      <c r="C79" s="70" t="s">
        <v>1141</v>
      </c>
      <c r="D79" s="71" t="s">
        <v>120</v>
      </c>
      <c r="E79" s="72" t="s">
        <v>1142</v>
      </c>
      <c r="F79" s="69" t="s">
        <v>1053</v>
      </c>
      <c r="G79" s="69" t="s">
        <v>860</v>
      </c>
      <c r="H79" s="69" t="s">
        <v>21</v>
      </c>
      <c r="I79" s="69" t="s">
        <v>861</v>
      </c>
      <c r="J79" s="69" t="s">
        <v>862</v>
      </c>
      <c r="K79" s="73" t="s">
        <v>1143</v>
      </c>
      <c r="L79" s="2"/>
    </row>
    <row r="80" spans="1:12">
      <c r="A80" s="68">
        <f t="shared" si="1"/>
        <v>72</v>
      </c>
      <c r="B80" s="69" t="s">
        <v>181</v>
      </c>
      <c r="C80" s="70" t="s">
        <v>182</v>
      </c>
      <c r="D80" s="71" t="s">
        <v>120</v>
      </c>
      <c r="E80" s="72" t="s">
        <v>1144</v>
      </c>
      <c r="F80" s="69" t="s">
        <v>878</v>
      </c>
      <c r="G80" s="69" t="s">
        <v>865</v>
      </c>
      <c r="H80" s="69" t="s">
        <v>21</v>
      </c>
      <c r="I80" s="69" t="s">
        <v>861</v>
      </c>
      <c r="J80" s="69" t="s">
        <v>886</v>
      </c>
      <c r="K80" s="73" t="s">
        <v>862</v>
      </c>
      <c r="L80" s="2"/>
    </row>
    <row r="81" spans="1:12">
      <c r="A81" s="68">
        <f t="shared" si="1"/>
        <v>73</v>
      </c>
      <c r="B81" s="69" t="s">
        <v>128</v>
      </c>
      <c r="C81" s="74" t="s">
        <v>1145</v>
      </c>
      <c r="D81" s="71" t="s">
        <v>131</v>
      </c>
      <c r="E81" s="72" t="s">
        <v>1146</v>
      </c>
      <c r="F81" s="69" t="s">
        <v>1147</v>
      </c>
      <c r="G81" s="69" t="s">
        <v>1009</v>
      </c>
      <c r="H81" s="77" t="s">
        <v>479</v>
      </c>
      <c r="I81" s="69" t="s">
        <v>861</v>
      </c>
      <c r="J81" s="69" t="s">
        <v>1010</v>
      </c>
      <c r="K81" s="73" t="s">
        <v>1148</v>
      </c>
      <c r="L81" s="2"/>
    </row>
    <row r="82" spans="1:12">
      <c r="A82" s="68">
        <f t="shared" si="1"/>
        <v>74</v>
      </c>
      <c r="B82" s="69" t="s">
        <v>1149</v>
      </c>
      <c r="C82" s="70" t="s">
        <v>1150</v>
      </c>
      <c r="D82" s="71" t="s">
        <v>120</v>
      </c>
      <c r="E82" s="72" t="s">
        <v>1151</v>
      </c>
      <c r="F82" s="69" t="s">
        <v>1152</v>
      </c>
      <c r="G82" s="69" t="s">
        <v>1153</v>
      </c>
      <c r="H82" s="69" t="s">
        <v>21</v>
      </c>
      <c r="I82" s="69" t="s">
        <v>861</v>
      </c>
      <c r="J82" s="69" t="s">
        <v>862</v>
      </c>
      <c r="K82" s="73" t="s">
        <v>1154</v>
      </c>
      <c r="L82" s="2"/>
    </row>
    <row r="83" spans="1:12">
      <c r="A83" s="68">
        <f t="shared" si="1"/>
        <v>75</v>
      </c>
      <c r="B83" s="69" t="s">
        <v>1155</v>
      </c>
      <c r="C83" s="70" t="s">
        <v>1156</v>
      </c>
      <c r="D83" s="71" t="s">
        <v>55</v>
      </c>
      <c r="E83" s="72" t="s">
        <v>1157</v>
      </c>
      <c r="F83" s="69" t="s">
        <v>1158</v>
      </c>
      <c r="G83" s="69" t="s">
        <v>941</v>
      </c>
      <c r="H83" s="69" t="s">
        <v>21</v>
      </c>
      <c r="I83" s="69" t="s">
        <v>861</v>
      </c>
      <c r="J83" s="69" t="s">
        <v>1159</v>
      </c>
      <c r="K83" s="73" t="s">
        <v>1160</v>
      </c>
      <c r="L83" s="2"/>
    </row>
    <row r="84" spans="1:12">
      <c r="A84" s="68">
        <f t="shared" si="1"/>
        <v>76</v>
      </c>
      <c r="B84" s="69" t="s">
        <v>36</v>
      </c>
      <c r="C84" s="70" t="s">
        <v>37</v>
      </c>
      <c r="D84" s="71" t="s">
        <v>131</v>
      </c>
      <c r="E84" s="72" t="s">
        <v>1161</v>
      </c>
      <c r="F84" s="69" t="s">
        <v>1024</v>
      </c>
      <c r="G84" s="69" t="s">
        <v>860</v>
      </c>
      <c r="H84" s="69" t="s">
        <v>21</v>
      </c>
      <c r="I84" s="69" t="s">
        <v>861</v>
      </c>
      <c r="J84" s="69" t="s">
        <v>1025</v>
      </c>
      <c r="K84" s="73" t="s">
        <v>1162</v>
      </c>
      <c r="L84" s="2"/>
    </row>
    <row r="85" spans="1:12">
      <c r="A85" s="68">
        <f t="shared" si="1"/>
        <v>77</v>
      </c>
      <c r="B85" s="69" t="s">
        <v>176</v>
      </c>
      <c r="C85" s="70" t="s">
        <v>1163</v>
      </c>
      <c r="D85" s="71" t="s">
        <v>120</v>
      </c>
      <c r="E85" s="72" t="s">
        <v>1164</v>
      </c>
      <c r="F85" s="69" t="s">
        <v>1165</v>
      </c>
      <c r="G85" s="69" t="s">
        <v>860</v>
      </c>
      <c r="H85" s="69" t="s">
        <v>21</v>
      </c>
      <c r="I85" s="69" t="s">
        <v>861</v>
      </c>
      <c r="J85" s="69" t="s">
        <v>1166</v>
      </c>
      <c r="K85" s="73" t="s">
        <v>1167</v>
      </c>
      <c r="L85" s="2"/>
    </row>
    <row r="86" spans="1:12" ht="29.25">
      <c r="A86" s="68">
        <f t="shared" si="1"/>
        <v>78</v>
      </c>
      <c r="B86" s="69" t="s">
        <v>135</v>
      </c>
      <c r="C86" s="70" t="s">
        <v>136</v>
      </c>
      <c r="D86" s="71" t="s">
        <v>120</v>
      </c>
      <c r="E86" s="72" t="s">
        <v>1168</v>
      </c>
      <c r="F86" s="69" t="s">
        <v>998</v>
      </c>
      <c r="G86" s="69" t="s">
        <v>215</v>
      </c>
      <c r="H86" s="69" t="s">
        <v>21</v>
      </c>
      <c r="I86" s="69" t="s">
        <v>861</v>
      </c>
      <c r="J86" s="69" t="s">
        <v>1169</v>
      </c>
      <c r="K86" s="73" t="s">
        <v>1170</v>
      </c>
      <c r="L86" s="2"/>
    </row>
    <row r="87" spans="1:12">
      <c r="A87" s="68">
        <f t="shared" si="1"/>
        <v>79</v>
      </c>
      <c r="B87" s="69" t="s">
        <v>1171</v>
      </c>
      <c r="C87" s="70" t="s">
        <v>1172</v>
      </c>
      <c r="D87" s="71" t="s">
        <v>55</v>
      </c>
      <c r="E87" s="72" t="s">
        <v>1173</v>
      </c>
      <c r="F87" s="69" t="s">
        <v>1174</v>
      </c>
      <c r="G87" s="69" t="s">
        <v>895</v>
      </c>
      <c r="H87" s="69" t="s">
        <v>21</v>
      </c>
      <c r="I87" s="69" t="s">
        <v>861</v>
      </c>
      <c r="J87" s="69" t="s">
        <v>1175</v>
      </c>
      <c r="K87" s="73" t="s">
        <v>1176</v>
      </c>
      <c r="L87" s="2"/>
    </row>
    <row r="88" spans="1:12">
      <c r="A88" s="68">
        <f t="shared" si="1"/>
        <v>80</v>
      </c>
      <c r="B88" s="69" t="s">
        <v>184</v>
      </c>
      <c r="C88" s="70" t="s">
        <v>185</v>
      </c>
      <c r="D88" s="71" t="s">
        <v>131</v>
      </c>
      <c r="E88" s="72" t="s">
        <v>1177</v>
      </c>
      <c r="F88" s="69" t="s">
        <v>1178</v>
      </c>
      <c r="G88" s="69" t="s">
        <v>1179</v>
      </c>
      <c r="H88" s="69" t="s">
        <v>21</v>
      </c>
      <c r="I88" s="69" t="s">
        <v>861</v>
      </c>
      <c r="J88" s="69" t="s">
        <v>1180</v>
      </c>
      <c r="K88" s="73" t="s">
        <v>862</v>
      </c>
      <c r="L88" s="2"/>
    </row>
    <row r="89" spans="1:12">
      <c r="A89" s="68">
        <f t="shared" si="1"/>
        <v>81</v>
      </c>
      <c r="B89" s="69" t="s">
        <v>249</v>
      </c>
      <c r="C89" s="70" t="s">
        <v>250</v>
      </c>
      <c r="D89" s="71" t="s">
        <v>120</v>
      </c>
      <c r="E89" s="72" t="s">
        <v>1181</v>
      </c>
      <c r="F89" s="69" t="s">
        <v>1008</v>
      </c>
      <c r="G89" s="69" t="s">
        <v>1009</v>
      </c>
      <c r="H89" s="69" t="s">
        <v>21</v>
      </c>
      <c r="I89" s="69" t="s">
        <v>861</v>
      </c>
      <c r="J89" s="69" t="s">
        <v>862</v>
      </c>
      <c r="K89" s="73" t="s">
        <v>1182</v>
      </c>
      <c r="L89" s="2"/>
    </row>
    <row r="90" spans="1:12" ht="29.25">
      <c r="A90" s="68">
        <f t="shared" si="1"/>
        <v>82</v>
      </c>
      <c r="B90" s="69" t="s">
        <v>83</v>
      </c>
      <c r="C90" s="70" t="s">
        <v>1183</v>
      </c>
      <c r="D90" s="71" t="s">
        <v>55</v>
      </c>
      <c r="E90" s="72" t="s">
        <v>1184</v>
      </c>
      <c r="F90" s="69" t="s">
        <v>1185</v>
      </c>
      <c r="G90" s="69" t="s">
        <v>918</v>
      </c>
      <c r="H90" s="69" t="s">
        <v>21</v>
      </c>
      <c r="I90" s="69" t="s">
        <v>861</v>
      </c>
      <c r="J90" s="69" t="s">
        <v>925</v>
      </c>
      <c r="K90" s="73" t="s">
        <v>1186</v>
      </c>
      <c r="L90" s="2"/>
    </row>
    <row r="91" spans="1:12" ht="29.25">
      <c r="A91" s="68">
        <f t="shared" si="1"/>
        <v>83</v>
      </c>
      <c r="B91" s="69" t="s">
        <v>211</v>
      </c>
      <c r="C91" s="70" t="s">
        <v>1187</v>
      </c>
      <c r="D91" s="71" t="s">
        <v>55</v>
      </c>
      <c r="E91" s="72" t="s">
        <v>1188</v>
      </c>
      <c r="F91" s="69" t="s">
        <v>940</v>
      </c>
      <c r="G91" s="69" t="s">
        <v>1097</v>
      </c>
      <c r="H91" s="69" t="s">
        <v>21</v>
      </c>
      <c r="I91" s="69" t="s">
        <v>861</v>
      </c>
      <c r="J91" s="69" t="s">
        <v>1189</v>
      </c>
      <c r="K91" s="73" t="s">
        <v>1190</v>
      </c>
      <c r="L91" s="2"/>
    </row>
    <row r="92" spans="1:12" ht="29.25">
      <c r="A92" s="68">
        <f>A91+1</f>
        <v>84</v>
      </c>
      <c r="B92" s="69" t="s">
        <v>209</v>
      </c>
      <c r="C92" s="74" t="s">
        <v>210</v>
      </c>
      <c r="D92" s="71" t="s">
        <v>120</v>
      </c>
      <c r="E92" s="72" t="s">
        <v>1191</v>
      </c>
      <c r="F92" s="69" t="s">
        <v>1192</v>
      </c>
      <c r="G92" s="69" t="s">
        <v>1193</v>
      </c>
      <c r="H92" s="77" t="s">
        <v>147</v>
      </c>
      <c r="I92" s="69" t="s">
        <v>861</v>
      </c>
      <c r="J92" s="69" t="s">
        <v>1194</v>
      </c>
      <c r="K92" s="79">
        <v>85727463068</v>
      </c>
      <c r="L92" s="2"/>
    </row>
    <row r="93" spans="1:12">
      <c r="A93" s="68">
        <f t="shared" si="1"/>
        <v>85</v>
      </c>
      <c r="B93" s="69" t="s">
        <v>1195</v>
      </c>
      <c r="C93" s="70" t="s">
        <v>1196</v>
      </c>
      <c r="D93" s="71" t="s">
        <v>55</v>
      </c>
      <c r="E93" s="72" t="s">
        <v>1197</v>
      </c>
      <c r="F93" s="69" t="s">
        <v>878</v>
      </c>
      <c r="G93" s="69" t="s">
        <v>865</v>
      </c>
      <c r="H93" s="69" t="s">
        <v>929</v>
      </c>
      <c r="I93" s="69" t="s">
        <v>930</v>
      </c>
      <c r="J93" s="69" t="s">
        <v>886</v>
      </c>
      <c r="K93" s="73" t="s">
        <v>1198</v>
      </c>
      <c r="L93" s="2"/>
    </row>
    <row r="94" spans="1:12">
      <c r="A94" s="68">
        <f t="shared" si="1"/>
        <v>86</v>
      </c>
      <c r="B94" s="69" t="s">
        <v>285</v>
      </c>
      <c r="C94" s="74" t="s">
        <v>286</v>
      </c>
      <c r="D94" s="71" t="s">
        <v>131</v>
      </c>
      <c r="E94" s="72" t="s">
        <v>1199</v>
      </c>
      <c r="F94" s="69" t="s">
        <v>998</v>
      </c>
      <c r="G94" s="69" t="s">
        <v>215</v>
      </c>
      <c r="H94" s="77" t="s">
        <v>215</v>
      </c>
      <c r="I94" s="69" t="s">
        <v>861</v>
      </c>
      <c r="J94" s="69" t="s">
        <v>1200</v>
      </c>
      <c r="K94" s="73" t="s">
        <v>1201</v>
      </c>
      <c r="L94" s="2"/>
    </row>
    <row r="95" spans="1:12">
      <c r="A95" s="68">
        <f t="shared" si="1"/>
        <v>87</v>
      </c>
      <c r="B95" s="69" t="s">
        <v>213</v>
      </c>
      <c r="C95" s="74" t="s">
        <v>214</v>
      </c>
      <c r="D95" s="71" t="s">
        <v>120</v>
      </c>
      <c r="E95" s="72" t="s">
        <v>1202</v>
      </c>
      <c r="F95" s="69" t="s">
        <v>998</v>
      </c>
      <c r="G95" s="69" t="s">
        <v>215</v>
      </c>
      <c r="H95" s="77" t="s">
        <v>215</v>
      </c>
      <c r="I95" s="69" t="s">
        <v>861</v>
      </c>
      <c r="J95" s="69" t="s">
        <v>1200</v>
      </c>
      <c r="K95" s="73" t="s">
        <v>1203</v>
      </c>
      <c r="L95" s="2"/>
    </row>
    <row r="96" spans="1:12">
      <c r="A96" s="68">
        <f t="shared" si="1"/>
        <v>88</v>
      </c>
      <c r="B96" s="69" t="s">
        <v>287</v>
      </c>
      <c r="C96" s="70" t="s">
        <v>1204</v>
      </c>
      <c r="D96" s="71" t="s">
        <v>55</v>
      </c>
      <c r="E96" s="72" t="s">
        <v>1205</v>
      </c>
      <c r="F96" s="69" t="s">
        <v>998</v>
      </c>
      <c r="G96" s="69" t="s">
        <v>999</v>
      </c>
      <c r="H96" s="69" t="s">
        <v>21</v>
      </c>
      <c r="I96" s="69" t="s">
        <v>861</v>
      </c>
      <c r="J96" s="69" t="s">
        <v>1200</v>
      </c>
      <c r="K96" s="73" t="s">
        <v>1206</v>
      </c>
      <c r="L96" s="2"/>
    </row>
    <row r="97" spans="1:12">
      <c r="A97" s="68">
        <f t="shared" si="1"/>
        <v>89</v>
      </c>
      <c r="B97" s="69" t="s">
        <v>165</v>
      </c>
      <c r="C97" s="70" t="s">
        <v>1207</v>
      </c>
      <c r="D97" s="71" t="s">
        <v>120</v>
      </c>
      <c r="E97" s="72" t="s">
        <v>1208</v>
      </c>
      <c r="F97" s="69" t="s">
        <v>1209</v>
      </c>
      <c r="G97" s="69" t="s">
        <v>918</v>
      </c>
      <c r="H97" s="69" t="s">
        <v>21</v>
      </c>
      <c r="I97" s="69" t="s">
        <v>861</v>
      </c>
      <c r="J97" s="69" t="s">
        <v>1210</v>
      </c>
      <c r="K97" s="73" t="s">
        <v>1211</v>
      </c>
      <c r="L97" s="2"/>
    </row>
    <row r="98" spans="1:12">
      <c r="A98" s="68">
        <f t="shared" si="1"/>
        <v>90</v>
      </c>
      <c r="B98" s="69" t="s">
        <v>289</v>
      </c>
      <c r="C98" s="70" t="s">
        <v>290</v>
      </c>
      <c r="D98" s="71" t="s">
        <v>291</v>
      </c>
      <c r="E98" s="72" t="s">
        <v>1212</v>
      </c>
      <c r="F98" s="69" t="s">
        <v>878</v>
      </c>
      <c r="G98" s="69" t="s">
        <v>1213</v>
      </c>
      <c r="H98" s="69" t="s">
        <v>929</v>
      </c>
      <c r="I98" s="69" t="s">
        <v>930</v>
      </c>
      <c r="J98" s="69" t="s">
        <v>886</v>
      </c>
      <c r="K98" s="73" t="s">
        <v>1214</v>
      </c>
      <c r="L98" s="2"/>
    </row>
    <row r="99" spans="1:12">
      <c r="A99" s="68">
        <f t="shared" si="1"/>
        <v>91</v>
      </c>
      <c r="B99" s="69" t="s">
        <v>281</v>
      </c>
      <c r="C99" s="70" t="s">
        <v>1215</v>
      </c>
      <c r="D99" s="71" t="s">
        <v>291</v>
      </c>
      <c r="E99" s="72" t="s">
        <v>1216</v>
      </c>
      <c r="F99" s="69" t="s">
        <v>1217</v>
      </c>
      <c r="G99" s="69" t="s">
        <v>215</v>
      </c>
      <c r="H99" s="69" t="s">
        <v>21</v>
      </c>
      <c r="I99" s="69" t="s">
        <v>861</v>
      </c>
      <c r="J99" s="69" t="s">
        <v>1218</v>
      </c>
      <c r="K99" s="73" t="s">
        <v>1219</v>
      </c>
      <c r="L99" s="2"/>
    </row>
    <row r="100" spans="1:12">
      <c r="A100" s="68">
        <f t="shared" si="1"/>
        <v>92</v>
      </c>
      <c r="B100" s="69" t="s">
        <v>216</v>
      </c>
      <c r="C100" s="70" t="s">
        <v>1220</v>
      </c>
      <c r="D100" s="71" t="s">
        <v>291</v>
      </c>
      <c r="E100" s="72" t="s">
        <v>1221</v>
      </c>
      <c r="F100" s="69" t="s">
        <v>1222</v>
      </c>
      <c r="G100" s="69" t="s">
        <v>1223</v>
      </c>
      <c r="H100" s="69" t="s">
        <v>21</v>
      </c>
      <c r="I100" s="69" t="s">
        <v>861</v>
      </c>
      <c r="J100" s="69" t="s">
        <v>1224</v>
      </c>
      <c r="K100" s="73" t="s">
        <v>1225</v>
      </c>
      <c r="L100" s="2"/>
    </row>
    <row r="101" spans="1:12">
      <c r="A101" s="68">
        <f t="shared" si="1"/>
        <v>93</v>
      </c>
      <c r="B101" s="69" t="s">
        <v>148</v>
      </c>
      <c r="C101" s="70" t="s">
        <v>149</v>
      </c>
      <c r="D101" s="71" t="s">
        <v>55</v>
      </c>
      <c r="E101" s="72" t="s">
        <v>1226</v>
      </c>
      <c r="F101" s="69" t="s">
        <v>1227</v>
      </c>
      <c r="G101" s="69" t="s">
        <v>865</v>
      </c>
      <c r="H101" s="69" t="s">
        <v>21</v>
      </c>
      <c r="I101" s="69" t="s">
        <v>1103</v>
      </c>
      <c r="J101" s="69" t="s">
        <v>1228</v>
      </c>
      <c r="K101" s="73" t="s">
        <v>1229</v>
      </c>
      <c r="L101" s="2"/>
    </row>
    <row r="102" spans="1:12">
      <c r="A102" s="68">
        <f t="shared" si="1"/>
        <v>94</v>
      </c>
      <c r="B102" s="69" t="s">
        <v>81</v>
      </c>
      <c r="C102" s="70" t="s">
        <v>1230</v>
      </c>
      <c r="D102" s="71" t="s">
        <v>55</v>
      </c>
      <c r="E102" s="72" t="s">
        <v>1231</v>
      </c>
      <c r="F102" s="69" t="s">
        <v>1232</v>
      </c>
      <c r="G102" s="69" t="s">
        <v>895</v>
      </c>
      <c r="H102" s="69" t="s">
        <v>21</v>
      </c>
      <c r="I102" s="69" t="s">
        <v>861</v>
      </c>
      <c r="J102" s="69" t="s">
        <v>1233</v>
      </c>
      <c r="K102" s="73" t="s">
        <v>1234</v>
      </c>
      <c r="L102" s="2"/>
    </row>
    <row r="103" spans="1:12">
      <c r="A103" s="68">
        <f t="shared" si="1"/>
        <v>95</v>
      </c>
      <c r="B103" s="69" t="s">
        <v>132</v>
      </c>
      <c r="C103" s="105" t="s">
        <v>1235</v>
      </c>
      <c r="D103" s="71" t="s">
        <v>55</v>
      </c>
      <c r="E103" s="72" t="s">
        <v>1236</v>
      </c>
      <c r="F103" s="69" t="s">
        <v>1237</v>
      </c>
      <c r="G103" s="69" t="s">
        <v>1238</v>
      </c>
      <c r="H103" s="69" t="s">
        <v>147</v>
      </c>
      <c r="I103" s="69" t="s">
        <v>861</v>
      </c>
      <c r="J103" s="69" t="s">
        <v>862</v>
      </c>
      <c r="K103" s="78" t="s">
        <v>1239</v>
      </c>
      <c r="L103" s="2"/>
    </row>
    <row r="104" spans="1:12">
      <c r="A104" s="68">
        <f t="shared" si="1"/>
        <v>96</v>
      </c>
      <c r="B104" s="69" t="s">
        <v>292</v>
      </c>
      <c r="C104" s="70" t="s">
        <v>1240</v>
      </c>
      <c r="D104" s="71" t="s">
        <v>131</v>
      </c>
      <c r="E104" s="72" t="s">
        <v>1241</v>
      </c>
      <c r="F104" s="69" t="s">
        <v>1242</v>
      </c>
      <c r="G104" s="69" t="s">
        <v>865</v>
      </c>
      <c r="H104" s="69" t="s">
        <v>21</v>
      </c>
      <c r="I104" s="69" t="s">
        <v>861</v>
      </c>
      <c r="J104" s="69" t="s">
        <v>862</v>
      </c>
      <c r="K104" s="73" t="s">
        <v>1243</v>
      </c>
      <c r="L104" s="2"/>
    </row>
    <row r="105" spans="1:12">
      <c r="A105" s="68">
        <f t="shared" si="1"/>
        <v>97</v>
      </c>
      <c r="B105" s="69" t="s">
        <v>1244</v>
      </c>
      <c r="C105" s="70" t="s">
        <v>1245</v>
      </c>
      <c r="D105" s="71" t="s">
        <v>55</v>
      </c>
      <c r="E105" s="72" t="s">
        <v>1246</v>
      </c>
      <c r="F105" s="69" t="s">
        <v>912</v>
      </c>
      <c r="G105" s="69" t="s">
        <v>912</v>
      </c>
      <c r="H105" s="69" t="s">
        <v>21</v>
      </c>
      <c r="I105" s="69" t="s">
        <v>930</v>
      </c>
      <c r="J105" s="69" t="s">
        <v>1247</v>
      </c>
      <c r="K105" s="73" t="s">
        <v>1248</v>
      </c>
      <c r="L105" s="2"/>
    </row>
    <row r="106" spans="1:12">
      <c r="A106" s="68">
        <f t="shared" si="1"/>
        <v>98</v>
      </c>
      <c r="B106" s="69" t="s">
        <v>197</v>
      </c>
      <c r="C106" s="70" t="s">
        <v>1249</v>
      </c>
      <c r="D106" s="71" t="s">
        <v>131</v>
      </c>
      <c r="E106" s="72" t="s">
        <v>1250</v>
      </c>
      <c r="F106" s="69" t="s">
        <v>1232</v>
      </c>
      <c r="G106" s="69" t="s">
        <v>1251</v>
      </c>
      <c r="H106" s="69" t="s">
        <v>21</v>
      </c>
      <c r="I106" s="69" t="s">
        <v>861</v>
      </c>
      <c r="J106" s="69" t="s">
        <v>1233</v>
      </c>
      <c r="K106" s="73" t="s">
        <v>1252</v>
      </c>
      <c r="L106" s="2"/>
    </row>
    <row r="107" spans="1:12">
      <c r="A107" s="68">
        <f t="shared" si="1"/>
        <v>99</v>
      </c>
      <c r="B107" s="69" t="s">
        <v>1253</v>
      </c>
      <c r="C107" s="74" t="s">
        <v>1254</v>
      </c>
      <c r="D107" s="71" t="s">
        <v>55</v>
      </c>
      <c r="E107" s="72" t="s">
        <v>1255</v>
      </c>
      <c r="F107" s="69" t="s">
        <v>1153</v>
      </c>
      <c r="G107" s="69" t="s">
        <v>1153</v>
      </c>
      <c r="H107" s="77" t="s">
        <v>1077</v>
      </c>
      <c r="I107" s="69" t="s">
        <v>861</v>
      </c>
      <c r="J107" s="69" t="s">
        <v>950</v>
      </c>
      <c r="K107" s="73" t="s">
        <v>1256</v>
      </c>
      <c r="L107" s="2"/>
    </row>
    <row r="108" spans="1:12" ht="15.75" thickBot="1">
      <c r="A108" s="80">
        <f t="shared" si="1"/>
        <v>100</v>
      </c>
      <c r="B108" s="86" t="s">
        <v>199</v>
      </c>
      <c r="C108" s="106" t="s">
        <v>1257</v>
      </c>
      <c r="D108" s="107" t="s">
        <v>55</v>
      </c>
      <c r="E108" s="108" t="s">
        <v>1258</v>
      </c>
      <c r="F108" s="86" t="s">
        <v>1053</v>
      </c>
      <c r="G108" s="86" t="s">
        <v>860</v>
      </c>
      <c r="H108" s="86" t="s">
        <v>21</v>
      </c>
      <c r="I108" s="86" t="s">
        <v>861</v>
      </c>
      <c r="J108" s="86" t="s">
        <v>1259</v>
      </c>
      <c r="K108" s="109" t="s">
        <v>1260</v>
      </c>
      <c r="L108" s="2"/>
    </row>
    <row r="109" spans="1:12" ht="15.75" thickBot="1">
      <c r="A109" s="88"/>
      <c r="B109" s="93"/>
      <c r="C109" s="110"/>
      <c r="D109" s="111"/>
      <c r="E109" s="93"/>
      <c r="F109" s="93"/>
      <c r="G109" s="93"/>
      <c r="H109" s="93"/>
      <c r="I109" s="93"/>
      <c r="J109" s="93"/>
      <c r="K109" s="89"/>
      <c r="L109" s="2"/>
    </row>
    <row r="110" spans="1:12" ht="16.5" thickTop="1" thickBot="1">
      <c r="A110" s="57" t="s">
        <v>515</v>
      </c>
      <c r="B110" s="58" t="s">
        <v>2</v>
      </c>
      <c r="C110" s="58" t="s">
        <v>3</v>
      </c>
      <c r="D110" s="59" t="s">
        <v>848</v>
      </c>
      <c r="E110" s="58" t="s">
        <v>849</v>
      </c>
      <c r="F110" s="58" t="s">
        <v>850</v>
      </c>
      <c r="G110" s="58" t="s">
        <v>851</v>
      </c>
      <c r="H110" s="58" t="s">
        <v>852</v>
      </c>
      <c r="I110" s="58" t="s">
        <v>853</v>
      </c>
      <c r="J110" s="58" t="s">
        <v>854</v>
      </c>
      <c r="K110" s="60" t="s">
        <v>855</v>
      </c>
      <c r="L110" s="2"/>
    </row>
    <row r="111" spans="1:12" ht="15.75" thickTop="1">
      <c r="A111" s="68"/>
      <c r="B111" s="69"/>
      <c r="C111" s="70"/>
      <c r="D111" s="71"/>
      <c r="E111" s="72"/>
      <c r="F111" s="69"/>
      <c r="G111" s="69"/>
      <c r="H111" s="69"/>
      <c r="I111" s="69"/>
      <c r="J111" s="69"/>
      <c r="K111" s="78"/>
      <c r="L111" s="2"/>
    </row>
    <row r="112" spans="1:12">
      <c r="A112" s="68">
        <f>A108+1</f>
        <v>101</v>
      </c>
      <c r="B112" s="69" t="s">
        <v>294</v>
      </c>
      <c r="C112" s="70" t="s">
        <v>295</v>
      </c>
      <c r="D112" s="71" t="s">
        <v>131</v>
      </c>
      <c r="E112" s="72" t="s">
        <v>1261</v>
      </c>
      <c r="F112" s="69" t="s">
        <v>901</v>
      </c>
      <c r="G112" s="69" t="s">
        <v>860</v>
      </c>
      <c r="H112" s="69" t="s">
        <v>929</v>
      </c>
      <c r="I112" s="69" t="s">
        <v>930</v>
      </c>
      <c r="J112" s="69" t="s">
        <v>116</v>
      </c>
      <c r="K112" s="73" t="s">
        <v>1262</v>
      </c>
      <c r="L112" s="2"/>
    </row>
    <row r="113" spans="1:12">
      <c r="A113" s="68">
        <f t="shared" si="1"/>
        <v>102</v>
      </c>
      <c r="B113" s="69" t="s">
        <v>455</v>
      </c>
      <c r="C113" s="70" t="s">
        <v>1263</v>
      </c>
      <c r="D113" s="71" t="s">
        <v>120</v>
      </c>
      <c r="E113" s="72" t="s">
        <v>1264</v>
      </c>
      <c r="F113" s="69" t="s">
        <v>878</v>
      </c>
      <c r="G113" s="69" t="s">
        <v>865</v>
      </c>
      <c r="H113" s="69" t="s">
        <v>21</v>
      </c>
      <c r="I113" s="69" t="s">
        <v>861</v>
      </c>
      <c r="J113" s="69" t="s">
        <v>886</v>
      </c>
      <c r="K113" s="73" t="s">
        <v>1265</v>
      </c>
      <c r="L113" s="2"/>
    </row>
    <row r="114" spans="1:12">
      <c r="A114" s="68">
        <f t="shared" si="1"/>
        <v>103</v>
      </c>
      <c r="B114" s="69" t="s">
        <v>189</v>
      </c>
      <c r="C114" s="70" t="s">
        <v>190</v>
      </c>
      <c r="D114" s="71" t="s">
        <v>131</v>
      </c>
      <c r="E114" s="72" t="s">
        <v>1266</v>
      </c>
      <c r="F114" s="69" t="s">
        <v>878</v>
      </c>
      <c r="G114" s="69" t="s">
        <v>865</v>
      </c>
      <c r="H114" s="69" t="s">
        <v>21</v>
      </c>
      <c r="I114" s="69" t="s">
        <v>861</v>
      </c>
      <c r="J114" s="69" t="s">
        <v>1267</v>
      </c>
      <c r="K114" s="73" t="s">
        <v>1268</v>
      </c>
      <c r="L114" s="2"/>
    </row>
    <row r="115" spans="1:12">
      <c r="A115" s="68">
        <f t="shared" si="1"/>
        <v>104</v>
      </c>
      <c r="B115" s="69" t="s">
        <v>457</v>
      </c>
      <c r="C115" s="74" t="s">
        <v>1269</v>
      </c>
      <c r="D115" s="71" t="s">
        <v>131</v>
      </c>
      <c r="E115" s="72" t="s">
        <v>1270</v>
      </c>
      <c r="F115" s="69" t="s">
        <v>1271</v>
      </c>
      <c r="G115" s="69" t="s">
        <v>1272</v>
      </c>
      <c r="H115" s="77" t="s">
        <v>307</v>
      </c>
      <c r="I115" s="69" t="s">
        <v>861</v>
      </c>
      <c r="J115" s="69" t="s">
        <v>862</v>
      </c>
      <c r="K115" s="73" t="s">
        <v>1273</v>
      </c>
      <c r="L115" s="2"/>
    </row>
    <row r="116" spans="1:12">
      <c r="A116" s="68">
        <f t="shared" si="1"/>
        <v>105</v>
      </c>
      <c r="B116" s="75" t="s">
        <v>1274</v>
      </c>
      <c r="C116" s="74" t="s">
        <v>1275</v>
      </c>
      <c r="D116" s="71" t="s">
        <v>55</v>
      </c>
      <c r="E116" s="72" t="s">
        <v>1276</v>
      </c>
      <c r="F116" s="69" t="s">
        <v>859</v>
      </c>
      <c r="G116" s="69" t="s">
        <v>860</v>
      </c>
      <c r="H116" s="69" t="s">
        <v>21</v>
      </c>
      <c r="I116" s="69" t="s">
        <v>861</v>
      </c>
      <c r="J116" s="69" t="s">
        <v>862</v>
      </c>
      <c r="K116" s="76" t="s">
        <v>1277</v>
      </c>
      <c r="L116" s="2"/>
    </row>
    <row r="117" spans="1:12">
      <c r="A117" s="68">
        <f t="shared" si="1"/>
        <v>106</v>
      </c>
      <c r="B117" s="69" t="s">
        <v>195</v>
      </c>
      <c r="C117" s="70" t="s">
        <v>1278</v>
      </c>
      <c r="D117" s="71" t="s">
        <v>120</v>
      </c>
      <c r="E117" s="72" t="s">
        <v>1279</v>
      </c>
      <c r="F117" s="69" t="s">
        <v>918</v>
      </c>
      <c r="G117" s="69" t="s">
        <v>918</v>
      </c>
      <c r="H117" s="69" t="s">
        <v>929</v>
      </c>
      <c r="I117" s="69" t="s">
        <v>930</v>
      </c>
      <c r="J117" s="69" t="s">
        <v>1280</v>
      </c>
      <c r="K117" s="73" t="s">
        <v>1281</v>
      </c>
      <c r="L117" s="2"/>
    </row>
    <row r="118" spans="1:12">
      <c r="A118" s="68">
        <f t="shared" si="1"/>
        <v>107</v>
      </c>
      <c r="B118" s="69" t="s">
        <v>201</v>
      </c>
      <c r="C118" s="70" t="s">
        <v>1282</v>
      </c>
      <c r="D118" s="71" t="s">
        <v>55</v>
      </c>
      <c r="E118" s="72" t="s">
        <v>1283</v>
      </c>
      <c r="F118" s="69" t="s">
        <v>203</v>
      </c>
      <c r="G118" s="69" t="s">
        <v>949</v>
      </c>
      <c r="H118" s="69" t="s">
        <v>21</v>
      </c>
      <c r="I118" s="69" t="s">
        <v>861</v>
      </c>
      <c r="J118" s="69" t="s">
        <v>862</v>
      </c>
      <c r="K118" s="73" t="s">
        <v>1284</v>
      </c>
      <c r="L118" s="2"/>
    </row>
    <row r="119" spans="1:12">
      <c r="A119" s="68">
        <f t="shared" si="1"/>
        <v>108</v>
      </c>
      <c r="B119" s="69" t="s">
        <v>218</v>
      </c>
      <c r="C119" s="70" t="s">
        <v>1285</v>
      </c>
      <c r="D119" s="71" t="s">
        <v>291</v>
      </c>
      <c r="E119" s="72" t="s">
        <v>1286</v>
      </c>
      <c r="F119" s="69" t="s">
        <v>901</v>
      </c>
      <c r="G119" s="69" t="s">
        <v>860</v>
      </c>
      <c r="H119" s="69" t="s">
        <v>21</v>
      </c>
      <c r="I119" s="69" t="s">
        <v>861</v>
      </c>
      <c r="J119" s="69" t="s">
        <v>862</v>
      </c>
      <c r="K119" s="73" t="s">
        <v>862</v>
      </c>
      <c r="L119" s="2"/>
    </row>
    <row r="120" spans="1:12">
      <c r="A120" s="68">
        <f t="shared" si="1"/>
        <v>109</v>
      </c>
      <c r="B120" s="69" t="s">
        <v>297</v>
      </c>
      <c r="C120" s="70" t="s">
        <v>298</v>
      </c>
      <c r="D120" s="71" t="s">
        <v>291</v>
      </c>
      <c r="E120" s="72" t="s">
        <v>1287</v>
      </c>
      <c r="F120" s="69" t="s">
        <v>1158</v>
      </c>
      <c r="G120" s="69" t="s">
        <v>941</v>
      </c>
      <c r="H120" s="69" t="s">
        <v>21</v>
      </c>
      <c r="I120" s="69" t="s">
        <v>861</v>
      </c>
      <c r="J120" s="69" t="s">
        <v>116</v>
      </c>
      <c r="K120" s="73" t="s">
        <v>116</v>
      </c>
      <c r="L120" s="2"/>
    </row>
    <row r="121" spans="1:12">
      <c r="A121" s="68">
        <f t="shared" si="1"/>
        <v>110</v>
      </c>
      <c r="B121" s="69" t="s">
        <v>45</v>
      </c>
      <c r="C121" s="70" t="s">
        <v>46</v>
      </c>
      <c r="D121" s="71" t="s">
        <v>55</v>
      </c>
      <c r="E121" s="72" t="s">
        <v>1288</v>
      </c>
      <c r="F121" s="69" t="s">
        <v>1053</v>
      </c>
      <c r="G121" s="69" t="s">
        <v>860</v>
      </c>
      <c r="H121" s="69" t="s">
        <v>21</v>
      </c>
      <c r="I121" s="69" t="s">
        <v>861</v>
      </c>
      <c r="J121" s="69" t="s">
        <v>1259</v>
      </c>
      <c r="K121" s="73" t="s">
        <v>1289</v>
      </c>
      <c r="L121" s="2"/>
    </row>
    <row r="122" spans="1:12">
      <c r="A122" s="68">
        <f t="shared" si="1"/>
        <v>111</v>
      </c>
      <c r="B122" s="69" t="s">
        <v>108</v>
      </c>
      <c r="C122" s="70" t="s">
        <v>1290</v>
      </c>
      <c r="D122" s="71" t="s">
        <v>55</v>
      </c>
      <c r="E122" s="72" t="s">
        <v>1291</v>
      </c>
      <c r="F122" s="69" t="s">
        <v>998</v>
      </c>
      <c r="G122" s="69" t="s">
        <v>1223</v>
      </c>
      <c r="H122" s="69" t="s">
        <v>21</v>
      </c>
      <c r="I122" s="69" t="s">
        <v>861</v>
      </c>
      <c r="J122" s="69" t="s">
        <v>862</v>
      </c>
      <c r="K122" s="73" t="s">
        <v>862</v>
      </c>
      <c r="L122" s="2"/>
    </row>
    <row r="123" spans="1:12">
      <c r="A123" s="68">
        <f t="shared" si="1"/>
        <v>112</v>
      </c>
      <c r="B123" s="69" t="s">
        <v>1292</v>
      </c>
      <c r="C123" s="70" t="s">
        <v>1293</v>
      </c>
      <c r="D123" s="71" t="s">
        <v>55</v>
      </c>
      <c r="E123" s="72" t="s">
        <v>1294</v>
      </c>
      <c r="F123" s="69" t="s">
        <v>1024</v>
      </c>
      <c r="G123" s="69" t="s">
        <v>860</v>
      </c>
      <c r="H123" s="69" t="s">
        <v>929</v>
      </c>
      <c r="I123" s="69" t="s">
        <v>930</v>
      </c>
      <c r="J123" s="69" t="s">
        <v>862</v>
      </c>
      <c r="K123" s="73" t="s">
        <v>862</v>
      </c>
      <c r="L123" s="2"/>
    </row>
    <row r="124" spans="1:12">
      <c r="A124" s="68">
        <f t="shared" si="1"/>
        <v>113</v>
      </c>
      <c r="B124" s="69" t="s">
        <v>451</v>
      </c>
      <c r="C124" s="70" t="s">
        <v>452</v>
      </c>
      <c r="D124" s="71" t="s">
        <v>120</v>
      </c>
      <c r="E124" s="72" t="s">
        <v>1295</v>
      </c>
      <c r="F124" s="69" t="s">
        <v>865</v>
      </c>
      <c r="G124" s="69" t="s">
        <v>865</v>
      </c>
      <c r="H124" s="69" t="s">
        <v>21</v>
      </c>
      <c r="I124" s="69" t="s">
        <v>1103</v>
      </c>
      <c r="J124" s="69" t="s">
        <v>1296</v>
      </c>
      <c r="K124" s="73" t="s">
        <v>1297</v>
      </c>
      <c r="L124" s="2"/>
    </row>
    <row r="125" spans="1:12">
      <c r="A125" s="68">
        <f t="shared" si="1"/>
        <v>114</v>
      </c>
      <c r="B125" s="69" t="s">
        <v>220</v>
      </c>
      <c r="C125" s="70" t="s">
        <v>221</v>
      </c>
      <c r="D125" s="71" t="s">
        <v>55</v>
      </c>
      <c r="E125" s="72" t="s">
        <v>1298</v>
      </c>
      <c r="F125" s="69" t="s">
        <v>998</v>
      </c>
      <c r="G125" s="69" t="s">
        <v>215</v>
      </c>
      <c r="H125" s="69" t="s">
        <v>21</v>
      </c>
      <c r="I125" s="69" t="s">
        <v>861</v>
      </c>
      <c r="J125" s="69" t="s">
        <v>1084</v>
      </c>
      <c r="K125" s="73" t="s">
        <v>1299</v>
      </c>
      <c r="L125" s="2"/>
    </row>
    <row r="126" spans="1:12">
      <c r="A126" s="68">
        <f t="shared" si="1"/>
        <v>115</v>
      </c>
      <c r="B126" s="69" t="s">
        <v>299</v>
      </c>
      <c r="C126" s="70" t="s">
        <v>1300</v>
      </c>
      <c r="D126" s="71" t="s">
        <v>55</v>
      </c>
      <c r="E126" s="72" t="s">
        <v>1301</v>
      </c>
      <c r="F126" s="69" t="s">
        <v>878</v>
      </c>
      <c r="G126" s="69" t="s">
        <v>865</v>
      </c>
      <c r="H126" s="69" t="s">
        <v>21</v>
      </c>
      <c r="I126" s="69" t="s">
        <v>930</v>
      </c>
      <c r="J126" s="69" t="s">
        <v>862</v>
      </c>
      <c r="K126" s="73" t="s">
        <v>1302</v>
      </c>
      <c r="L126" s="2"/>
    </row>
    <row r="127" spans="1:12">
      <c r="A127" s="68">
        <f t="shared" si="1"/>
        <v>116</v>
      </c>
      <c r="B127" s="69" t="s">
        <v>459</v>
      </c>
      <c r="C127" s="70" t="s">
        <v>460</v>
      </c>
      <c r="D127" s="71" t="s">
        <v>291</v>
      </c>
      <c r="E127" s="72" t="s">
        <v>1303</v>
      </c>
      <c r="F127" s="69" t="s">
        <v>862</v>
      </c>
      <c r="G127" s="69" t="s">
        <v>862</v>
      </c>
      <c r="H127" s="69" t="s">
        <v>21</v>
      </c>
      <c r="I127" s="69" t="s">
        <v>861</v>
      </c>
      <c r="J127" s="69" t="s">
        <v>862</v>
      </c>
      <c r="K127" s="73" t="s">
        <v>1304</v>
      </c>
      <c r="L127" s="2"/>
    </row>
    <row r="128" spans="1:12" ht="29.25">
      <c r="A128" s="68">
        <f t="shared" si="1"/>
        <v>117</v>
      </c>
      <c r="B128" s="69" t="s">
        <v>1305</v>
      </c>
      <c r="C128" s="70" t="s">
        <v>1306</v>
      </c>
      <c r="D128" s="71" t="s">
        <v>120</v>
      </c>
      <c r="E128" s="72" t="s">
        <v>1307</v>
      </c>
      <c r="F128" s="69" t="s">
        <v>1308</v>
      </c>
      <c r="G128" s="69" t="s">
        <v>1309</v>
      </c>
      <c r="H128" s="69" t="s">
        <v>21</v>
      </c>
      <c r="I128" s="69" t="s">
        <v>861</v>
      </c>
      <c r="J128" s="69" t="s">
        <v>1310</v>
      </c>
      <c r="K128" s="73" t="s">
        <v>1311</v>
      </c>
      <c r="L128" s="2"/>
    </row>
    <row r="129" spans="1:12">
      <c r="A129" s="68">
        <f t="shared" si="1"/>
        <v>118</v>
      </c>
      <c r="B129" s="69" t="s">
        <v>440</v>
      </c>
      <c r="C129" s="70" t="s">
        <v>1312</v>
      </c>
      <c r="D129" s="71" t="s">
        <v>131</v>
      </c>
      <c r="E129" s="72" t="s">
        <v>1313</v>
      </c>
      <c r="F129" s="69" t="s">
        <v>1314</v>
      </c>
      <c r="G129" s="69" t="s">
        <v>865</v>
      </c>
      <c r="H129" s="69" t="s">
        <v>21</v>
      </c>
      <c r="I129" s="69" t="s">
        <v>861</v>
      </c>
      <c r="J129" s="69" t="s">
        <v>1228</v>
      </c>
      <c r="K129" s="73" t="s">
        <v>1315</v>
      </c>
      <c r="L129" s="2"/>
    </row>
    <row r="130" spans="1:12">
      <c r="A130" s="68">
        <f t="shared" si="1"/>
        <v>119</v>
      </c>
      <c r="B130" s="69" t="s">
        <v>301</v>
      </c>
      <c r="C130" s="70" t="s">
        <v>1316</v>
      </c>
      <c r="D130" s="71" t="s">
        <v>131</v>
      </c>
      <c r="E130" s="72" t="s">
        <v>1317</v>
      </c>
      <c r="F130" s="69" t="s">
        <v>1318</v>
      </c>
      <c r="G130" s="69" t="s">
        <v>1108</v>
      </c>
      <c r="H130" s="69" t="s">
        <v>21</v>
      </c>
      <c r="I130" s="69" t="s">
        <v>1103</v>
      </c>
      <c r="J130" s="69" t="s">
        <v>116</v>
      </c>
      <c r="K130" s="73" t="s">
        <v>1319</v>
      </c>
      <c r="L130" s="2"/>
    </row>
    <row r="131" spans="1:12">
      <c r="A131" s="68">
        <f t="shared" si="1"/>
        <v>120</v>
      </c>
      <c r="B131" s="69" t="s">
        <v>303</v>
      </c>
      <c r="C131" s="70" t="s">
        <v>1320</v>
      </c>
      <c r="D131" s="71" t="s">
        <v>55</v>
      </c>
      <c r="E131" s="72" t="s">
        <v>1321</v>
      </c>
      <c r="F131" s="69" t="s">
        <v>878</v>
      </c>
      <c r="G131" s="69" t="s">
        <v>1213</v>
      </c>
      <c r="H131" s="69" t="s">
        <v>21</v>
      </c>
      <c r="I131" s="69" t="s">
        <v>861</v>
      </c>
      <c r="J131" s="69" t="s">
        <v>886</v>
      </c>
      <c r="K131" s="73" t="s">
        <v>862</v>
      </c>
      <c r="L131" s="2"/>
    </row>
    <row r="132" spans="1:12">
      <c r="A132" s="68">
        <f t="shared" si="1"/>
        <v>121</v>
      </c>
      <c r="B132" s="69" t="s">
        <v>1322</v>
      </c>
      <c r="C132" s="70" t="s">
        <v>1323</v>
      </c>
      <c r="D132" s="71" t="s">
        <v>55</v>
      </c>
      <c r="E132" s="72" t="s">
        <v>1324</v>
      </c>
      <c r="F132" s="69" t="s">
        <v>1053</v>
      </c>
      <c r="G132" s="69" t="s">
        <v>860</v>
      </c>
      <c r="H132" s="69" t="s">
        <v>1325</v>
      </c>
      <c r="I132" s="69" t="s">
        <v>930</v>
      </c>
      <c r="J132" s="69" t="s">
        <v>862</v>
      </c>
      <c r="K132" s="73" t="s">
        <v>1326</v>
      </c>
      <c r="L132" s="2"/>
    </row>
    <row r="133" spans="1:12">
      <c r="A133" s="68">
        <f t="shared" si="1"/>
        <v>122</v>
      </c>
      <c r="B133" s="69" t="s">
        <v>260</v>
      </c>
      <c r="C133" s="70" t="s">
        <v>1327</v>
      </c>
      <c r="D133" s="112" t="s">
        <v>55</v>
      </c>
      <c r="E133" s="72" t="s">
        <v>1328</v>
      </c>
      <c r="F133" s="69" t="s">
        <v>860</v>
      </c>
      <c r="G133" s="69" t="s">
        <v>860</v>
      </c>
      <c r="H133" s="69" t="s">
        <v>21</v>
      </c>
      <c r="I133" s="69" t="s">
        <v>861</v>
      </c>
      <c r="J133" s="69" t="s">
        <v>875</v>
      </c>
      <c r="K133" s="73" t="s">
        <v>1329</v>
      </c>
      <c r="L133" s="2"/>
    </row>
    <row r="134" spans="1:12">
      <c r="A134" s="68">
        <f t="shared" si="1"/>
        <v>123</v>
      </c>
      <c r="B134" s="69" t="s">
        <v>1330</v>
      </c>
      <c r="C134" s="70" t="s">
        <v>1331</v>
      </c>
      <c r="D134" s="71" t="s">
        <v>55</v>
      </c>
      <c r="E134" s="72" t="s">
        <v>1332</v>
      </c>
      <c r="F134" s="69" t="s">
        <v>1053</v>
      </c>
      <c r="G134" s="69" t="s">
        <v>860</v>
      </c>
      <c r="H134" s="69" t="s">
        <v>21</v>
      </c>
      <c r="I134" s="69" t="s">
        <v>861</v>
      </c>
      <c r="J134" s="69" t="s">
        <v>862</v>
      </c>
      <c r="K134" s="73" t="s">
        <v>1333</v>
      </c>
      <c r="L134" s="2"/>
    </row>
    <row r="135" spans="1:12">
      <c r="A135" s="68">
        <v>124</v>
      </c>
      <c r="B135" s="75" t="s">
        <v>262</v>
      </c>
      <c r="C135" s="53" t="s">
        <v>263</v>
      </c>
      <c r="D135" s="71"/>
      <c r="E135" s="54" t="s">
        <v>264</v>
      </c>
      <c r="F135" s="69"/>
      <c r="G135" s="69"/>
      <c r="H135" s="69" t="s">
        <v>479</v>
      </c>
      <c r="I135" s="69" t="s">
        <v>861</v>
      </c>
      <c r="J135" s="69"/>
      <c r="K135" s="73"/>
      <c r="L135" s="2"/>
    </row>
    <row r="136" spans="1:12">
      <c r="A136" s="68">
        <v>125</v>
      </c>
      <c r="B136" s="69" t="s">
        <v>305</v>
      </c>
      <c r="C136" s="70" t="s">
        <v>1334</v>
      </c>
      <c r="D136" s="71" t="s">
        <v>131</v>
      </c>
      <c r="E136" s="72" t="s">
        <v>1335</v>
      </c>
      <c r="F136" s="69" t="s">
        <v>1336</v>
      </c>
      <c r="G136" s="69" t="s">
        <v>215</v>
      </c>
      <c r="H136" s="69" t="s">
        <v>21</v>
      </c>
      <c r="I136" s="69" t="s">
        <v>861</v>
      </c>
      <c r="J136" s="69" t="s">
        <v>862</v>
      </c>
      <c r="K136" s="73" t="s">
        <v>1337</v>
      </c>
      <c r="L136" s="2"/>
    </row>
    <row r="137" spans="1:12">
      <c r="A137" s="68">
        <v>126</v>
      </c>
      <c r="B137" s="69" t="s">
        <v>1338</v>
      </c>
      <c r="C137" s="70" t="s">
        <v>1339</v>
      </c>
      <c r="D137" s="71" t="s">
        <v>131</v>
      </c>
      <c r="E137" s="72" t="s">
        <v>1340</v>
      </c>
      <c r="F137" s="69" t="s">
        <v>924</v>
      </c>
      <c r="G137" s="69" t="s">
        <v>918</v>
      </c>
      <c r="H137" s="69" t="s">
        <v>21</v>
      </c>
      <c r="I137" s="69" t="s">
        <v>861</v>
      </c>
      <c r="J137" s="69" t="s">
        <v>925</v>
      </c>
      <c r="K137" s="73" t="s">
        <v>1341</v>
      </c>
      <c r="L137" s="2"/>
    </row>
    <row r="138" spans="1:12">
      <c r="A138" s="68">
        <f t="shared" ref="A138:A201" si="2">A137+1</f>
        <v>127</v>
      </c>
      <c r="B138" s="69" t="s">
        <v>1342</v>
      </c>
      <c r="C138" s="70" t="s">
        <v>1343</v>
      </c>
      <c r="D138" s="71" t="s">
        <v>120</v>
      </c>
      <c r="E138" s="72" t="s">
        <v>1344</v>
      </c>
      <c r="F138" s="69" t="s">
        <v>1053</v>
      </c>
      <c r="G138" s="69" t="s">
        <v>860</v>
      </c>
      <c r="H138" s="69" t="s">
        <v>21</v>
      </c>
      <c r="I138" s="69" t="s">
        <v>861</v>
      </c>
      <c r="J138" s="69" t="s">
        <v>862</v>
      </c>
      <c r="K138" s="73" t="s">
        <v>1345</v>
      </c>
      <c r="L138" s="2"/>
    </row>
    <row r="139" spans="1:12">
      <c r="A139" s="68">
        <f t="shared" si="2"/>
        <v>128</v>
      </c>
      <c r="B139" s="75" t="s">
        <v>308</v>
      </c>
      <c r="C139" s="70" t="s">
        <v>309</v>
      </c>
      <c r="D139" s="71" t="s">
        <v>131</v>
      </c>
      <c r="E139" s="72" t="s">
        <v>1346</v>
      </c>
      <c r="F139" s="69" t="s">
        <v>901</v>
      </c>
      <c r="G139" s="69" t="s">
        <v>860</v>
      </c>
      <c r="H139" s="69" t="s">
        <v>21</v>
      </c>
      <c r="I139" s="69" t="s">
        <v>861</v>
      </c>
      <c r="J139" s="69"/>
      <c r="K139" s="73"/>
      <c r="L139" s="2"/>
    </row>
    <row r="140" spans="1:12">
      <c r="A140" s="68">
        <f t="shared" si="2"/>
        <v>129</v>
      </c>
      <c r="B140" s="69" t="s">
        <v>461</v>
      </c>
      <c r="C140" s="74" t="s">
        <v>1347</v>
      </c>
      <c r="D140" s="71" t="s">
        <v>131</v>
      </c>
      <c r="E140" s="72" t="s">
        <v>1348</v>
      </c>
      <c r="F140" s="69" t="s">
        <v>116</v>
      </c>
      <c r="G140" s="69" t="s">
        <v>1009</v>
      </c>
      <c r="H140" s="77" t="s">
        <v>479</v>
      </c>
      <c r="I140" s="69" t="s">
        <v>861</v>
      </c>
      <c r="J140" s="69" t="s">
        <v>1010</v>
      </c>
      <c r="K140" s="73" t="s">
        <v>1349</v>
      </c>
      <c r="L140" s="2"/>
    </row>
    <row r="141" spans="1:12">
      <c r="A141" s="68">
        <f t="shared" si="2"/>
        <v>130</v>
      </c>
      <c r="B141" s="69" t="s">
        <v>310</v>
      </c>
      <c r="C141" s="70" t="s">
        <v>311</v>
      </c>
      <c r="D141" s="71" t="s">
        <v>120</v>
      </c>
      <c r="E141" s="72" t="s">
        <v>1350</v>
      </c>
      <c r="F141" s="69" t="s">
        <v>1053</v>
      </c>
      <c r="G141" s="69" t="s">
        <v>860</v>
      </c>
      <c r="H141" s="69" t="s">
        <v>21</v>
      </c>
      <c r="I141" s="69" t="s">
        <v>861</v>
      </c>
      <c r="J141" s="69" t="s">
        <v>1259</v>
      </c>
      <c r="K141" s="73" t="s">
        <v>1351</v>
      </c>
      <c r="L141" s="2"/>
    </row>
    <row r="142" spans="1:12">
      <c r="A142" s="68">
        <f t="shared" si="2"/>
        <v>131</v>
      </c>
      <c r="B142" s="69" t="s">
        <v>312</v>
      </c>
      <c r="C142" s="70" t="s">
        <v>313</v>
      </c>
      <c r="D142" s="71" t="s">
        <v>131</v>
      </c>
      <c r="E142" s="72" t="s">
        <v>1352</v>
      </c>
      <c r="F142" s="69" t="s">
        <v>1353</v>
      </c>
      <c r="G142" s="69" t="s">
        <v>1056</v>
      </c>
      <c r="H142" s="69" t="s">
        <v>21</v>
      </c>
      <c r="I142" s="69" t="s">
        <v>861</v>
      </c>
      <c r="J142" s="69" t="s">
        <v>862</v>
      </c>
      <c r="K142" s="73" t="s">
        <v>1354</v>
      </c>
      <c r="L142" s="2"/>
    </row>
    <row r="143" spans="1:12">
      <c r="A143" s="68">
        <f t="shared" si="2"/>
        <v>132</v>
      </c>
      <c r="B143" s="69" t="s">
        <v>265</v>
      </c>
      <c r="C143" s="70" t="s">
        <v>1355</v>
      </c>
      <c r="D143" s="71" t="s">
        <v>131</v>
      </c>
      <c r="E143" s="72" t="s">
        <v>1356</v>
      </c>
      <c r="F143" s="69" t="s">
        <v>1053</v>
      </c>
      <c r="G143" s="69" t="s">
        <v>860</v>
      </c>
      <c r="H143" s="69" t="s">
        <v>21</v>
      </c>
      <c r="I143" s="69" t="s">
        <v>861</v>
      </c>
      <c r="J143" s="69" t="s">
        <v>1259</v>
      </c>
      <c r="K143" s="73" t="s">
        <v>1357</v>
      </c>
      <c r="L143" s="2"/>
    </row>
    <row r="144" spans="1:12">
      <c r="A144" s="68">
        <f t="shared" si="2"/>
        <v>133</v>
      </c>
      <c r="B144" s="69" t="s">
        <v>442</v>
      </c>
      <c r="C144" s="70" t="s">
        <v>1358</v>
      </c>
      <c r="D144" s="71" t="s">
        <v>55</v>
      </c>
      <c r="E144" s="72" t="s">
        <v>671</v>
      </c>
      <c r="F144" s="69" t="s">
        <v>859</v>
      </c>
      <c r="G144" s="69" t="s">
        <v>860</v>
      </c>
      <c r="H144" s="69" t="s">
        <v>21</v>
      </c>
      <c r="I144" s="69" t="s">
        <v>861</v>
      </c>
      <c r="J144" s="69" t="s">
        <v>862</v>
      </c>
      <c r="K144" s="73" t="s">
        <v>1359</v>
      </c>
      <c r="L144" s="2"/>
    </row>
    <row r="145" spans="1:12">
      <c r="A145" s="68">
        <f t="shared" si="2"/>
        <v>134</v>
      </c>
      <c r="B145" s="69" t="s">
        <v>315</v>
      </c>
      <c r="C145" s="70" t="s">
        <v>316</v>
      </c>
      <c r="D145" s="71" t="s">
        <v>120</v>
      </c>
      <c r="E145" s="72" t="s">
        <v>1360</v>
      </c>
      <c r="F145" s="69" t="s">
        <v>1361</v>
      </c>
      <c r="G145" s="69" t="s">
        <v>895</v>
      </c>
      <c r="H145" s="69" t="s">
        <v>21</v>
      </c>
      <c r="I145" s="69" t="s">
        <v>861</v>
      </c>
      <c r="J145" s="69" t="s">
        <v>862</v>
      </c>
      <c r="K145" s="73" t="s">
        <v>1362</v>
      </c>
      <c r="L145" s="2"/>
    </row>
    <row r="146" spans="1:12">
      <c r="A146" s="68">
        <v>135</v>
      </c>
      <c r="B146" s="75" t="s">
        <v>463</v>
      </c>
      <c r="C146" s="70" t="s">
        <v>1363</v>
      </c>
      <c r="D146" s="71"/>
      <c r="E146" s="72"/>
      <c r="F146" s="69"/>
      <c r="G146" s="69"/>
      <c r="H146" s="69"/>
      <c r="I146" s="69"/>
      <c r="J146" s="69"/>
      <c r="K146" s="73"/>
      <c r="L146" s="2"/>
    </row>
    <row r="147" spans="1:12">
      <c r="A147" s="68">
        <v>136</v>
      </c>
      <c r="B147" s="69" t="s">
        <v>317</v>
      </c>
      <c r="C147" s="70" t="s">
        <v>1364</v>
      </c>
      <c r="D147" s="71" t="s">
        <v>55</v>
      </c>
      <c r="E147" s="72" t="s">
        <v>1365</v>
      </c>
      <c r="F147" s="69" t="s">
        <v>1366</v>
      </c>
      <c r="G147" s="69" t="s">
        <v>1056</v>
      </c>
      <c r="H147" s="69" t="s">
        <v>929</v>
      </c>
      <c r="I147" s="69" t="s">
        <v>930</v>
      </c>
      <c r="J147" s="69" t="s">
        <v>1040</v>
      </c>
      <c r="K147" s="73" t="s">
        <v>1367</v>
      </c>
      <c r="L147" s="2"/>
    </row>
    <row r="148" spans="1:12">
      <c r="A148" s="68">
        <f t="shared" si="2"/>
        <v>137</v>
      </c>
      <c r="B148" s="69" t="s">
        <v>319</v>
      </c>
      <c r="C148" s="70" t="s">
        <v>320</v>
      </c>
      <c r="D148" s="71" t="s">
        <v>291</v>
      </c>
      <c r="E148" s="72" t="s">
        <v>1368</v>
      </c>
      <c r="F148" s="69" t="s">
        <v>1053</v>
      </c>
      <c r="G148" s="69" t="s">
        <v>860</v>
      </c>
      <c r="H148" s="69" t="s">
        <v>21</v>
      </c>
      <c r="I148" s="69" t="s">
        <v>861</v>
      </c>
      <c r="J148" s="69" t="s">
        <v>1259</v>
      </c>
      <c r="K148" s="73" t="s">
        <v>1369</v>
      </c>
      <c r="L148" s="2"/>
    </row>
    <row r="149" spans="1:12">
      <c r="A149" s="68">
        <f t="shared" si="2"/>
        <v>138</v>
      </c>
      <c r="B149" s="69" t="s">
        <v>222</v>
      </c>
      <c r="C149" s="70" t="s">
        <v>1370</v>
      </c>
      <c r="D149" s="71" t="s">
        <v>131</v>
      </c>
      <c r="E149" s="72" t="s">
        <v>1371</v>
      </c>
      <c r="F149" s="69" t="s">
        <v>878</v>
      </c>
      <c r="G149" s="69" t="s">
        <v>865</v>
      </c>
      <c r="H149" s="69" t="s">
        <v>21</v>
      </c>
      <c r="I149" s="69" t="s">
        <v>861</v>
      </c>
      <c r="J149" s="69" t="s">
        <v>886</v>
      </c>
      <c r="K149" s="73" t="s">
        <v>1372</v>
      </c>
      <c r="L149" s="2"/>
    </row>
    <row r="150" spans="1:12">
      <c r="A150" s="68">
        <f t="shared" si="2"/>
        <v>139</v>
      </c>
      <c r="B150" s="69" t="s">
        <v>39</v>
      </c>
      <c r="C150" s="70" t="s">
        <v>1373</v>
      </c>
      <c r="D150" s="71" t="s">
        <v>131</v>
      </c>
      <c r="E150" s="72" t="s">
        <v>1374</v>
      </c>
      <c r="F150" s="69" t="s">
        <v>911</v>
      </c>
      <c r="G150" s="69" t="s">
        <v>912</v>
      </c>
      <c r="H150" s="69" t="s">
        <v>21</v>
      </c>
      <c r="I150" s="69" t="s">
        <v>861</v>
      </c>
      <c r="J150" s="69" t="s">
        <v>1375</v>
      </c>
      <c r="K150" s="73" t="s">
        <v>1376</v>
      </c>
      <c r="L150" s="2"/>
    </row>
    <row r="151" spans="1:12">
      <c r="A151" s="68">
        <f t="shared" si="2"/>
        <v>140</v>
      </c>
      <c r="B151" s="69" t="s">
        <v>121</v>
      </c>
      <c r="C151" s="70" t="s">
        <v>122</v>
      </c>
      <c r="D151" s="71" t="s">
        <v>131</v>
      </c>
      <c r="E151" s="72" t="s">
        <v>670</v>
      </c>
      <c r="F151" s="69" t="s">
        <v>1377</v>
      </c>
      <c r="G151" s="69" t="s">
        <v>999</v>
      </c>
      <c r="H151" s="69" t="s">
        <v>21</v>
      </c>
      <c r="I151" s="69" t="s">
        <v>861</v>
      </c>
      <c r="J151" s="69" t="s">
        <v>862</v>
      </c>
      <c r="K151" s="73" t="s">
        <v>1378</v>
      </c>
      <c r="L151" s="2"/>
    </row>
    <row r="152" spans="1:12">
      <c r="A152" s="68">
        <f t="shared" si="2"/>
        <v>141</v>
      </c>
      <c r="B152" s="69" t="s">
        <v>64</v>
      </c>
      <c r="C152" s="74" t="s">
        <v>1379</v>
      </c>
      <c r="D152" s="71" t="s">
        <v>55</v>
      </c>
      <c r="E152" s="113" t="s">
        <v>1380</v>
      </c>
      <c r="F152" s="69" t="s">
        <v>1381</v>
      </c>
      <c r="G152" s="69" t="s">
        <v>1382</v>
      </c>
      <c r="H152" s="77" t="s">
        <v>368</v>
      </c>
      <c r="I152" s="69" t="s">
        <v>368</v>
      </c>
      <c r="J152" s="69" t="s">
        <v>862</v>
      </c>
      <c r="K152" s="78" t="s">
        <v>1383</v>
      </c>
      <c r="L152" s="2"/>
    </row>
    <row r="153" spans="1:12">
      <c r="A153" s="68">
        <f t="shared" si="2"/>
        <v>142</v>
      </c>
      <c r="B153" s="69" t="s">
        <v>52</v>
      </c>
      <c r="C153" s="74" t="s">
        <v>53</v>
      </c>
      <c r="D153" s="71" t="s">
        <v>55</v>
      </c>
      <c r="E153" s="72" t="s">
        <v>1384</v>
      </c>
      <c r="F153" s="69" t="s">
        <v>1385</v>
      </c>
      <c r="G153" s="69" t="s">
        <v>1386</v>
      </c>
      <c r="H153" s="77" t="s">
        <v>191</v>
      </c>
      <c r="I153" s="69" t="s">
        <v>861</v>
      </c>
      <c r="J153" s="69" t="s">
        <v>1387</v>
      </c>
      <c r="K153" s="73" t="s">
        <v>1388</v>
      </c>
      <c r="L153" s="2"/>
    </row>
    <row r="154" spans="1:12">
      <c r="A154" s="68">
        <f t="shared" si="2"/>
        <v>143</v>
      </c>
      <c r="B154" s="69" t="s">
        <v>1389</v>
      </c>
      <c r="C154" s="70" t="s">
        <v>1390</v>
      </c>
      <c r="D154" s="71" t="s">
        <v>55</v>
      </c>
      <c r="E154" s="72" t="s">
        <v>1391</v>
      </c>
      <c r="F154" s="69" t="s">
        <v>1392</v>
      </c>
      <c r="G154" s="69" t="s">
        <v>918</v>
      </c>
      <c r="H154" s="69" t="s">
        <v>21</v>
      </c>
      <c r="I154" s="69" t="s">
        <v>930</v>
      </c>
      <c r="J154" s="69" t="s">
        <v>862</v>
      </c>
      <c r="K154" s="73" t="s">
        <v>1393</v>
      </c>
      <c r="L154" s="2"/>
    </row>
    <row r="155" spans="1:12">
      <c r="A155" s="68">
        <f t="shared" si="2"/>
        <v>144</v>
      </c>
      <c r="B155" s="69" t="s">
        <v>464</v>
      </c>
      <c r="C155" s="70" t="s">
        <v>465</v>
      </c>
      <c r="D155" s="71" t="s">
        <v>291</v>
      </c>
      <c r="E155" s="72" t="s">
        <v>1394</v>
      </c>
      <c r="F155" s="69" t="s">
        <v>1232</v>
      </c>
      <c r="G155" s="69" t="s">
        <v>895</v>
      </c>
      <c r="H155" s="69" t="s">
        <v>21</v>
      </c>
      <c r="I155" s="69" t="s">
        <v>861</v>
      </c>
      <c r="J155" s="69" t="s">
        <v>1233</v>
      </c>
      <c r="K155" s="73" t="s">
        <v>1395</v>
      </c>
      <c r="L155" s="2"/>
    </row>
    <row r="156" spans="1:12">
      <c r="A156" s="68">
        <v>145</v>
      </c>
      <c r="B156" s="75" t="s">
        <v>321</v>
      </c>
      <c r="C156" s="70" t="s">
        <v>322</v>
      </c>
      <c r="D156" s="71" t="s">
        <v>120</v>
      </c>
      <c r="E156" s="72" t="s">
        <v>1396</v>
      </c>
      <c r="F156" s="69"/>
      <c r="G156" s="69"/>
      <c r="H156" s="69"/>
      <c r="I156" s="69"/>
      <c r="J156" s="69"/>
      <c r="K156" s="73"/>
      <c r="L156" s="2"/>
    </row>
    <row r="157" spans="1:12">
      <c r="A157" s="68">
        <v>146</v>
      </c>
      <c r="B157" s="69" t="s">
        <v>466</v>
      </c>
      <c r="C157" s="70" t="s">
        <v>1397</v>
      </c>
      <c r="D157" s="71" t="s">
        <v>131</v>
      </c>
      <c r="E157" s="72" t="s">
        <v>1398</v>
      </c>
      <c r="F157" s="69" t="s">
        <v>1165</v>
      </c>
      <c r="G157" s="69" t="s">
        <v>860</v>
      </c>
      <c r="H157" s="69" t="s">
        <v>929</v>
      </c>
      <c r="I157" s="69" t="s">
        <v>930</v>
      </c>
      <c r="J157" s="69" t="s">
        <v>1166</v>
      </c>
      <c r="K157" s="73" t="s">
        <v>1399</v>
      </c>
      <c r="L157" s="2"/>
    </row>
    <row r="158" spans="1:12">
      <c r="A158" s="68">
        <f t="shared" si="2"/>
        <v>147</v>
      </c>
      <c r="B158" s="69" t="s">
        <v>473</v>
      </c>
      <c r="C158" s="70" t="s">
        <v>1400</v>
      </c>
      <c r="D158" s="71" t="s">
        <v>131</v>
      </c>
      <c r="E158" s="72" t="s">
        <v>1401</v>
      </c>
      <c r="F158" s="69" t="s">
        <v>1402</v>
      </c>
      <c r="G158" s="69" t="s">
        <v>1403</v>
      </c>
      <c r="H158" s="69" t="s">
        <v>929</v>
      </c>
      <c r="I158" s="69" t="s">
        <v>930</v>
      </c>
      <c r="J158" s="69" t="s">
        <v>862</v>
      </c>
      <c r="K158" s="73" t="s">
        <v>1404</v>
      </c>
      <c r="L158" s="2"/>
    </row>
    <row r="159" spans="1:12">
      <c r="A159" s="68">
        <f t="shared" si="2"/>
        <v>148</v>
      </c>
      <c r="B159" s="69" t="s">
        <v>469</v>
      </c>
      <c r="C159" s="70" t="s">
        <v>470</v>
      </c>
      <c r="D159" s="71" t="s">
        <v>120</v>
      </c>
      <c r="E159" s="72" t="s">
        <v>1405</v>
      </c>
      <c r="F159" s="69" t="s">
        <v>1406</v>
      </c>
      <c r="G159" s="69" t="s">
        <v>865</v>
      </c>
      <c r="H159" s="69" t="s">
        <v>21</v>
      </c>
      <c r="I159" s="69" t="s">
        <v>861</v>
      </c>
      <c r="J159" s="69" t="s">
        <v>1407</v>
      </c>
      <c r="K159" s="73" t="s">
        <v>1408</v>
      </c>
      <c r="L159" s="2"/>
    </row>
    <row r="160" spans="1:12">
      <c r="A160" s="68">
        <f t="shared" si="2"/>
        <v>149</v>
      </c>
      <c r="B160" s="69" t="s">
        <v>225</v>
      </c>
      <c r="C160" s="70" t="s">
        <v>226</v>
      </c>
      <c r="D160" s="71" t="s">
        <v>55</v>
      </c>
      <c r="E160" s="72" t="s">
        <v>1409</v>
      </c>
      <c r="F160" s="69" t="s">
        <v>1410</v>
      </c>
      <c r="G160" s="69" t="s">
        <v>1411</v>
      </c>
      <c r="H160" s="69" t="s">
        <v>929</v>
      </c>
      <c r="I160" s="69" t="s">
        <v>930</v>
      </c>
      <c r="J160" s="69" t="s">
        <v>1412</v>
      </c>
      <c r="K160" s="73" t="s">
        <v>1413</v>
      </c>
      <c r="L160" s="2"/>
    </row>
    <row r="161" spans="1:12" ht="15.75" thickBot="1">
      <c r="A161" s="80">
        <f>A160+1</f>
        <v>150</v>
      </c>
      <c r="B161" s="114" t="s">
        <v>471</v>
      </c>
      <c r="C161" s="115" t="s">
        <v>472</v>
      </c>
      <c r="D161" s="107"/>
      <c r="E161" s="116" t="s">
        <v>1414</v>
      </c>
      <c r="F161" s="117" t="s">
        <v>998</v>
      </c>
      <c r="G161" s="117" t="s">
        <v>1223</v>
      </c>
      <c r="H161" s="117" t="s">
        <v>21</v>
      </c>
      <c r="I161" s="117" t="s">
        <v>861</v>
      </c>
      <c r="J161" s="86"/>
      <c r="K161" s="118"/>
      <c r="L161" s="2"/>
    </row>
    <row r="162" spans="1:12" ht="15.75" thickBot="1">
      <c r="A162" s="119"/>
      <c r="B162" s="120"/>
      <c r="C162" s="121"/>
      <c r="D162" s="111"/>
      <c r="E162" s="93"/>
      <c r="F162" s="93"/>
      <c r="G162" s="93"/>
      <c r="H162" s="93"/>
      <c r="I162" s="93"/>
      <c r="J162" s="93"/>
      <c r="K162" s="93"/>
      <c r="L162" s="2"/>
    </row>
    <row r="163" spans="1:12" ht="16.5" thickTop="1" thickBot="1">
      <c r="A163" s="57" t="s">
        <v>515</v>
      </c>
      <c r="B163" s="58" t="s">
        <v>2</v>
      </c>
      <c r="C163" s="58" t="s">
        <v>3</v>
      </c>
      <c r="D163" s="59" t="s">
        <v>848</v>
      </c>
      <c r="E163" s="58" t="s">
        <v>849</v>
      </c>
      <c r="F163" s="58" t="s">
        <v>850</v>
      </c>
      <c r="G163" s="58" t="s">
        <v>851</v>
      </c>
      <c r="H163" s="58" t="s">
        <v>852</v>
      </c>
      <c r="I163" s="58" t="s">
        <v>853</v>
      </c>
      <c r="J163" s="58" t="s">
        <v>854</v>
      </c>
      <c r="K163" s="60" t="s">
        <v>855</v>
      </c>
      <c r="L163" s="2"/>
    </row>
    <row r="164" spans="1:12" ht="15.75" thickTop="1">
      <c r="A164" s="122"/>
      <c r="B164" s="123"/>
      <c r="C164" s="6"/>
      <c r="D164" s="71"/>
      <c r="E164" s="72"/>
      <c r="F164" s="69"/>
      <c r="G164" s="69"/>
      <c r="H164" s="69"/>
      <c r="I164" s="69"/>
      <c r="J164" s="69"/>
      <c r="K164" s="73"/>
      <c r="L164" s="2"/>
    </row>
    <row r="165" spans="1:12">
      <c r="A165" s="68">
        <f>A161+1</f>
        <v>151</v>
      </c>
      <c r="B165" s="69" t="s">
        <v>103</v>
      </c>
      <c r="C165" s="70" t="s">
        <v>104</v>
      </c>
      <c r="D165" s="71" t="s">
        <v>55</v>
      </c>
      <c r="E165" s="72" t="s">
        <v>1415</v>
      </c>
      <c r="F165" s="69" t="s">
        <v>1053</v>
      </c>
      <c r="G165" s="69" t="s">
        <v>860</v>
      </c>
      <c r="H165" s="69" t="s">
        <v>21</v>
      </c>
      <c r="I165" s="69" t="s">
        <v>861</v>
      </c>
      <c r="J165" s="69" t="s">
        <v>862</v>
      </c>
      <c r="K165" s="73" t="s">
        <v>1416</v>
      </c>
      <c r="L165" s="2"/>
    </row>
    <row r="166" spans="1:12">
      <c r="A166" s="68">
        <f t="shared" si="2"/>
        <v>152</v>
      </c>
      <c r="B166" s="75" t="s">
        <v>323</v>
      </c>
      <c r="C166" s="70" t="s">
        <v>324</v>
      </c>
      <c r="D166" s="71"/>
      <c r="E166" s="72" t="s">
        <v>1417</v>
      </c>
      <c r="F166" s="69" t="s">
        <v>1107</v>
      </c>
      <c r="G166" s="69" t="s">
        <v>865</v>
      </c>
      <c r="H166" s="69" t="s">
        <v>21</v>
      </c>
      <c r="I166" s="69" t="s">
        <v>861</v>
      </c>
      <c r="J166" s="69"/>
      <c r="K166" s="78"/>
      <c r="L166" s="2"/>
    </row>
    <row r="167" spans="1:12">
      <c r="A167" s="68">
        <f t="shared" si="2"/>
        <v>153</v>
      </c>
      <c r="B167" s="69" t="s">
        <v>326</v>
      </c>
      <c r="C167" s="70" t="s">
        <v>327</v>
      </c>
      <c r="D167" s="71" t="s">
        <v>55</v>
      </c>
      <c r="E167" s="72" t="s">
        <v>1418</v>
      </c>
      <c r="F167" s="69" t="s">
        <v>860</v>
      </c>
      <c r="G167" s="69" t="s">
        <v>860</v>
      </c>
      <c r="H167" s="69" t="s">
        <v>21</v>
      </c>
      <c r="I167" s="69" t="s">
        <v>861</v>
      </c>
      <c r="J167" s="69" t="s">
        <v>862</v>
      </c>
      <c r="K167" s="73" t="s">
        <v>862</v>
      </c>
      <c r="L167" s="2"/>
    </row>
    <row r="168" spans="1:12">
      <c r="A168" s="68">
        <f t="shared" si="2"/>
        <v>154</v>
      </c>
      <c r="B168" s="75" t="s">
        <v>477</v>
      </c>
      <c r="C168" s="70" t="s">
        <v>478</v>
      </c>
      <c r="D168" s="71" t="s">
        <v>55</v>
      </c>
      <c r="E168" s="72" t="s">
        <v>1419</v>
      </c>
      <c r="F168" s="69" t="s">
        <v>1420</v>
      </c>
      <c r="G168" s="69" t="s">
        <v>1421</v>
      </c>
      <c r="H168" s="69" t="s">
        <v>479</v>
      </c>
      <c r="I168" s="69" t="s">
        <v>861</v>
      </c>
      <c r="J168" s="69"/>
      <c r="K168" s="78" t="s">
        <v>1422</v>
      </c>
      <c r="L168" s="2"/>
    </row>
    <row r="169" spans="1:12">
      <c r="A169" s="68">
        <v>155</v>
      </c>
      <c r="B169" s="75" t="s">
        <v>329</v>
      </c>
      <c r="C169" s="70" t="s">
        <v>330</v>
      </c>
      <c r="D169" s="71"/>
      <c r="E169" s="72" t="s">
        <v>1423</v>
      </c>
      <c r="F169" s="69"/>
      <c r="G169" s="69"/>
      <c r="H169" s="69"/>
      <c r="I169" s="69"/>
      <c r="J169" s="69"/>
      <c r="K169" s="78"/>
      <c r="L169" s="2"/>
    </row>
    <row r="170" spans="1:12">
      <c r="A170" s="68">
        <v>156</v>
      </c>
      <c r="B170" s="75" t="s">
        <v>227</v>
      </c>
      <c r="C170" s="70" t="s">
        <v>228</v>
      </c>
      <c r="D170" s="71"/>
      <c r="E170" s="72" t="s">
        <v>1424</v>
      </c>
      <c r="F170" s="69" t="s">
        <v>1425</v>
      </c>
      <c r="G170" s="69"/>
      <c r="H170" s="69"/>
      <c r="I170" s="69"/>
      <c r="J170" s="69"/>
      <c r="K170" s="78"/>
      <c r="L170" s="2"/>
    </row>
    <row r="171" spans="1:12">
      <c r="A171" s="68">
        <v>157</v>
      </c>
      <c r="B171" s="69" t="s">
        <v>150</v>
      </c>
      <c r="C171" s="74" t="s">
        <v>151</v>
      </c>
      <c r="D171" s="112" t="s">
        <v>862</v>
      </c>
      <c r="E171" s="72" t="s">
        <v>1426</v>
      </c>
      <c r="F171" s="69" t="s">
        <v>1427</v>
      </c>
      <c r="G171" s="69" t="s">
        <v>1428</v>
      </c>
      <c r="H171" s="77" t="s">
        <v>239</v>
      </c>
      <c r="I171" s="69" t="s">
        <v>861</v>
      </c>
      <c r="J171" s="69" t="s">
        <v>1429</v>
      </c>
      <c r="K171" s="73" t="s">
        <v>1430</v>
      </c>
      <c r="L171" s="2"/>
    </row>
    <row r="172" spans="1:12">
      <c r="A172" s="68">
        <v>158</v>
      </c>
      <c r="B172" s="69" t="s">
        <v>1431</v>
      </c>
      <c r="C172" s="70" t="s">
        <v>1432</v>
      </c>
      <c r="D172" s="71" t="s">
        <v>55</v>
      </c>
      <c r="E172" s="72" t="s">
        <v>1433</v>
      </c>
      <c r="F172" s="69" t="s">
        <v>1165</v>
      </c>
      <c r="G172" s="69" t="s">
        <v>860</v>
      </c>
      <c r="H172" s="69" t="s">
        <v>21</v>
      </c>
      <c r="I172" s="69" t="s">
        <v>861</v>
      </c>
      <c r="J172" s="69" t="s">
        <v>862</v>
      </c>
      <c r="K172" s="73" t="s">
        <v>1434</v>
      </c>
      <c r="L172" s="2"/>
    </row>
    <row r="173" spans="1:12">
      <c r="A173" s="68">
        <f t="shared" si="2"/>
        <v>159</v>
      </c>
      <c r="B173" s="69" t="s">
        <v>229</v>
      </c>
      <c r="C173" s="70" t="s">
        <v>1435</v>
      </c>
      <c r="D173" s="71" t="s">
        <v>1436</v>
      </c>
      <c r="E173" s="72" t="s">
        <v>1437</v>
      </c>
      <c r="F173" s="69" t="s">
        <v>1438</v>
      </c>
      <c r="G173" s="69" t="s">
        <v>895</v>
      </c>
      <c r="H173" s="69" t="s">
        <v>21</v>
      </c>
      <c r="I173" s="69" t="s">
        <v>1439</v>
      </c>
      <c r="J173" s="69" t="s">
        <v>1440</v>
      </c>
      <c r="K173" s="73" t="s">
        <v>1441</v>
      </c>
      <c r="L173" s="2"/>
    </row>
    <row r="174" spans="1:12">
      <c r="A174" s="68">
        <f t="shared" si="2"/>
        <v>160</v>
      </c>
      <c r="B174" s="69" t="s">
        <v>1442</v>
      </c>
      <c r="C174" s="70" t="s">
        <v>1443</v>
      </c>
      <c r="D174" s="71" t="s">
        <v>120</v>
      </c>
      <c r="E174" s="72" t="s">
        <v>1444</v>
      </c>
      <c r="F174" s="69" t="s">
        <v>1445</v>
      </c>
      <c r="G174" s="69" t="s">
        <v>999</v>
      </c>
      <c r="H174" s="69" t="s">
        <v>21</v>
      </c>
      <c r="I174" s="69" t="s">
        <v>861</v>
      </c>
      <c r="J174" s="69" t="s">
        <v>862</v>
      </c>
      <c r="K174" s="73" t="s">
        <v>1446</v>
      </c>
      <c r="L174" s="2"/>
    </row>
    <row r="175" spans="1:12">
      <c r="A175" s="68">
        <f t="shared" si="2"/>
        <v>161</v>
      </c>
      <c r="B175" s="69" t="s">
        <v>1447</v>
      </c>
      <c r="C175" s="70" t="s">
        <v>1448</v>
      </c>
      <c r="D175" s="71" t="s">
        <v>120</v>
      </c>
      <c r="E175" s="72" t="s">
        <v>1449</v>
      </c>
      <c r="F175" s="69" t="s">
        <v>878</v>
      </c>
      <c r="G175" s="69" t="s">
        <v>865</v>
      </c>
      <c r="H175" s="69" t="s">
        <v>21</v>
      </c>
      <c r="I175" s="69" t="s">
        <v>861</v>
      </c>
      <c r="J175" s="69" t="s">
        <v>862</v>
      </c>
      <c r="K175" s="73" t="s">
        <v>862</v>
      </c>
      <c r="L175" s="2"/>
    </row>
    <row r="176" spans="1:12">
      <c r="A176" s="68">
        <f t="shared" si="2"/>
        <v>162</v>
      </c>
      <c r="B176" s="69" t="s">
        <v>331</v>
      </c>
      <c r="C176" s="70" t="s">
        <v>1450</v>
      </c>
      <c r="D176" s="71" t="s">
        <v>1451</v>
      </c>
      <c r="E176" s="72" t="s">
        <v>1452</v>
      </c>
      <c r="F176" s="69" t="s">
        <v>1453</v>
      </c>
      <c r="G176" s="69" t="s">
        <v>1015</v>
      </c>
      <c r="H176" s="69" t="s">
        <v>21</v>
      </c>
      <c r="I176" s="69" t="s">
        <v>861</v>
      </c>
      <c r="J176" s="69" t="s">
        <v>862</v>
      </c>
      <c r="K176" s="73" t="s">
        <v>1454</v>
      </c>
      <c r="L176" s="2"/>
    </row>
    <row r="177" spans="1:12">
      <c r="A177" s="68">
        <f t="shared" si="2"/>
        <v>163</v>
      </c>
      <c r="B177" s="69" t="s">
        <v>1455</v>
      </c>
      <c r="C177" s="70" t="s">
        <v>1456</v>
      </c>
      <c r="D177" s="71" t="s">
        <v>55</v>
      </c>
      <c r="E177" s="72" t="s">
        <v>1061</v>
      </c>
      <c r="F177" s="69" t="s">
        <v>1055</v>
      </c>
      <c r="G177" s="69" t="s">
        <v>1056</v>
      </c>
      <c r="H177" s="69" t="s">
        <v>21</v>
      </c>
      <c r="I177" s="69" t="s">
        <v>861</v>
      </c>
      <c r="J177" s="69" t="s">
        <v>862</v>
      </c>
      <c r="K177" s="73" t="s">
        <v>1457</v>
      </c>
      <c r="L177" s="2"/>
    </row>
    <row r="178" spans="1:12">
      <c r="A178" s="68">
        <f t="shared" si="2"/>
        <v>164</v>
      </c>
      <c r="B178" s="69" t="s">
        <v>232</v>
      </c>
      <c r="C178" s="74" t="s">
        <v>1458</v>
      </c>
      <c r="D178" s="71" t="s">
        <v>1436</v>
      </c>
      <c r="E178" s="72" t="s">
        <v>1459</v>
      </c>
      <c r="F178" s="69" t="s">
        <v>1217</v>
      </c>
      <c r="G178" s="69" t="s">
        <v>215</v>
      </c>
      <c r="H178" s="77" t="s">
        <v>215</v>
      </c>
      <c r="I178" s="69" t="s">
        <v>861</v>
      </c>
      <c r="J178" s="69" t="s">
        <v>862</v>
      </c>
      <c r="K178" s="73" t="s">
        <v>1460</v>
      </c>
      <c r="L178" s="2"/>
    </row>
    <row r="179" spans="1:12">
      <c r="A179" s="68">
        <f t="shared" si="2"/>
        <v>165</v>
      </c>
      <c r="B179" s="69" t="s">
        <v>235</v>
      </c>
      <c r="C179" s="70" t="s">
        <v>1461</v>
      </c>
      <c r="D179" s="71" t="s">
        <v>131</v>
      </c>
      <c r="E179" s="72" t="s">
        <v>1462</v>
      </c>
      <c r="F179" s="69" t="s">
        <v>1377</v>
      </c>
      <c r="G179" s="69" t="s">
        <v>215</v>
      </c>
      <c r="H179" s="69" t="s">
        <v>21</v>
      </c>
      <c r="I179" s="69" t="s">
        <v>1103</v>
      </c>
      <c r="J179" s="69" t="s">
        <v>862</v>
      </c>
      <c r="K179" s="73" t="s">
        <v>862</v>
      </c>
      <c r="L179" s="2"/>
    </row>
    <row r="180" spans="1:12" ht="29.25">
      <c r="A180" s="68">
        <f t="shared" si="2"/>
        <v>166</v>
      </c>
      <c r="B180" s="69" t="s">
        <v>137</v>
      </c>
      <c r="C180" s="70" t="s">
        <v>1463</v>
      </c>
      <c r="D180" s="71" t="s">
        <v>55</v>
      </c>
      <c r="E180" s="72" t="s">
        <v>1464</v>
      </c>
      <c r="F180" s="69" t="s">
        <v>1465</v>
      </c>
      <c r="G180" s="69" t="s">
        <v>860</v>
      </c>
      <c r="H180" s="69" t="s">
        <v>21</v>
      </c>
      <c r="I180" s="69" t="s">
        <v>861</v>
      </c>
      <c r="J180" s="69" t="s">
        <v>862</v>
      </c>
      <c r="K180" s="73" t="s">
        <v>1466</v>
      </c>
      <c r="L180" s="2"/>
    </row>
    <row r="181" spans="1:12">
      <c r="A181" s="68">
        <f t="shared" si="2"/>
        <v>167</v>
      </c>
      <c r="B181" s="69" t="s">
        <v>1467</v>
      </c>
      <c r="C181" s="74" t="s">
        <v>1468</v>
      </c>
      <c r="D181" s="71" t="s">
        <v>131</v>
      </c>
      <c r="E181" s="72" t="s">
        <v>1469</v>
      </c>
      <c r="F181" s="69" t="s">
        <v>1470</v>
      </c>
      <c r="G181" s="69" t="s">
        <v>1471</v>
      </c>
      <c r="H181" s="77" t="s">
        <v>1472</v>
      </c>
      <c r="I181" s="69" t="s">
        <v>1473</v>
      </c>
      <c r="J181" s="69" t="s">
        <v>1474</v>
      </c>
      <c r="K181" s="73" t="s">
        <v>1475</v>
      </c>
      <c r="L181" s="2"/>
    </row>
    <row r="182" spans="1:12">
      <c r="A182" s="68">
        <f t="shared" si="2"/>
        <v>168</v>
      </c>
      <c r="B182" s="69" t="s">
        <v>170</v>
      </c>
      <c r="C182" s="70" t="s">
        <v>1476</v>
      </c>
      <c r="D182" s="71" t="s">
        <v>55</v>
      </c>
      <c r="E182" s="72" t="s">
        <v>1477</v>
      </c>
      <c r="F182" s="69" t="s">
        <v>865</v>
      </c>
      <c r="G182" s="69" t="s">
        <v>865</v>
      </c>
      <c r="H182" s="69" t="s">
        <v>21</v>
      </c>
      <c r="I182" s="69" t="s">
        <v>861</v>
      </c>
      <c r="J182" s="69" t="s">
        <v>862</v>
      </c>
      <c r="K182" s="73" t="s">
        <v>1478</v>
      </c>
      <c r="L182" s="2"/>
    </row>
    <row r="183" spans="1:12">
      <c r="A183" s="68">
        <f t="shared" si="2"/>
        <v>169</v>
      </c>
      <c r="B183" s="69" t="s">
        <v>1479</v>
      </c>
      <c r="C183" s="70" t="s">
        <v>1480</v>
      </c>
      <c r="D183" s="71" t="s">
        <v>120</v>
      </c>
      <c r="E183" s="72" t="s">
        <v>1481</v>
      </c>
      <c r="F183" s="69" t="s">
        <v>1053</v>
      </c>
      <c r="G183" s="69" t="s">
        <v>860</v>
      </c>
      <c r="H183" s="69" t="s">
        <v>21</v>
      </c>
      <c r="I183" s="69" t="s">
        <v>861</v>
      </c>
      <c r="J183" s="69" t="s">
        <v>862</v>
      </c>
      <c r="K183" s="73" t="s">
        <v>1482</v>
      </c>
      <c r="L183" s="2"/>
    </row>
    <row r="184" spans="1:12">
      <c r="A184" s="68">
        <f t="shared" si="2"/>
        <v>170</v>
      </c>
      <c r="B184" s="69" t="s">
        <v>1483</v>
      </c>
      <c r="C184" s="70" t="s">
        <v>1484</v>
      </c>
      <c r="D184" s="71" t="s">
        <v>131</v>
      </c>
      <c r="E184" s="72" t="s">
        <v>1485</v>
      </c>
      <c r="F184" s="69" t="s">
        <v>1101</v>
      </c>
      <c r="G184" s="69" t="s">
        <v>918</v>
      </c>
      <c r="H184" s="69" t="s">
        <v>21</v>
      </c>
      <c r="I184" s="69" t="s">
        <v>861</v>
      </c>
      <c r="J184" s="69" t="s">
        <v>862</v>
      </c>
      <c r="K184" s="73" t="s">
        <v>1486</v>
      </c>
      <c r="L184" s="2"/>
    </row>
    <row r="185" spans="1:12">
      <c r="A185" s="68">
        <f t="shared" si="2"/>
        <v>171</v>
      </c>
      <c r="B185" s="69" t="s">
        <v>1487</v>
      </c>
      <c r="C185" s="70" t="s">
        <v>1488</v>
      </c>
      <c r="D185" s="71" t="s">
        <v>291</v>
      </c>
      <c r="E185" s="72" t="s">
        <v>1489</v>
      </c>
      <c r="F185" s="69" t="s">
        <v>1490</v>
      </c>
      <c r="G185" s="69" t="s">
        <v>895</v>
      </c>
      <c r="H185" s="69" t="s">
        <v>21</v>
      </c>
      <c r="I185" s="69" t="s">
        <v>861</v>
      </c>
      <c r="J185" s="69" t="s">
        <v>1440</v>
      </c>
      <c r="K185" s="73" t="s">
        <v>1491</v>
      </c>
      <c r="L185" s="2"/>
    </row>
    <row r="186" spans="1:12">
      <c r="A186" s="68">
        <f t="shared" si="2"/>
        <v>172</v>
      </c>
      <c r="B186" s="69" t="s">
        <v>1492</v>
      </c>
      <c r="C186" s="70" t="s">
        <v>1493</v>
      </c>
      <c r="D186" s="71" t="s">
        <v>1436</v>
      </c>
      <c r="E186" s="124" t="s">
        <v>1494</v>
      </c>
      <c r="F186" s="69" t="s">
        <v>1015</v>
      </c>
      <c r="G186" s="69" t="s">
        <v>1495</v>
      </c>
      <c r="H186" s="69" t="s">
        <v>21</v>
      </c>
      <c r="I186" s="69" t="s">
        <v>861</v>
      </c>
      <c r="J186" s="69" t="s">
        <v>862</v>
      </c>
      <c r="K186" s="73" t="s">
        <v>862</v>
      </c>
      <c r="L186" s="2"/>
    </row>
    <row r="187" spans="1:12">
      <c r="A187" s="68">
        <f t="shared" si="2"/>
        <v>173</v>
      </c>
      <c r="B187" s="69" t="s">
        <v>333</v>
      </c>
      <c r="C187" s="74" t="s">
        <v>1496</v>
      </c>
      <c r="D187" s="112" t="s">
        <v>862</v>
      </c>
      <c r="E187" s="72" t="s">
        <v>1497</v>
      </c>
      <c r="F187" s="69" t="s">
        <v>1053</v>
      </c>
      <c r="G187" s="69" t="s">
        <v>860</v>
      </c>
      <c r="H187" s="69" t="s">
        <v>21</v>
      </c>
      <c r="I187" s="69" t="s">
        <v>861</v>
      </c>
      <c r="J187" s="69" t="s">
        <v>1259</v>
      </c>
      <c r="K187" s="73" t="s">
        <v>1498</v>
      </c>
      <c r="L187" s="2"/>
    </row>
    <row r="188" spans="1:12">
      <c r="A188" s="68">
        <f t="shared" si="2"/>
        <v>174</v>
      </c>
      <c r="B188" s="69" t="s">
        <v>1499</v>
      </c>
      <c r="C188" s="74" t="s">
        <v>1500</v>
      </c>
      <c r="D188" s="71" t="s">
        <v>131</v>
      </c>
      <c r="E188" s="72" t="s">
        <v>1501</v>
      </c>
      <c r="F188" s="69" t="s">
        <v>1502</v>
      </c>
      <c r="G188" s="69" t="s">
        <v>1503</v>
      </c>
      <c r="H188" s="77" t="s">
        <v>234</v>
      </c>
      <c r="I188" s="69" t="s">
        <v>1504</v>
      </c>
      <c r="J188" s="69" t="s">
        <v>1505</v>
      </c>
      <c r="K188" s="73" t="s">
        <v>1506</v>
      </c>
      <c r="L188" s="2"/>
    </row>
    <row r="189" spans="1:12">
      <c r="A189" s="68">
        <f>A188+1</f>
        <v>175</v>
      </c>
      <c r="B189" s="69" t="s">
        <v>268</v>
      </c>
      <c r="C189" s="70" t="s">
        <v>1507</v>
      </c>
      <c r="D189" s="112" t="s">
        <v>131</v>
      </c>
      <c r="E189" s="72" t="s">
        <v>1508</v>
      </c>
      <c r="F189" s="69" t="s">
        <v>1185</v>
      </c>
      <c r="G189" s="69" t="s">
        <v>918</v>
      </c>
      <c r="H189" s="69" t="s">
        <v>21</v>
      </c>
      <c r="I189" s="69" t="s">
        <v>861</v>
      </c>
      <c r="J189" s="69" t="s">
        <v>862</v>
      </c>
      <c r="K189" s="73" t="s">
        <v>862</v>
      </c>
      <c r="L189" s="2"/>
    </row>
    <row r="190" spans="1:12">
      <c r="A190" s="68">
        <f t="shared" si="2"/>
        <v>176</v>
      </c>
      <c r="B190" s="69" t="s">
        <v>1509</v>
      </c>
      <c r="C190" s="70" t="s">
        <v>1510</v>
      </c>
      <c r="D190" s="71" t="s">
        <v>120</v>
      </c>
      <c r="E190" s="72" t="s">
        <v>1511</v>
      </c>
      <c r="F190" s="69" t="s">
        <v>1512</v>
      </c>
      <c r="G190" s="69" t="s">
        <v>1512</v>
      </c>
      <c r="H190" s="69" t="s">
        <v>1512</v>
      </c>
      <c r="I190" s="69" t="s">
        <v>1504</v>
      </c>
      <c r="J190" s="69" t="s">
        <v>862</v>
      </c>
      <c r="K190" s="73" t="s">
        <v>1513</v>
      </c>
      <c r="L190" s="2"/>
    </row>
    <row r="191" spans="1:12">
      <c r="A191" s="68">
        <f t="shared" si="2"/>
        <v>177</v>
      </c>
      <c r="B191" s="69" t="s">
        <v>152</v>
      </c>
      <c r="C191" s="70" t="s">
        <v>153</v>
      </c>
      <c r="D191" s="71" t="s">
        <v>55</v>
      </c>
      <c r="E191" s="72" t="s">
        <v>1514</v>
      </c>
      <c r="F191" s="69" t="s">
        <v>998</v>
      </c>
      <c r="G191" s="69" t="s">
        <v>215</v>
      </c>
      <c r="H191" s="69" t="s">
        <v>21</v>
      </c>
      <c r="I191" s="69" t="s">
        <v>861</v>
      </c>
      <c r="J191" s="69" t="s">
        <v>862</v>
      </c>
      <c r="K191" s="73" t="s">
        <v>1515</v>
      </c>
      <c r="L191" s="2"/>
    </row>
    <row r="192" spans="1:12">
      <c r="A192" s="68">
        <f t="shared" si="2"/>
        <v>178</v>
      </c>
      <c r="B192" s="69" t="s">
        <v>480</v>
      </c>
      <c r="C192" s="70" t="s">
        <v>1516</v>
      </c>
      <c r="D192" s="71" t="s">
        <v>291</v>
      </c>
      <c r="E192" s="72" t="s">
        <v>1517</v>
      </c>
      <c r="F192" s="69" t="s">
        <v>895</v>
      </c>
      <c r="G192" s="69" t="s">
        <v>1518</v>
      </c>
      <c r="H192" s="69" t="s">
        <v>21</v>
      </c>
      <c r="I192" s="69" t="s">
        <v>861</v>
      </c>
      <c r="J192" s="69" t="s">
        <v>1175</v>
      </c>
      <c r="K192" s="73" t="s">
        <v>1519</v>
      </c>
      <c r="L192" s="2"/>
    </row>
    <row r="193" spans="1:12">
      <c r="A193" s="68">
        <f t="shared" si="2"/>
        <v>179</v>
      </c>
      <c r="B193" s="69" t="s">
        <v>1520</v>
      </c>
      <c r="C193" s="70" t="s">
        <v>1521</v>
      </c>
      <c r="D193" s="71" t="s">
        <v>291</v>
      </c>
      <c r="E193" s="72" t="s">
        <v>1522</v>
      </c>
      <c r="F193" s="69" t="s">
        <v>1101</v>
      </c>
      <c r="G193" s="69" t="s">
        <v>918</v>
      </c>
      <c r="H193" s="69" t="s">
        <v>21</v>
      </c>
      <c r="I193" s="69" t="s">
        <v>861</v>
      </c>
      <c r="J193" s="69" t="s">
        <v>1523</v>
      </c>
      <c r="K193" s="73" t="s">
        <v>862</v>
      </c>
      <c r="L193" s="2"/>
    </row>
    <row r="194" spans="1:12">
      <c r="A194" s="68">
        <f t="shared" si="2"/>
        <v>180</v>
      </c>
      <c r="B194" s="69" t="s">
        <v>1524</v>
      </c>
      <c r="C194" s="70" t="s">
        <v>1525</v>
      </c>
      <c r="D194" s="71" t="s">
        <v>1436</v>
      </c>
      <c r="E194" s="72" t="s">
        <v>1526</v>
      </c>
      <c r="F194" s="69" t="s">
        <v>865</v>
      </c>
      <c r="G194" s="69" t="s">
        <v>865</v>
      </c>
      <c r="H194" s="69" t="s">
        <v>21</v>
      </c>
      <c r="I194" s="69" t="s">
        <v>861</v>
      </c>
      <c r="J194" s="69" t="s">
        <v>886</v>
      </c>
      <c r="K194" s="73" t="s">
        <v>1527</v>
      </c>
      <c r="L194" s="2"/>
    </row>
    <row r="195" spans="1:12">
      <c r="A195" s="68">
        <f t="shared" si="2"/>
        <v>181</v>
      </c>
      <c r="B195" s="69" t="s">
        <v>1528</v>
      </c>
      <c r="C195" s="70" t="s">
        <v>1529</v>
      </c>
      <c r="D195" s="71" t="s">
        <v>55</v>
      </c>
      <c r="E195" s="72" t="s">
        <v>1530</v>
      </c>
      <c r="F195" s="69" t="s">
        <v>1445</v>
      </c>
      <c r="G195" s="69" t="s">
        <v>999</v>
      </c>
      <c r="H195" s="69" t="s">
        <v>21</v>
      </c>
      <c r="I195" s="69" t="s">
        <v>861</v>
      </c>
      <c r="J195" s="69" t="s">
        <v>862</v>
      </c>
      <c r="K195" s="73" t="s">
        <v>1531</v>
      </c>
      <c r="L195" s="2"/>
    </row>
    <row r="196" spans="1:12">
      <c r="A196" s="68">
        <f t="shared" si="2"/>
        <v>182</v>
      </c>
      <c r="B196" s="69" t="s">
        <v>1532</v>
      </c>
      <c r="C196" s="70" t="s">
        <v>1533</v>
      </c>
      <c r="D196" s="71" t="s">
        <v>291</v>
      </c>
      <c r="E196" s="72" t="s">
        <v>1534</v>
      </c>
      <c r="F196" s="69" t="s">
        <v>860</v>
      </c>
      <c r="G196" s="69" t="s">
        <v>860</v>
      </c>
      <c r="H196" s="69" t="s">
        <v>21</v>
      </c>
      <c r="I196" s="69" t="s">
        <v>861</v>
      </c>
      <c r="J196" s="69" t="s">
        <v>862</v>
      </c>
      <c r="K196" s="73" t="s">
        <v>1535</v>
      </c>
      <c r="L196" s="2"/>
    </row>
    <row r="197" spans="1:12">
      <c r="A197" s="68">
        <f t="shared" si="2"/>
        <v>183</v>
      </c>
      <c r="B197" s="69" t="s">
        <v>270</v>
      </c>
      <c r="C197" s="70" t="s">
        <v>271</v>
      </c>
      <c r="D197" s="71" t="s">
        <v>1436</v>
      </c>
      <c r="E197" s="72" t="s">
        <v>1536</v>
      </c>
      <c r="F197" s="69" t="s">
        <v>1537</v>
      </c>
      <c r="G197" s="69" t="s">
        <v>1015</v>
      </c>
      <c r="H197" s="69" t="s">
        <v>21</v>
      </c>
      <c r="I197" s="69" t="s">
        <v>861</v>
      </c>
      <c r="J197" s="69" t="s">
        <v>1538</v>
      </c>
      <c r="K197" s="73" t="s">
        <v>862</v>
      </c>
      <c r="L197" s="2"/>
    </row>
    <row r="198" spans="1:12">
      <c r="A198" s="68">
        <f t="shared" si="2"/>
        <v>184</v>
      </c>
      <c r="B198" s="69" t="s">
        <v>341</v>
      </c>
      <c r="C198" s="70" t="s">
        <v>1539</v>
      </c>
      <c r="D198" s="71" t="s">
        <v>120</v>
      </c>
      <c r="E198" s="72" t="s">
        <v>1540</v>
      </c>
      <c r="F198" s="69" t="s">
        <v>1541</v>
      </c>
      <c r="G198" s="69" t="s">
        <v>918</v>
      </c>
      <c r="H198" s="69" t="s">
        <v>21</v>
      </c>
      <c r="I198" s="69" t="s">
        <v>861</v>
      </c>
      <c r="J198" s="69" t="s">
        <v>862</v>
      </c>
      <c r="K198" s="73" t="s">
        <v>1542</v>
      </c>
      <c r="L198" s="2"/>
    </row>
    <row r="199" spans="1:12">
      <c r="A199" s="68">
        <f t="shared" si="2"/>
        <v>185</v>
      </c>
      <c r="B199" s="69" t="s">
        <v>1543</v>
      </c>
      <c r="C199" s="70" t="s">
        <v>1544</v>
      </c>
      <c r="D199" s="71" t="s">
        <v>131</v>
      </c>
      <c r="E199" s="72" t="s">
        <v>1545</v>
      </c>
      <c r="F199" s="69" t="s">
        <v>1185</v>
      </c>
      <c r="G199" s="69" t="s">
        <v>918</v>
      </c>
      <c r="H199" s="69" t="s">
        <v>21</v>
      </c>
      <c r="I199" s="69" t="s">
        <v>861</v>
      </c>
      <c r="J199" s="69" t="s">
        <v>116</v>
      </c>
      <c r="K199" s="73" t="s">
        <v>1546</v>
      </c>
      <c r="L199" s="2"/>
    </row>
    <row r="200" spans="1:12">
      <c r="A200" s="68">
        <f t="shared" si="2"/>
        <v>186</v>
      </c>
      <c r="B200" s="69" t="s">
        <v>343</v>
      </c>
      <c r="C200" s="74" t="s">
        <v>1547</v>
      </c>
      <c r="D200" s="71" t="s">
        <v>291</v>
      </c>
      <c r="E200" s="72" t="s">
        <v>1548</v>
      </c>
      <c r="F200" s="69" t="s">
        <v>1217</v>
      </c>
      <c r="G200" s="69" t="s">
        <v>215</v>
      </c>
      <c r="H200" s="77" t="s">
        <v>215</v>
      </c>
      <c r="I200" s="69" t="s">
        <v>861</v>
      </c>
      <c r="J200" s="69" t="s">
        <v>862</v>
      </c>
      <c r="K200" s="73" t="s">
        <v>1549</v>
      </c>
      <c r="L200" s="2"/>
    </row>
    <row r="201" spans="1:12">
      <c r="A201" s="68">
        <f t="shared" si="2"/>
        <v>187</v>
      </c>
      <c r="B201" s="69" t="s">
        <v>1550</v>
      </c>
      <c r="C201" s="70" t="s">
        <v>1551</v>
      </c>
      <c r="D201" s="112" t="s">
        <v>862</v>
      </c>
      <c r="E201" s="72" t="s">
        <v>1552</v>
      </c>
      <c r="F201" s="69" t="s">
        <v>859</v>
      </c>
      <c r="G201" s="69" t="s">
        <v>860</v>
      </c>
      <c r="H201" s="69" t="s">
        <v>21</v>
      </c>
      <c r="I201" s="69" t="s">
        <v>861</v>
      </c>
      <c r="J201" s="69" t="s">
        <v>862</v>
      </c>
      <c r="K201" s="73" t="s">
        <v>1553</v>
      </c>
      <c r="L201" s="2"/>
    </row>
    <row r="202" spans="1:12">
      <c r="A202" s="68">
        <f t="shared" ref="A202:A209" si="3">A201+1</f>
        <v>188</v>
      </c>
      <c r="B202" s="69" t="s">
        <v>272</v>
      </c>
      <c r="C202" s="70" t="s">
        <v>153</v>
      </c>
      <c r="D202" s="71" t="s">
        <v>55</v>
      </c>
      <c r="E202" s="72" t="s">
        <v>1554</v>
      </c>
      <c r="F202" s="69" t="s">
        <v>1209</v>
      </c>
      <c r="G202" s="69" t="s">
        <v>918</v>
      </c>
      <c r="H202" s="69" t="s">
        <v>21</v>
      </c>
      <c r="I202" s="69" t="s">
        <v>861</v>
      </c>
      <c r="J202" s="69" t="s">
        <v>862</v>
      </c>
      <c r="K202" s="73" t="s">
        <v>1555</v>
      </c>
      <c r="L202" s="2"/>
    </row>
    <row r="203" spans="1:12">
      <c r="A203" s="68">
        <f t="shared" si="3"/>
        <v>189</v>
      </c>
      <c r="B203" s="69" t="s">
        <v>179</v>
      </c>
      <c r="C203" s="70" t="s">
        <v>180</v>
      </c>
      <c r="D203" s="71" t="s">
        <v>120</v>
      </c>
      <c r="E203" s="72" t="s">
        <v>1556</v>
      </c>
      <c r="F203" s="69" t="s">
        <v>1557</v>
      </c>
      <c r="G203" s="69" t="s">
        <v>918</v>
      </c>
      <c r="H203" s="69" t="s">
        <v>21</v>
      </c>
      <c r="I203" s="69" t="s">
        <v>861</v>
      </c>
      <c r="J203" s="69" t="s">
        <v>1210</v>
      </c>
      <c r="K203" s="73" t="s">
        <v>1558</v>
      </c>
      <c r="L203" s="2"/>
    </row>
    <row r="204" spans="1:12">
      <c r="A204" s="68">
        <f t="shared" si="3"/>
        <v>190</v>
      </c>
      <c r="B204" s="69" t="s">
        <v>1559</v>
      </c>
      <c r="C204" s="70" t="s">
        <v>1560</v>
      </c>
      <c r="D204" s="71" t="s">
        <v>55</v>
      </c>
      <c r="E204" s="72" t="s">
        <v>1561</v>
      </c>
      <c r="F204" s="69" t="s">
        <v>1053</v>
      </c>
      <c r="G204" s="69" t="s">
        <v>860</v>
      </c>
      <c r="H204" s="69" t="s">
        <v>21</v>
      </c>
      <c r="I204" s="69" t="s">
        <v>861</v>
      </c>
      <c r="J204" s="69" t="s">
        <v>862</v>
      </c>
      <c r="K204" s="73" t="s">
        <v>1562</v>
      </c>
      <c r="L204" s="2"/>
    </row>
    <row r="205" spans="1:12">
      <c r="A205" s="68">
        <f t="shared" si="3"/>
        <v>191</v>
      </c>
      <c r="B205" s="69" t="s">
        <v>336</v>
      </c>
      <c r="C205" s="74" t="s">
        <v>337</v>
      </c>
      <c r="D205" s="71" t="s">
        <v>55</v>
      </c>
      <c r="E205" s="72" t="s">
        <v>1563</v>
      </c>
      <c r="F205" s="69" t="s">
        <v>998</v>
      </c>
      <c r="G205" s="69" t="s">
        <v>999</v>
      </c>
      <c r="H205" s="77" t="s">
        <v>215</v>
      </c>
      <c r="I205" s="69" t="s">
        <v>861</v>
      </c>
      <c r="J205" s="69" t="s">
        <v>116</v>
      </c>
      <c r="K205" s="73" t="s">
        <v>1564</v>
      </c>
      <c r="L205" s="2"/>
    </row>
    <row r="206" spans="1:12">
      <c r="A206" s="68">
        <f t="shared" si="3"/>
        <v>192</v>
      </c>
      <c r="B206" s="69" t="s">
        <v>339</v>
      </c>
      <c r="C206" s="70" t="s">
        <v>340</v>
      </c>
      <c r="D206" s="71" t="s">
        <v>120</v>
      </c>
      <c r="E206" s="72" t="s">
        <v>1565</v>
      </c>
      <c r="F206" s="69" t="s">
        <v>1053</v>
      </c>
      <c r="G206" s="69" t="s">
        <v>860</v>
      </c>
      <c r="H206" s="69" t="s">
        <v>21</v>
      </c>
      <c r="I206" s="69" t="s">
        <v>861</v>
      </c>
      <c r="J206" s="69" t="s">
        <v>1259</v>
      </c>
      <c r="K206" s="73" t="s">
        <v>1566</v>
      </c>
      <c r="L206" s="2"/>
    </row>
    <row r="207" spans="1:12">
      <c r="A207" s="68">
        <v>193</v>
      </c>
      <c r="B207" s="75" t="s">
        <v>484</v>
      </c>
      <c r="C207" s="70" t="s">
        <v>485</v>
      </c>
      <c r="D207" s="71" t="s">
        <v>55</v>
      </c>
      <c r="E207" s="56" t="s">
        <v>1567</v>
      </c>
      <c r="F207" s="69" t="s">
        <v>1568</v>
      </c>
      <c r="G207" s="69" t="s">
        <v>1056</v>
      </c>
      <c r="H207" s="69"/>
      <c r="I207" s="69"/>
      <c r="J207" s="69"/>
      <c r="K207" s="73"/>
      <c r="L207" s="2"/>
    </row>
    <row r="208" spans="1:12">
      <c r="A208" s="68">
        <f>A206+1</f>
        <v>193</v>
      </c>
      <c r="B208" s="69" t="s">
        <v>273</v>
      </c>
      <c r="C208" s="70" t="s">
        <v>1569</v>
      </c>
      <c r="D208" s="71" t="s">
        <v>1436</v>
      </c>
      <c r="E208" s="72" t="s">
        <v>1570</v>
      </c>
      <c r="F208" s="69" t="s">
        <v>1571</v>
      </c>
      <c r="G208" s="69" t="s">
        <v>860</v>
      </c>
      <c r="H208" s="69" t="s">
        <v>21</v>
      </c>
      <c r="I208" s="69" t="s">
        <v>861</v>
      </c>
      <c r="J208" s="69" t="s">
        <v>862</v>
      </c>
      <c r="K208" s="73" t="s">
        <v>1572</v>
      </c>
      <c r="L208" s="2"/>
    </row>
    <row r="209" spans="1:16" ht="15" customHeight="1">
      <c r="A209" s="68">
        <f t="shared" si="3"/>
        <v>194</v>
      </c>
      <c r="B209" s="69" t="s">
        <v>482</v>
      </c>
      <c r="C209" s="74" t="s">
        <v>1573</v>
      </c>
      <c r="D209" s="112" t="s">
        <v>862</v>
      </c>
      <c r="E209" s="72" t="s">
        <v>1574</v>
      </c>
      <c r="F209" s="69" t="s">
        <v>1575</v>
      </c>
      <c r="G209" s="69" t="s">
        <v>1576</v>
      </c>
      <c r="H209" s="77" t="s">
        <v>404</v>
      </c>
      <c r="I209" s="69" t="s">
        <v>861</v>
      </c>
      <c r="J209" s="69" t="s">
        <v>862</v>
      </c>
      <c r="K209" s="73" t="s">
        <v>1577</v>
      </c>
      <c r="L209" s="2"/>
    </row>
    <row r="210" spans="1:16" ht="15" customHeight="1">
      <c r="A210" s="68">
        <v>195</v>
      </c>
      <c r="B210" s="125" t="s">
        <v>345</v>
      </c>
      <c r="C210" s="126" t="s">
        <v>346</v>
      </c>
      <c r="D210" s="112"/>
      <c r="E210" s="127" t="s">
        <v>1578</v>
      </c>
      <c r="F210" s="69"/>
      <c r="G210" s="69"/>
      <c r="H210" s="77"/>
      <c r="I210" s="69"/>
      <c r="J210" s="69"/>
      <c r="K210" s="73"/>
      <c r="L210" s="2"/>
    </row>
    <row r="211" spans="1:16" ht="15" customHeight="1">
      <c r="A211" s="68">
        <v>196</v>
      </c>
      <c r="B211" s="128" t="s">
        <v>444</v>
      </c>
      <c r="C211" s="129" t="s">
        <v>445</v>
      </c>
      <c r="D211" s="112"/>
      <c r="E211" s="130" t="s">
        <v>446</v>
      </c>
      <c r="F211" s="69" t="s">
        <v>895</v>
      </c>
      <c r="G211" s="69"/>
      <c r="H211" s="77" t="s">
        <v>21</v>
      </c>
      <c r="I211" s="69" t="s">
        <v>861</v>
      </c>
      <c r="J211" s="69"/>
      <c r="K211" s="73"/>
      <c r="L211" s="2"/>
    </row>
    <row r="212" spans="1:16" ht="15" customHeight="1">
      <c r="A212" s="68">
        <f>A211+1</f>
        <v>197</v>
      </c>
      <c r="B212" s="69" t="s">
        <v>486</v>
      </c>
      <c r="C212" s="70" t="s">
        <v>1579</v>
      </c>
      <c r="D212" s="71" t="s">
        <v>120</v>
      </c>
      <c r="E212" s="72" t="s">
        <v>1580</v>
      </c>
      <c r="F212" s="69" t="s">
        <v>1581</v>
      </c>
      <c r="G212" s="69" t="s">
        <v>1089</v>
      </c>
      <c r="H212" s="69" t="s">
        <v>21</v>
      </c>
      <c r="I212" s="69" t="s">
        <v>861</v>
      </c>
      <c r="J212" s="69" t="s">
        <v>862</v>
      </c>
      <c r="K212" s="73" t="s">
        <v>1582</v>
      </c>
      <c r="L212" s="2"/>
    </row>
    <row r="213" spans="1:16" ht="15" customHeight="1">
      <c r="A213" s="68">
        <f t="shared" ref="A213:A275" si="4">A212+1</f>
        <v>198</v>
      </c>
      <c r="B213" s="131" t="s">
        <v>1583</v>
      </c>
      <c r="C213" s="132" t="s">
        <v>1584</v>
      </c>
      <c r="D213" s="133" t="s">
        <v>55</v>
      </c>
      <c r="E213" s="134" t="s">
        <v>1585</v>
      </c>
      <c r="F213" s="135" t="s">
        <v>1586</v>
      </c>
      <c r="G213" s="135" t="s">
        <v>1586</v>
      </c>
      <c r="H213" s="135" t="s">
        <v>26</v>
      </c>
      <c r="I213" s="135" t="s">
        <v>1036</v>
      </c>
      <c r="J213" s="135"/>
      <c r="K213" s="136" t="s">
        <v>1587</v>
      </c>
      <c r="L213" s="3"/>
      <c r="M213" s="5"/>
      <c r="N213" s="5"/>
      <c r="O213" s="5"/>
      <c r="P213" s="5"/>
    </row>
    <row r="214" spans="1:16" ht="15" customHeight="1" thickBot="1">
      <c r="A214" s="80">
        <f t="shared" si="4"/>
        <v>199</v>
      </c>
      <c r="B214" s="137" t="s">
        <v>347</v>
      </c>
      <c r="C214" s="138" t="s">
        <v>348</v>
      </c>
      <c r="D214" s="139" t="s">
        <v>55</v>
      </c>
      <c r="E214" s="140" t="s">
        <v>1588</v>
      </c>
      <c r="F214" s="141"/>
      <c r="G214" s="141"/>
      <c r="H214" s="141"/>
      <c r="I214" s="141"/>
      <c r="J214" s="141"/>
      <c r="K214" s="142"/>
      <c r="L214" s="2"/>
    </row>
    <row r="215" spans="1:16" ht="15" customHeight="1" thickBot="1">
      <c r="A215" s="88"/>
      <c r="B215" s="120"/>
      <c r="C215" s="121"/>
      <c r="D215" s="111"/>
      <c r="E215" s="93"/>
      <c r="F215" s="93"/>
      <c r="G215" s="93"/>
      <c r="H215" s="93"/>
      <c r="I215" s="93"/>
      <c r="J215" s="93"/>
      <c r="K215" s="93"/>
      <c r="L215" s="2"/>
    </row>
    <row r="216" spans="1:16" ht="30" customHeight="1" thickTop="1" thickBot="1">
      <c r="A216" s="57" t="s">
        <v>515</v>
      </c>
      <c r="B216" s="58" t="s">
        <v>2</v>
      </c>
      <c r="C216" s="58" t="s">
        <v>3</v>
      </c>
      <c r="D216" s="59" t="s">
        <v>848</v>
      </c>
      <c r="E216" s="58" t="s">
        <v>849</v>
      </c>
      <c r="F216" s="58" t="s">
        <v>850</v>
      </c>
      <c r="G216" s="58" t="s">
        <v>851</v>
      </c>
      <c r="H216" s="58" t="s">
        <v>852</v>
      </c>
      <c r="I216" s="58" t="s">
        <v>853</v>
      </c>
      <c r="J216" s="58" t="s">
        <v>854</v>
      </c>
      <c r="K216" s="60" t="s">
        <v>855</v>
      </c>
      <c r="L216" s="2"/>
    </row>
    <row r="217" spans="1:16" ht="15" customHeight="1" thickTop="1">
      <c r="A217" s="68"/>
      <c r="B217" s="123"/>
      <c r="C217" s="6"/>
      <c r="D217" s="71"/>
      <c r="E217" s="72"/>
      <c r="F217" s="69"/>
      <c r="G217" s="69"/>
      <c r="H217" s="69"/>
      <c r="I217" s="69"/>
      <c r="J217" s="69"/>
      <c r="K217" s="73"/>
      <c r="L217" s="2"/>
    </row>
    <row r="218" spans="1:16" ht="15" customHeight="1">
      <c r="A218" s="68">
        <f>A214+1</f>
        <v>200</v>
      </c>
      <c r="B218" s="75" t="s">
        <v>350</v>
      </c>
      <c r="C218" s="70" t="s">
        <v>351</v>
      </c>
      <c r="D218" s="71" t="s">
        <v>291</v>
      </c>
      <c r="E218" s="72" t="s">
        <v>1589</v>
      </c>
      <c r="F218" s="69" t="s">
        <v>1053</v>
      </c>
      <c r="G218" s="69" t="s">
        <v>860</v>
      </c>
      <c r="H218" s="69" t="s">
        <v>21</v>
      </c>
      <c r="I218" s="69" t="s">
        <v>861</v>
      </c>
      <c r="J218" s="69"/>
      <c r="K218" s="73"/>
      <c r="L218" s="2"/>
    </row>
    <row r="219" spans="1:16" ht="15" customHeight="1">
      <c r="A219" s="68">
        <f t="shared" si="4"/>
        <v>201</v>
      </c>
      <c r="B219" s="69" t="s">
        <v>123</v>
      </c>
      <c r="C219" s="70" t="s">
        <v>124</v>
      </c>
      <c r="D219" s="71" t="s">
        <v>120</v>
      </c>
      <c r="E219" s="72" t="s">
        <v>1590</v>
      </c>
      <c r="F219" s="69" t="s">
        <v>860</v>
      </c>
      <c r="G219" s="69" t="s">
        <v>860</v>
      </c>
      <c r="H219" s="69" t="s">
        <v>21</v>
      </c>
      <c r="I219" s="69" t="s">
        <v>861</v>
      </c>
      <c r="J219" s="69" t="s">
        <v>875</v>
      </c>
      <c r="K219" s="73" t="s">
        <v>1591</v>
      </c>
      <c r="L219" s="2"/>
    </row>
    <row r="220" spans="1:16" ht="15" customHeight="1">
      <c r="A220" s="68">
        <f t="shared" si="4"/>
        <v>202</v>
      </c>
      <c r="B220" s="69" t="s">
        <v>1592</v>
      </c>
      <c r="C220" s="70" t="s">
        <v>1593</v>
      </c>
      <c r="D220" s="71" t="s">
        <v>291</v>
      </c>
      <c r="E220" s="72" t="s">
        <v>1594</v>
      </c>
      <c r="F220" s="69" t="s">
        <v>1595</v>
      </c>
      <c r="G220" s="69" t="s">
        <v>860</v>
      </c>
      <c r="H220" s="69" t="s">
        <v>21</v>
      </c>
      <c r="I220" s="69" t="s">
        <v>861</v>
      </c>
      <c r="J220" s="69" t="s">
        <v>862</v>
      </c>
      <c r="K220" s="73" t="s">
        <v>862</v>
      </c>
      <c r="L220" s="2"/>
    </row>
    <row r="221" spans="1:16" ht="15" customHeight="1">
      <c r="A221" s="68">
        <f t="shared" si="4"/>
        <v>203</v>
      </c>
      <c r="B221" s="75" t="s">
        <v>488</v>
      </c>
      <c r="C221" s="70" t="s">
        <v>489</v>
      </c>
      <c r="D221" s="71" t="s">
        <v>55</v>
      </c>
      <c r="E221" s="72" t="s">
        <v>1596</v>
      </c>
      <c r="F221" s="69" t="s">
        <v>859</v>
      </c>
      <c r="G221" s="69" t="s">
        <v>1597</v>
      </c>
      <c r="H221" s="69" t="s">
        <v>21</v>
      </c>
      <c r="I221" s="69" t="s">
        <v>861</v>
      </c>
      <c r="J221" s="69"/>
      <c r="K221" s="73" t="s">
        <v>1598</v>
      </c>
      <c r="L221" s="2"/>
    </row>
    <row r="222" spans="1:16" ht="15" customHeight="1">
      <c r="A222" s="68">
        <f t="shared" si="4"/>
        <v>204</v>
      </c>
      <c r="B222" s="69" t="s">
        <v>490</v>
      </c>
      <c r="C222" s="70" t="s">
        <v>491</v>
      </c>
      <c r="D222" s="71" t="s">
        <v>120</v>
      </c>
      <c r="E222" s="72" t="s">
        <v>1599</v>
      </c>
      <c r="F222" s="69" t="s">
        <v>1101</v>
      </c>
      <c r="G222" s="69" t="s">
        <v>918</v>
      </c>
      <c r="H222" s="69" t="s">
        <v>21</v>
      </c>
      <c r="I222" s="69" t="s">
        <v>861</v>
      </c>
      <c r="J222" s="69" t="s">
        <v>862</v>
      </c>
      <c r="K222" s="73" t="s">
        <v>1600</v>
      </c>
      <c r="L222" s="2"/>
    </row>
    <row r="223" spans="1:16" ht="15" customHeight="1">
      <c r="A223" s="68">
        <f t="shared" si="4"/>
        <v>205</v>
      </c>
      <c r="B223" s="69" t="s">
        <v>353</v>
      </c>
      <c r="C223" s="70" t="s">
        <v>1601</v>
      </c>
      <c r="D223" s="71" t="s">
        <v>1451</v>
      </c>
      <c r="E223" s="72" t="s">
        <v>1602</v>
      </c>
      <c r="F223" s="69" t="s">
        <v>901</v>
      </c>
      <c r="G223" s="69" t="s">
        <v>860</v>
      </c>
      <c r="H223" s="69" t="s">
        <v>21</v>
      </c>
      <c r="I223" s="69" t="s">
        <v>930</v>
      </c>
      <c r="J223" s="69" t="s">
        <v>862</v>
      </c>
      <c r="K223" s="73" t="s">
        <v>862</v>
      </c>
      <c r="L223" s="2"/>
    </row>
    <row r="224" spans="1:16" ht="15" customHeight="1">
      <c r="A224" s="68">
        <f t="shared" si="4"/>
        <v>206</v>
      </c>
      <c r="B224" s="69" t="s">
        <v>192</v>
      </c>
      <c r="C224" s="70" t="s">
        <v>1603</v>
      </c>
      <c r="D224" s="71" t="s">
        <v>1604</v>
      </c>
      <c r="E224" s="72" t="s">
        <v>1605</v>
      </c>
      <c r="F224" s="69" t="s">
        <v>901</v>
      </c>
      <c r="G224" s="69" t="s">
        <v>1129</v>
      </c>
      <c r="H224" s="69" t="s">
        <v>929</v>
      </c>
      <c r="I224" s="69" t="s">
        <v>930</v>
      </c>
      <c r="J224" s="69" t="s">
        <v>1606</v>
      </c>
      <c r="K224" s="73" t="s">
        <v>1607</v>
      </c>
      <c r="L224" s="2"/>
    </row>
    <row r="225" spans="1:12">
      <c r="A225" s="143">
        <v>207</v>
      </c>
      <c r="B225" s="144" t="s">
        <v>237</v>
      </c>
      <c r="C225" s="145" t="s">
        <v>238</v>
      </c>
      <c r="D225" s="133"/>
      <c r="E225" s="72" t="s">
        <v>1426</v>
      </c>
      <c r="F225" s="135" t="s">
        <v>1608</v>
      </c>
      <c r="G225" s="135" t="s">
        <v>1609</v>
      </c>
      <c r="H225" s="135"/>
      <c r="I225" s="135"/>
      <c r="J225" s="135"/>
      <c r="K225" s="146"/>
      <c r="L225" s="147"/>
    </row>
    <row r="226" spans="1:12">
      <c r="A226" s="68">
        <v>208</v>
      </c>
      <c r="B226" s="69" t="s">
        <v>56</v>
      </c>
      <c r="C226" s="74" t="s">
        <v>1610</v>
      </c>
      <c r="D226" s="71" t="s">
        <v>55</v>
      </c>
      <c r="E226" s="148" t="s">
        <v>1611</v>
      </c>
      <c r="F226" s="69" t="s">
        <v>1612</v>
      </c>
      <c r="G226" s="69" t="s">
        <v>1613</v>
      </c>
      <c r="H226" s="77" t="s">
        <v>1614</v>
      </c>
      <c r="I226" s="69" t="s">
        <v>930</v>
      </c>
      <c r="J226" s="69" t="s">
        <v>862</v>
      </c>
      <c r="K226" s="73" t="s">
        <v>1615</v>
      </c>
      <c r="L226" s="2"/>
    </row>
    <row r="227" spans="1:12">
      <c r="A227" s="68">
        <f t="shared" si="4"/>
        <v>209</v>
      </c>
      <c r="B227" s="69" t="s">
        <v>167</v>
      </c>
      <c r="C227" s="70" t="s">
        <v>168</v>
      </c>
      <c r="D227" s="71" t="s">
        <v>55</v>
      </c>
      <c r="E227" s="113" t="s">
        <v>1616</v>
      </c>
      <c r="F227" s="69" t="s">
        <v>1055</v>
      </c>
      <c r="G227" s="69" t="s">
        <v>1056</v>
      </c>
      <c r="H227" s="69" t="s">
        <v>21</v>
      </c>
      <c r="I227" s="69" t="s">
        <v>861</v>
      </c>
      <c r="J227" s="69" t="s">
        <v>862</v>
      </c>
      <c r="K227" s="73" t="s">
        <v>1617</v>
      </c>
      <c r="L227" s="2"/>
    </row>
    <row r="228" spans="1:12">
      <c r="A228" s="68">
        <f t="shared" si="4"/>
        <v>210</v>
      </c>
      <c r="B228" s="75" t="s">
        <v>355</v>
      </c>
      <c r="C228" s="70" t="s">
        <v>356</v>
      </c>
      <c r="D228" s="71"/>
      <c r="E228" s="113" t="s">
        <v>1618</v>
      </c>
      <c r="F228" s="69" t="s">
        <v>215</v>
      </c>
      <c r="G228" s="69" t="s">
        <v>215</v>
      </c>
      <c r="H228" s="69" t="s">
        <v>1619</v>
      </c>
      <c r="I228" s="69" t="s">
        <v>861</v>
      </c>
      <c r="J228" s="69"/>
      <c r="K228" s="78" t="s">
        <v>1620</v>
      </c>
      <c r="L228" s="2"/>
    </row>
    <row r="229" spans="1:12">
      <c r="A229" s="68">
        <f t="shared" si="4"/>
        <v>211</v>
      </c>
      <c r="B229" s="69" t="s">
        <v>493</v>
      </c>
      <c r="C229" s="70" t="s">
        <v>494</v>
      </c>
      <c r="D229" s="71" t="s">
        <v>131</v>
      </c>
      <c r="E229" s="72" t="s">
        <v>1621</v>
      </c>
      <c r="F229" s="69" t="s">
        <v>1101</v>
      </c>
      <c r="G229" s="69" t="s">
        <v>918</v>
      </c>
      <c r="H229" s="69" t="s">
        <v>21</v>
      </c>
      <c r="I229" s="69" t="s">
        <v>861</v>
      </c>
      <c r="J229" s="69" t="s">
        <v>1523</v>
      </c>
      <c r="K229" s="73" t="s">
        <v>1622</v>
      </c>
      <c r="L229" s="2"/>
    </row>
    <row r="230" spans="1:12">
      <c r="A230" s="68">
        <f t="shared" si="4"/>
        <v>212</v>
      </c>
      <c r="B230" s="69" t="s">
        <v>240</v>
      </c>
      <c r="C230" s="70" t="s">
        <v>241</v>
      </c>
      <c r="D230" s="112" t="s">
        <v>862</v>
      </c>
      <c r="E230" s="72" t="s">
        <v>1623</v>
      </c>
      <c r="F230" s="69" t="s">
        <v>1624</v>
      </c>
      <c r="G230" s="69" t="s">
        <v>1056</v>
      </c>
      <c r="H230" s="69" t="s">
        <v>21</v>
      </c>
      <c r="I230" s="69" t="s">
        <v>861</v>
      </c>
      <c r="J230" s="69" t="s">
        <v>862</v>
      </c>
      <c r="K230" s="73" t="s">
        <v>1625</v>
      </c>
      <c r="L230" s="2"/>
    </row>
    <row r="231" spans="1:12">
      <c r="A231" s="68">
        <f t="shared" si="4"/>
        <v>213</v>
      </c>
      <c r="B231" s="69" t="s">
        <v>357</v>
      </c>
      <c r="C231" s="70" t="s">
        <v>1626</v>
      </c>
      <c r="D231" s="71" t="s">
        <v>1436</v>
      </c>
      <c r="E231" s="72" t="s">
        <v>1627</v>
      </c>
      <c r="F231" s="69" t="s">
        <v>859</v>
      </c>
      <c r="G231" s="69" t="s">
        <v>1628</v>
      </c>
      <c r="H231" s="69" t="s">
        <v>21</v>
      </c>
      <c r="I231" s="69" t="s">
        <v>861</v>
      </c>
      <c r="J231" s="69" t="s">
        <v>862</v>
      </c>
      <c r="K231" s="73" t="s">
        <v>1629</v>
      </c>
      <c r="L231" s="2"/>
    </row>
    <row r="232" spans="1:12">
      <c r="A232" s="68">
        <f t="shared" si="4"/>
        <v>214</v>
      </c>
      <c r="B232" s="69" t="s">
        <v>359</v>
      </c>
      <c r="C232" s="70" t="s">
        <v>1630</v>
      </c>
      <c r="D232" s="71" t="s">
        <v>1451</v>
      </c>
      <c r="E232" s="72" t="s">
        <v>1631</v>
      </c>
      <c r="F232" s="69" t="s">
        <v>1053</v>
      </c>
      <c r="G232" s="69" t="s">
        <v>860</v>
      </c>
      <c r="H232" s="69" t="s">
        <v>21</v>
      </c>
      <c r="I232" s="69" t="s">
        <v>930</v>
      </c>
      <c r="J232" s="69" t="s">
        <v>862</v>
      </c>
      <c r="K232" s="73" t="s">
        <v>862</v>
      </c>
      <c r="L232" s="2"/>
    </row>
    <row r="233" spans="1:12">
      <c r="A233" s="68">
        <v>215</v>
      </c>
      <c r="B233" s="75" t="s">
        <v>361</v>
      </c>
      <c r="C233" s="70" t="s">
        <v>362</v>
      </c>
      <c r="D233" s="71"/>
      <c r="E233" s="72"/>
      <c r="F233" s="69"/>
      <c r="G233" s="69"/>
      <c r="H233" s="69"/>
      <c r="I233" s="69"/>
      <c r="J233" s="69"/>
      <c r="K233" s="73"/>
      <c r="L233" s="2"/>
    </row>
    <row r="234" spans="1:12">
      <c r="A234" s="68">
        <v>216</v>
      </c>
      <c r="B234" s="69" t="s">
        <v>363</v>
      </c>
      <c r="C234" s="70" t="s">
        <v>1632</v>
      </c>
      <c r="D234" s="71" t="s">
        <v>120</v>
      </c>
      <c r="E234" s="72" t="s">
        <v>1633</v>
      </c>
      <c r="F234" s="69" t="s">
        <v>998</v>
      </c>
      <c r="G234" s="69" t="s">
        <v>999</v>
      </c>
      <c r="H234" s="69" t="s">
        <v>21</v>
      </c>
      <c r="I234" s="69" t="s">
        <v>861</v>
      </c>
      <c r="J234" s="69" t="s">
        <v>862</v>
      </c>
      <c r="K234" s="73" t="s">
        <v>1634</v>
      </c>
      <c r="L234" s="2"/>
    </row>
    <row r="235" spans="1:12">
      <c r="A235" s="68">
        <f t="shared" si="4"/>
        <v>217</v>
      </c>
      <c r="B235" s="75" t="s">
        <v>366</v>
      </c>
      <c r="C235" s="70" t="s">
        <v>367</v>
      </c>
      <c r="D235" s="71" t="s">
        <v>131</v>
      </c>
      <c r="E235" s="72" t="s">
        <v>1635</v>
      </c>
      <c r="F235" s="69" t="s">
        <v>1101</v>
      </c>
      <c r="G235" s="69" t="s">
        <v>918</v>
      </c>
      <c r="H235" s="69" t="s">
        <v>21</v>
      </c>
      <c r="I235" s="69" t="s">
        <v>861</v>
      </c>
      <c r="J235" s="69" t="s">
        <v>1523</v>
      </c>
      <c r="K235" s="73"/>
      <c r="L235" s="2"/>
    </row>
    <row r="236" spans="1:12">
      <c r="A236" s="68">
        <f t="shared" si="4"/>
        <v>218</v>
      </c>
      <c r="B236" s="69" t="s">
        <v>369</v>
      </c>
      <c r="C236" s="74" t="s">
        <v>370</v>
      </c>
      <c r="D236" s="71" t="s">
        <v>55</v>
      </c>
      <c r="E236" s="72" t="s">
        <v>1636</v>
      </c>
      <c r="F236" s="69" t="s">
        <v>862</v>
      </c>
      <c r="G236" s="69" t="s">
        <v>862</v>
      </c>
      <c r="H236" s="77" t="s">
        <v>147</v>
      </c>
      <c r="I236" s="69" t="s">
        <v>861</v>
      </c>
      <c r="J236" s="69" t="s">
        <v>862</v>
      </c>
      <c r="K236" s="73" t="s">
        <v>1637</v>
      </c>
      <c r="L236" s="2"/>
    </row>
    <row r="237" spans="1:12">
      <c r="A237" s="68">
        <f t="shared" si="4"/>
        <v>219</v>
      </c>
      <c r="B237" s="75" t="s">
        <v>495</v>
      </c>
      <c r="C237" s="70" t="s">
        <v>496</v>
      </c>
      <c r="D237" s="71" t="s">
        <v>120</v>
      </c>
      <c r="E237" s="72" t="s">
        <v>1638</v>
      </c>
      <c r="F237" s="69" t="s">
        <v>1053</v>
      </c>
      <c r="G237" s="69" t="s">
        <v>1639</v>
      </c>
      <c r="H237" s="77" t="s">
        <v>21</v>
      </c>
      <c r="I237" s="69" t="s">
        <v>861</v>
      </c>
      <c r="J237" s="69"/>
      <c r="K237" s="78" t="s">
        <v>1640</v>
      </c>
      <c r="L237" s="2"/>
    </row>
    <row r="238" spans="1:12" ht="29.25">
      <c r="A238" s="68">
        <f t="shared" si="4"/>
        <v>220</v>
      </c>
      <c r="B238" s="75" t="s">
        <v>371</v>
      </c>
      <c r="C238" s="70" t="s">
        <v>372</v>
      </c>
      <c r="D238" s="71" t="s">
        <v>55</v>
      </c>
      <c r="E238" s="72" t="s">
        <v>1641</v>
      </c>
      <c r="F238" s="69" t="s">
        <v>1642</v>
      </c>
      <c r="G238" s="69" t="s">
        <v>1643</v>
      </c>
      <c r="H238" s="77" t="s">
        <v>242</v>
      </c>
      <c r="I238" s="69" t="s">
        <v>861</v>
      </c>
      <c r="J238" s="69">
        <v>59371</v>
      </c>
      <c r="K238" s="78" t="s">
        <v>1644</v>
      </c>
      <c r="L238" s="2"/>
    </row>
    <row r="239" spans="1:12">
      <c r="A239" s="68">
        <f t="shared" si="4"/>
        <v>221</v>
      </c>
      <c r="B239" s="69" t="s">
        <v>373</v>
      </c>
      <c r="C239" s="70" t="s">
        <v>374</v>
      </c>
      <c r="D239" s="112" t="s">
        <v>862</v>
      </c>
      <c r="E239" s="72" t="s">
        <v>1645</v>
      </c>
      <c r="F239" s="69" t="s">
        <v>1053</v>
      </c>
      <c r="G239" s="69" t="s">
        <v>860</v>
      </c>
      <c r="H239" s="69" t="s">
        <v>21</v>
      </c>
      <c r="I239" s="69" t="s">
        <v>861</v>
      </c>
      <c r="J239" s="69" t="s">
        <v>862</v>
      </c>
      <c r="K239" s="73" t="s">
        <v>1646</v>
      </c>
      <c r="L239" s="2"/>
    </row>
    <row r="240" spans="1:12">
      <c r="A240" s="68">
        <v>222</v>
      </c>
      <c r="B240" s="75" t="s">
        <v>375</v>
      </c>
      <c r="C240" s="70" t="s">
        <v>376</v>
      </c>
      <c r="D240" s="112"/>
      <c r="E240" s="72" t="s">
        <v>1647</v>
      </c>
      <c r="F240" s="69" t="s">
        <v>1445</v>
      </c>
      <c r="G240" s="69" t="s">
        <v>215</v>
      </c>
      <c r="H240" s="69" t="s">
        <v>1648</v>
      </c>
      <c r="I240" s="69" t="s">
        <v>1103</v>
      </c>
      <c r="J240" s="69"/>
      <c r="K240" s="78" t="s">
        <v>1649</v>
      </c>
      <c r="L240" s="2"/>
    </row>
    <row r="241" spans="1:12">
      <c r="A241" s="68">
        <v>223</v>
      </c>
      <c r="B241" s="75" t="s">
        <v>378</v>
      </c>
      <c r="C241" s="70" t="s">
        <v>379</v>
      </c>
      <c r="D241" s="112" t="s">
        <v>291</v>
      </c>
      <c r="E241" s="72" t="s">
        <v>1578</v>
      </c>
      <c r="F241" s="69"/>
      <c r="G241" s="69"/>
      <c r="H241" s="69"/>
      <c r="I241" s="69"/>
      <c r="J241" s="69"/>
      <c r="K241" s="78"/>
      <c r="L241" s="2"/>
    </row>
    <row r="242" spans="1:12">
      <c r="A242" s="68">
        <v>224</v>
      </c>
      <c r="B242" s="75" t="s">
        <v>110</v>
      </c>
      <c r="C242" s="70" t="s">
        <v>1650</v>
      </c>
      <c r="D242" s="112" t="s">
        <v>55</v>
      </c>
      <c r="E242" s="72" t="s">
        <v>1651</v>
      </c>
      <c r="F242" s="69" t="s">
        <v>26</v>
      </c>
      <c r="G242" s="69" t="s">
        <v>26</v>
      </c>
      <c r="H242" s="69" t="s">
        <v>26</v>
      </c>
      <c r="I242" s="69" t="s">
        <v>1652</v>
      </c>
      <c r="J242" s="69"/>
      <c r="K242" s="78" t="s">
        <v>1653</v>
      </c>
      <c r="L242" s="2"/>
    </row>
    <row r="243" spans="1:12">
      <c r="A243" s="68">
        <v>225</v>
      </c>
      <c r="B243" s="75" t="s">
        <v>380</v>
      </c>
      <c r="C243" s="70" t="s">
        <v>381</v>
      </c>
      <c r="D243" s="112" t="s">
        <v>55</v>
      </c>
      <c r="E243" s="72" t="s">
        <v>1654</v>
      </c>
      <c r="F243" s="69"/>
      <c r="G243" s="69"/>
      <c r="H243" s="69"/>
      <c r="I243" s="69"/>
      <c r="J243" s="69"/>
      <c r="K243" s="78"/>
      <c r="L243" s="2"/>
    </row>
    <row r="244" spans="1:12">
      <c r="A244" s="68">
        <v>226</v>
      </c>
      <c r="B244" s="75" t="s">
        <v>497</v>
      </c>
      <c r="C244" s="70" t="s">
        <v>498</v>
      </c>
      <c r="D244" s="112"/>
      <c r="E244" s="72" t="s">
        <v>499</v>
      </c>
      <c r="F244" s="69"/>
      <c r="G244" s="69"/>
      <c r="H244" s="69"/>
      <c r="I244" s="69"/>
      <c r="J244" s="69"/>
      <c r="K244" s="78"/>
      <c r="L244" s="2"/>
    </row>
    <row r="245" spans="1:12">
      <c r="A245" s="68">
        <v>227</v>
      </c>
      <c r="B245" s="69" t="s">
        <v>384</v>
      </c>
      <c r="C245" s="70" t="s">
        <v>1655</v>
      </c>
      <c r="D245" s="71" t="s">
        <v>1436</v>
      </c>
      <c r="E245" s="72" t="s">
        <v>1656</v>
      </c>
      <c r="F245" s="69" t="s">
        <v>1657</v>
      </c>
      <c r="G245" s="69" t="s">
        <v>1403</v>
      </c>
      <c r="H245" s="69" t="s">
        <v>21</v>
      </c>
      <c r="I245" s="69" t="s">
        <v>930</v>
      </c>
      <c r="J245" s="69" t="s">
        <v>1658</v>
      </c>
      <c r="K245" s="73" t="s">
        <v>862</v>
      </c>
      <c r="L245" s="2"/>
    </row>
    <row r="246" spans="1:12" ht="26.25">
      <c r="A246" s="68">
        <f t="shared" si="4"/>
        <v>228</v>
      </c>
      <c r="B246" s="69" t="s">
        <v>1659</v>
      </c>
      <c r="C246" s="70" t="s">
        <v>1660</v>
      </c>
      <c r="D246" s="71" t="s">
        <v>55</v>
      </c>
      <c r="E246" s="72" t="s">
        <v>1661</v>
      </c>
      <c r="F246" s="69" t="s">
        <v>1662</v>
      </c>
      <c r="G246" s="69" t="s">
        <v>1663</v>
      </c>
      <c r="H246" s="69" t="s">
        <v>21</v>
      </c>
      <c r="I246" s="69" t="s">
        <v>930</v>
      </c>
      <c r="J246" s="69" t="s">
        <v>1664</v>
      </c>
      <c r="K246" s="73" t="s">
        <v>1665</v>
      </c>
      <c r="L246" s="2"/>
    </row>
    <row r="247" spans="1:12">
      <c r="A247" s="68">
        <f t="shared" si="4"/>
        <v>229</v>
      </c>
      <c r="B247" s="75" t="s">
        <v>386</v>
      </c>
      <c r="C247" s="70" t="s">
        <v>387</v>
      </c>
      <c r="D247" s="71" t="s">
        <v>55</v>
      </c>
      <c r="E247" s="72" t="s">
        <v>1666</v>
      </c>
      <c r="F247" s="69" t="s">
        <v>907</v>
      </c>
      <c r="G247" s="69" t="s">
        <v>860</v>
      </c>
      <c r="H247" s="69" t="s">
        <v>21</v>
      </c>
      <c r="I247" s="69" t="s">
        <v>861</v>
      </c>
      <c r="J247" s="69"/>
      <c r="K247" s="78" t="s">
        <v>1667</v>
      </c>
      <c r="L247" s="2"/>
    </row>
    <row r="248" spans="1:12">
      <c r="A248" s="68">
        <f t="shared" si="4"/>
        <v>230</v>
      </c>
      <c r="B248" s="69" t="s">
        <v>388</v>
      </c>
      <c r="C248" s="70" t="s">
        <v>389</v>
      </c>
      <c r="D248" s="71" t="s">
        <v>1451</v>
      </c>
      <c r="E248" s="72" t="s">
        <v>1668</v>
      </c>
      <c r="F248" s="69" t="s">
        <v>1669</v>
      </c>
      <c r="G248" s="69" t="s">
        <v>1669</v>
      </c>
      <c r="H248" s="69" t="s">
        <v>21</v>
      </c>
      <c r="I248" s="69" t="s">
        <v>930</v>
      </c>
      <c r="J248" s="69" t="s">
        <v>1247</v>
      </c>
      <c r="K248" s="73" t="s">
        <v>1670</v>
      </c>
      <c r="L248" s="2"/>
    </row>
    <row r="249" spans="1:12">
      <c r="A249" s="68">
        <f t="shared" si="4"/>
        <v>231</v>
      </c>
      <c r="B249" s="69" t="s">
        <v>390</v>
      </c>
      <c r="C249" s="70" t="s">
        <v>391</v>
      </c>
      <c r="D249" s="71" t="s">
        <v>55</v>
      </c>
      <c r="E249" s="72" t="s">
        <v>1671</v>
      </c>
      <c r="F249" s="69" t="s">
        <v>1595</v>
      </c>
      <c r="G249" s="69" t="s">
        <v>860</v>
      </c>
      <c r="H249" s="69" t="s">
        <v>21</v>
      </c>
      <c r="I249" s="69" t="s">
        <v>861</v>
      </c>
      <c r="J249" s="69" t="s">
        <v>979</v>
      </c>
      <c r="K249" s="73" t="s">
        <v>1672</v>
      </c>
      <c r="L249" s="2"/>
    </row>
    <row r="250" spans="1:12">
      <c r="A250" s="68">
        <f t="shared" si="4"/>
        <v>232</v>
      </c>
      <c r="B250" s="69" t="s">
        <v>392</v>
      </c>
      <c r="C250" s="74" t="s">
        <v>1673</v>
      </c>
      <c r="D250" s="71" t="s">
        <v>131</v>
      </c>
      <c r="E250" s="72" t="s">
        <v>1674</v>
      </c>
      <c r="F250" s="69" t="s">
        <v>1675</v>
      </c>
      <c r="G250" s="69" t="s">
        <v>1403</v>
      </c>
      <c r="H250" s="69" t="s">
        <v>21</v>
      </c>
      <c r="I250" s="69" t="s">
        <v>861</v>
      </c>
      <c r="J250" s="69" t="s">
        <v>1676</v>
      </c>
      <c r="K250" s="73" t="s">
        <v>1677</v>
      </c>
      <c r="L250" s="2"/>
    </row>
    <row r="251" spans="1:12">
      <c r="A251" s="68">
        <f t="shared" si="4"/>
        <v>233</v>
      </c>
      <c r="B251" s="69" t="s">
        <v>394</v>
      </c>
      <c r="C251" s="74" t="s">
        <v>1678</v>
      </c>
      <c r="D251" s="71" t="s">
        <v>291</v>
      </c>
      <c r="E251" s="72" t="s">
        <v>1679</v>
      </c>
      <c r="F251" s="69" t="s">
        <v>1680</v>
      </c>
      <c r="G251" s="69" t="s">
        <v>1681</v>
      </c>
      <c r="H251" s="77" t="s">
        <v>191</v>
      </c>
      <c r="I251" s="69" t="s">
        <v>930</v>
      </c>
      <c r="J251" s="69" t="s">
        <v>1104</v>
      </c>
      <c r="K251" s="73" t="s">
        <v>1682</v>
      </c>
      <c r="L251" s="2"/>
    </row>
    <row r="252" spans="1:12">
      <c r="A252" s="68">
        <f t="shared" si="4"/>
        <v>234</v>
      </c>
      <c r="B252" s="69" t="s">
        <v>396</v>
      </c>
      <c r="C252" s="70" t="s">
        <v>1683</v>
      </c>
      <c r="D252" s="71" t="s">
        <v>1436</v>
      </c>
      <c r="E252" s="72" t="s">
        <v>1684</v>
      </c>
      <c r="F252" s="69" t="s">
        <v>1685</v>
      </c>
      <c r="G252" s="69" t="s">
        <v>1129</v>
      </c>
      <c r="H252" s="69" t="s">
        <v>21</v>
      </c>
      <c r="I252" s="69" t="s">
        <v>930</v>
      </c>
      <c r="J252" s="69" t="s">
        <v>966</v>
      </c>
      <c r="K252" s="73" t="s">
        <v>1686</v>
      </c>
      <c r="L252" s="2"/>
    </row>
    <row r="253" spans="1:12">
      <c r="A253" s="68">
        <f t="shared" si="4"/>
        <v>235</v>
      </c>
      <c r="B253" s="69" t="s">
        <v>398</v>
      </c>
      <c r="C253" s="74" t="s">
        <v>399</v>
      </c>
      <c r="D253" s="71" t="s">
        <v>55</v>
      </c>
      <c r="E253" s="72" t="s">
        <v>1687</v>
      </c>
      <c r="F253" s="69" t="s">
        <v>1008</v>
      </c>
      <c r="G253" s="69" t="s">
        <v>1009</v>
      </c>
      <c r="H253" s="77" t="s">
        <v>479</v>
      </c>
      <c r="I253" s="69" t="s">
        <v>861</v>
      </c>
      <c r="J253" s="69" t="s">
        <v>862</v>
      </c>
      <c r="K253" s="73" t="s">
        <v>1688</v>
      </c>
      <c r="L253" s="2"/>
    </row>
    <row r="254" spans="1:12">
      <c r="A254" s="68">
        <f t="shared" si="4"/>
        <v>236</v>
      </c>
      <c r="B254" s="69" t="s">
        <v>400</v>
      </c>
      <c r="C254" s="70" t="s">
        <v>1689</v>
      </c>
      <c r="D254" s="71" t="s">
        <v>291</v>
      </c>
      <c r="E254" s="72" t="s">
        <v>1690</v>
      </c>
      <c r="F254" s="69" t="s">
        <v>1669</v>
      </c>
      <c r="G254" s="69" t="s">
        <v>1669</v>
      </c>
      <c r="H254" s="69" t="s">
        <v>1691</v>
      </c>
      <c r="I254" s="69" t="s">
        <v>930</v>
      </c>
      <c r="J254" s="69" t="s">
        <v>1247</v>
      </c>
      <c r="K254" s="73" t="s">
        <v>1692</v>
      </c>
      <c r="L254" s="2"/>
    </row>
    <row r="255" spans="1:12">
      <c r="A255" s="68">
        <f t="shared" si="4"/>
        <v>237</v>
      </c>
      <c r="B255" s="69" t="s">
        <v>1693</v>
      </c>
      <c r="C255" s="70" t="s">
        <v>1694</v>
      </c>
      <c r="D255" s="71" t="s">
        <v>55</v>
      </c>
      <c r="E255" s="72" t="s">
        <v>1695</v>
      </c>
      <c r="F255" s="69" t="s">
        <v>1053</v>
      </c>
      <c r="G255" s="69" t="s">
        <v>860</v>
      </c>
      <c r="H255" s="69" t="s">
        <v>21</v>
      </c>
      <c r="I255" s="69" t="s">
        <v>930</v>
      </c>
      <c r="J255" s="69" t="s">
        <v>1259</v>
      </c>
      <c r="K255" s="73" t="s">
        <v>1696</v>
      </c>
      <c r="L255" s="2"/>
    </row>
    <row r="256" spans="1:12">
      <c r="A256" s="68">
        <f t="shared" si="4"/>
        <v>238</v>
      </c>
      <c r="B256" s="69" t="s">
        <v>402</v>
      </c>
      <c r="C256" s="70" t="s">
        <v>1697</v>
      </c>
      <c r="D256" s="71" t="s">
        <v>120</v>
      </c>
      <c r="E256" s="72" t="s">
        <v>1698</v>
      </c>
      <c r="F256" s="69" t="s">
        <v>1055</v>
      </c>
      <c r="G256" s="69" t="s">
        <v>1056</v>
      </c>
      <c r="H256" s="69" t="s">
        <v>21</v>
      </c>
      <c r="I256" s="69" t="s">
        <v>861</v>
      </c>
      <c r="J256" s="69" t="s">
        <v>1040</v>
      </c>
      <c r="K256" s="73" t="s">
        <v>1699</v>
      </c>
      <c r="L256" s="2"/>
    </row>
    <row r="257" spans="1:12">
      <c r="A257" s="68">
        <f t="shared" si="4"/>
        <v>239</v>
      </c>
      <c r="B257" s="69" t="s">
        <v>405</v>
      </c>
      <c r="C257" s="70" t="s">
        <v>1700</v>
      </c>
      <c r="D257" s="71" t="s">
        <v>1436</v>
      </c>
      <c r="E257" s="72" t="s">
        <v>1701</v>
      </c>
      <c r="F257" s="69" t="s">
        <v>1702</v>
      </c>
      <c r="G257" s="69" t="s">
        <v>1056</v>
      </c>
      <c r="H257" s="69" t="s">
        <v>21</v>
      </c>
      <c r="I257" s="69" t="s">
        <v>930</v>
      </c>
      <c r="J257" s="69" t="s">
        <v>862</v>
      </c>
      <c r="K257" s="73" t="s">
        <v>1703</v>
      </c>
      <c r="L257" s="2"/>
    </row>
    <row r="258" spans="1:12">
      <c r="A258" s="68">
        <f t="shared" si="4"/>
        <v>240</v>
      </c>
      <c r="B258" s="69" t="s">
        <v>59</v>
      </c>
      <c r="C258" s="70" t="s">
        <v>1704</v>
      </c>
      <c r="D258" s="112" t="s">
        <v>862</v>
      </c>
      <c r="E258" s="72" t="s">
        <v>1705</v>
      </c>
      <c r="F258" s="69" t="s">
        <v>1158</v>
      </c>
      <c r="G258" s="69" t="s">
        <v>941</v>
      </c>
      <c r="H258" s="69" t="s">
        <v>21</v>
      </c>
      <c r="I258" s="69" t="s">
        <v>861</v>
      </c>
      <c r="J258" s="69" t="s">
        <v>1159</v>
      </c>
      <c r="K258" s="73" t="s">
        <v>862</v>
      </c>
      <c r="L258" s="2"/>
    </row>
    <row r="259" spans="1:12">
      <c r="A259" s="68">
        <f t="shared" si="4"/>
        <v>241</v>
      </c>
      <c r="B259" s="69" t="s">
        <v>407</v>
      </c>
      <c r="C259" s="70" t="s">
        <v>408</v>
      </c>
      <c r="D259" s="71" t="s">
        <v>55</v>
      </c>
      <c r="E259" s="72" t="s">
        <v>1706</v>
      </c>
      <c r="F259" s="69" t="s">
        <v>1707</v>
      </c>
      <c r="G259" s="69" t="s">
        <v>941</v>
      </c>
      <c r="H259" s="69" t="s">
        <v>21</v>
      </c>
      <c r="I259" s="69" t="s">
        <v>861</v>
      </c>
      <c r="J259" s="69" t="s">
        <v>1708</v>
      </c>
      <c r="K259" s="73" t="s">
        <v>1709</v>
      </c>
      <c r="L259" s="2"/>
    </row>
    <row r="260" spans="1:12">
      <c r="A260" s="68">
        <f t="shared" si="4"/>
        <v>242</v>
      </c>
      <c r="B260" s="69" t="s">
        <v>500</v>
      </c>
      <c r="C260" s="70" t="s">
        <v>1710</v>
      </c>
      <c r="D260" s="71" t="s">
        <v>1604</v>
      </c>
      <c r="E260" s="72" t="s">
        <v>1711</v>
      </c>
      <c r="F260" s="69" t="s">
        <v>1712</v>
      </c>
      <c r="G260" s="69" t="s">
        <v>1713</v>
      </c>
      <c r="H260" s="69" t="s">
        <v>1714</v>
      </c>
      <c r="I260" s="69" t="s">
        <v>930</v>
      </c>
      <c r="J260" s="69" t="s">
        <v>862</v>
      </c>
      <c r="K260" s="73" t="s">
        <v>1715</v>
      </c>
      <c r="L260" s="2"/>
    </row>
    <row r="261" spans="1:12">
      <c r="A261" s="68">
        <f t="shared" si="4"/>
        <v>243</v>
      </c>
      <c r="B261" s="69" t="s">
        <v>502</v>
      </c>
      <c r="C261" s="70" t="s">
        <v>503</v>
      </c>
      <c r="D261" s="71" t="s">
        <v>1436</v>
      </c>
      <c r="E261" s="72" t="s">
        <v>1716</v>
      </c>
      <c r="F261" s="69" t="s">
        <v>1717</v>
      </c>
      <c r="G261" s="69" t="s">
        <v>1713</v>
      </c>
      <c r="H261" s="69" t="s">
        <v>1718</v>
      </c>
      <c r="I261" s="69" t="s">
        <v>930</v>
      </c>
      <c r="J261" s="69" t="s">
        <v>862</v>
      </c>
      <c r="K261" s="73" t="s">
        <v>1719</v>
      </c>
      <c r="L261" s="2"/>
    </row>
    <row r="262" spans="1:12">
      <c r="A262" s="68">
        <f t="shared" si="4"/>
        <v>244</v>
      </c>
      <c r="B262" s="69" t="s">
        <v>409</v>
      </c>
      <c r="C262" s="70" t="s">
        <v>1720</v>
      </c>
      <c r="D262" s="71" t="s">
        <v>1436</v>
      </c>
      <c r="E262" s="72" t="s">
        <v>1721</v>
      </c>
      <c r="F262" s="69" t="s">
        <v>1053</v>
      </c>
      <c r="G262" s="69" t="s">
        <v>860</v>
      </c>
      <c r="H262" s="69" t="s">
        <v>21</v>
      </c>
      <c r="I262" s="69" t="s">
        <v>861</v>
      </c>
      <c r="J262" s="69" t="s">
        <v>862</v>
      </c>
      <c r="K262" s="73" t="s">
        <v>1722</v>
      </c>
      <c r="L262" s="2"/>
    </row>
    <row r="263" spans="1:12">
      <c r="A263" s="68">
        <f t="shared" si="4"/>
        <v>245</v>
      </c>
      <c r="B263" s="69" t="s">
        <v>243</v>
      </c>
      <c r="C263" s="70" t="s">
        <v>1723</v>
      </c>
      <c r="D263" s="112" t="s">
        <v>862</v>
      </c>
      <c r="E263" s="72" t="s">
        <v>1724</v>
      </c>
      <c r="F263" s="69" t="s">
        <v>1725</v>
      </c>
      <c r="G263" s="69" t="s">
        <v>1663</v>
      </c>
      <c r="H263" s="69" t="s">
        <v>21</v>
      </c>
      <c r="I263" s="69" t="s">
        <v>930</v>
      </c>
      <c r="J263" s="69" t="s">
        <v>1310</v>
      </c>
      <c r="K263" s="73" t="s">
        <v>1726</v>
      </c>
      <c r="L263" s="2"/>
    </row>
    <row r="264" spans="1:12">
      <c r="A264" s="68">
        <f t="shared" si="4"/>
        <v>246</v>
      </c>
      <c r="B264" s="69" t="s">
        <v>412</v>
      </c>
      <c r="C264" s="70" t="s">
        <v>1727</v>
      </c>
      <c r="D264" s="71" t="s">
        <v>1451</v>
      </c>
      <c r="E264" s="72" t="s">
        <v>1728</v>
      </c>
      <c r="F264" s="69" t="s">
        <v>1729</v>
      </c>
      <c r="G264" s="69" t="s">
        <v>1129</v>
      </c>
      <c r="H264" s="69" t="s">
        <v>21</v>
      </c>
      <c r="I264" s="69" t="s">
        <v>930</v>
      </c>
      <c r="J264" s="69" t="s">
        <v>970</v>
      </c>
      <c r="K264" s="73" t="s">
        <v>1730</v>
      </c>
      <c r="L264" s="2"/>
    </row>
    <row r="265" spans="1:12">
      <c r="A265" s="68">
        <f t="shared" si="4"/>
        <v>247</v>
      </c>
      <c r="B265" s="69" t="s">
        <v>504</v>
      </c>
      <c r="C265" s="70" t="s">
        <v>1731</v>
      </c>
      <c r="D265" s="71" t="s">
        <v>1451</v>
      </c>
      <c r="E265" s="72" t="s">
        <v>1732</v>
      </c>
      <c r="F265" s="69" t="s">
        <v>1055</v>
      </c>
      <c r="G265" s="69" t="s">
        <v>1056</v>
      </c>
      <c r="H265" s="69" t="s">
        <v>21</v>
      </c>
      <c r="I265" s="69" t="s">
        <v>861</v>
      </c>
      <c r="J265" s="69" t="s">
        <v>862</v>
      </c>
      <c r="K265" s="73" t="s">
        <v>1733</v>
      </c>
      <c r="L265" s="2"/>
    </row>
    <row r="266" spans="1:12">
      <c r="A266" s="68">
        <f t="shared" si="4"/>
        <v>248</v>
      </c>
      <c r="B266" s="69" t="s">
        <v>414</v>
      </c>
      <c r="C266" s="70" t="s">
        <v>1734</v>
      </c>
      <c r="D266" s="71" t="s">
        <v>1604</v>
      </c>
      <c r="E266" s="72" t="s">
        <v>1735</v>
      </c>
      <c r="F266" s="69" t="s">
        <v>1736</v>
      </c>
      <c r="G266" s="69" t="s">
        <v>1737</v>
      </c>
      <c r="H266" s="69" t="s">
        <v>21</v>
      </c>
      <c r="I266" s="69" t="s">
        <v>930</v>
      </c>
      <c r="J266" s="69" t="s">
        <v>886</v>
      </c>
      <c r="K266" s="73" t="s">
        <v>1738</v>
      </c>
      <c r="L266" s="2"/>
    </row>
    <row r="267" spans="1:12">
      <c r="A267" s="68">
        <f t="shared" si="4"/>
        <v>249</v>
      </c>
      <c r="B267" s="69" t="s">
        <v>415</v>
      </c>
      <c r="C267" s="70" t="s">
        <v>1739</v>
      </c>
      <c r="D267" s="71" t="s">
        <v>1451</v>
      </c>
      <c r="E267" s="72" t="s">
        <v>1740</v>
      </c>
      <c r="F267" s="69" t="s">
        <v>1741</v>
      </c>
      <c r="G267" s="69" t="s">
        <v>1129</v>
      </c>
      <c r="H267" s="69" t="s">
        <v>21</v>
      </c>
      <c r="I267" s="69" t="s">
        <v>930</v>
      </c>
      <c r="J267" s="69" t="s">
        <v>902</v>
      </c>
      <c r="K267" s="73" t="s">
        <v>1742</v>
      </c>
      <c r="L267" s="2"/>
    </row>
    <row r="268" spans="1:12" ht="15.75" thickBot="1">
      <c r="A268" s="80">
        <f t="shared" si="4"/>
        <v>250</v>
      </c>
      <c r="B268" s="86" t="s">
        <v>447</v>
      </c>
      <c r="C268" s="106" t="s">
        <v>448</v>
      </c>
      <c r="D268" s="107" t="s">
        <v>862</v>
      </c>
      <c r="E268" s="108" t="s">
        <v>1743</v>
      </c>
      <c r="F268" s="86" t="s">
        <v>1015</v>
      </c>
      <c r="G268" s="86" t="s">
        <v>1015</v>
      </c>
      <c r="H268" s="86" t="s">
        <v>21</v>
      </c>
      <c r="I268" s="86" t="s">
        <v>861</v>
      </c>
      <c r="J268" s="86" t="s">
        <v>862</v>
      </c>
      <c r="K268" s="118" t="s">
        <v>1744</v>
      </c>
      <c r="L268" s="2"/>
    </row>
    <row r="269" spans="1:12" ht="15.75" thickBot="1">
      <c r="A269" s="88"/>
      <c r="B269" s="93"/>
      <c r="C269" s="110"/>
      <c r="D269" s="111"/>
      <c r="E269" s="93"/>
      <c r="F269" s="93"/>
      <c r="G269" s="93"/>
      <c r="H269" s="93"/>
      <c r="I269" s="93"/>
      <c r="J269" s="93"/>
      <c r="K269" s="93"/>
      <c r="L269" s="2"/>
    </row>
    <row r="270" spans="1:12" ht="16.5" thickTop="1" thickBot="1">
      <c r="A270" s="57" t="s">
        <v>515</v>
      </c>
      <c r="B270" s="58" t="s">
        <v>2</v>
      </c>
      <c r="C270" s="58" t="s">
        <v>3</v>
      </c>
      <c r="D270" s="59" t="s">
        <v>848</v>
      </c>
      <c r="E270" s="58" t="s">
        <v>849</v>
      </c>
      <c r="F270" s="58" t="s">
        <v>850</v>
      </c>
      <c r="G270" s="58" t="s">
        <v>851</v>
      </c>
      <c r="H270" s="58" t="s">
        <v>852</v>
      </c>
      <c r="I270" s="58" t="s">
        <v>853</v>
      </c>
      <c r="J270" s="58" t="s">
        <v>854</v>
      </c>
      <c r="K270" s="60" t="s">
        <v>855</v>
      </c>
      <c r="L270" s="2"/>
    </row>
    <row r="271" spans="1:12" ht="15.75" thickTop="1">
      <c r="A271" s="68"/>
      <c r="B271" s="69"/>
      <c r="C271" s="70"/>
      <c r="D271" s="71"/>
      <c r="E271" s="72"/>
      <c r="F271" s="69"/>
      <c r="G271" s="69"/>
      <c r="H271" s="69"/>
      <c r="I271" s="69"/>
      <c r="J271" s="69"/>
      <c r="K271" s="73"/>
      <c r="L271" s="2"/>
    </row>
    <row r="272" spans="1:12">
      <c r="A272" s="68">
        <v>251</v>
      </c>
      <c r="B272" s="75" t="s">
        <v>506</v>
      </c>
      <c r="C272" s="70" t="s">
        <v>507</v>
      </c>
      <c r="D272" s="71"/>
      <c r="E272" s="72" t="s">
        <v>1745</v>
      </c>
      <c r="F272" s="69" t="s">
        <v>1053</v>
      </c>
      <c r="G272" s="69" t="s">
        <v>860</v>
      </c>
      <c r="H272" s="69" t="s">
        <v>21</v>
      </c>
      <c r="I272" s="69" t="s">
        <v>861</v>
      </c>
      <c r="J272" s="69"/>
      <c r="K272" s="78" t="s">
        <v>1746</v>
      </c>
      <c r="L272" s="2"/>
    </row>
    <row r="273" spans="1:12">
      <c r="A273" s="68">
        <v>252</v>
      </c>
      <c r="B273" s="149" t="s">
        <v>419</v>
      </c>
      <c r="C273" s="150" t="s">
        <v>420</v>
      </c>
      <c r="D273" s="151"/>
      <c r="E273" s="152" t="s">
        <v>1747</v>
      </c>
      <c r="F273" s="127" t="s">
        <v>1179</v>
      </c>
      <c r="G273" s="127" t="s">
        <v>1179</v>
      </c>
      <c r="H273" s="127" t="s">
        <v>21</v>
      </c>
      <c r="I273" s="127" t="s">
        <v>861</v>
      </c>
      <c r="J273" s="127"/>
      <c r="K273" s="153">
        <v>87878668282</v>
      </c>
      <c r="L273" s="2"/>
    </row>
    <row r="274" spans="1:12">
      <c r="A274" s="68">
        <v>253</v>
      </c>
      <c r="B274" s="149" t="s">
        <v>245</v>
      </c>
      <c r="C274" s="150" t="s">
        <v>246</v>
      </c>
      <c r="D274" s="151" t="s">
        <v>55</v>
      </c>
      <c r="E274" s="152" t="s">
        <v>247</v>
      </c>
      <c r="F274" s="2"/>
      <c r="G274" s="2"/>
      <c r="H274" s="2"/>
      <c r="I274" s="2"/>
      <c r="J274" s="2"/>
      <c r="K274" s="154"/>
      <c r="L274" s="2"/>
    </row>
    <row r="275" spans="1:12">
      <c r="A275" s="68">
        <f t="shared" si="4"/>
        <v>254</v>
      </c>
      <c r="B275" s="69" t="s">
        <v>417</v>
      </c>
      <c r="C275" s="70" t="s">
        <v>418</v>
      </c>
      <c r="D275" s="71" t="s">
        <v>120</v>
      </c>
      <c r="E275" s="72" t="s">
        <v>1748</v>
      </c>
      <c r="F275" s="69" t="s">
        <v>969</v>
      </c>
      <c r="G275" s="69" t="s">
        <v>860</v>
      </c>
      <c r="H275" s="69" t="s">
        <v>21</v>
      </c>
      <c r="I275" s="69" t="s">
        <v>861</v>
      </c>
      <c r="J275" s="69" t="s">
        <v>862</v>
      </c>
      <c r="K275" s="73" t="s">
        <v>1749</v>
      </c>
      <c r="L275" s="2"/>
    </row>
    <row r="276" spans="1:12">
      <c r="A276" s="68">
        <v>255</v>
      </c>
      <c r="B276" s="125" t="s">
        <v>421</v>
      </c>
      <c r="C276" s="155" t="s">
        <v>422</v>
      </c>
      <c r="D276" s="71"/>
      <c r="E276" s="127" t="s">
        <v>1750</v>
      </c>
      <c r="F276" s="69"/>
      <c r="G276" s="69"/>
      <c r="H276" s="69"/>
      <c r="I276" s="69"/>
      <c r="J276" s="69"/>
      <c r="K276" s="73"/>
      <c r="L276" s="2"/>
    </row>
    <row r="277" spans="1:12">
      <c r="A277" s="68">
        <v>256</v>
      </c>
      <c r="B277" s="156" t="s">
        <v>508</v>
      </c>
      <c r="C277" s="157" t="s">
        <v>509</v>
      </c>
      <c r="D277" s="158" t="s">
        <v>55</v>
      </c>
      <c r="E277" s="159" t="s">
        <v>1751</v>
      </c>
      <c r="F277" s="160"/>
      <c r="G277" s="160"/>
      <c r="H277" s="160" t="s">
        <v>21</v>
      </c>
      <c r="I277" s="160" t="s">
        <v>861</v>
      </c>
      <c r="J277" s="160"/>
      <c r="K277" s="161"/>
      <c r="L277" s="2"/>
    </row>
    <row r="278" spans="1:12">
      <c r="A278" s="68">
        <f t="shared" ref="A278:A280" si="5">A277+1</f>
        <v>257</v>
      </c>
      <c r="B278" s="69" t="s">
        <v>424</v>
      </c>
      <c r="C278" s="70" t="s">
        <v>425</v>
      </c>
      <c r="D278" s="71" t="s">
        <v>291</v>
      </c>
      <c r="E278" s="72" t="s">
        <v>1752</v>
      </c>
      <c r="F278" s="69" t="s">
        <v>1055</v>
      </c>
      <c r="G278" s="69" t="s">
        <v>1056</v>
      </c>
      <c r="H278" s="69" t="s">
        <v>21</v>
      </c>
      <c r="I278" s="69" t="s">
        <v>861</v>
      </c>
      <c r="J278" s="69" t="s">
        <v>862</v>
      </c>
      <c r="K278" s="73" t="s">
        <v>1753</v>
      </c>
      <c r="L278" s="2"/>
    </row>
    <row r="279" spans="1:12">
      <c r="A279" s="68">
        <f t="shared" si="5"/>
        <v>258</v>
      </c>
      <c r="B279" s="69" t="s">
        <v>426</v>
      </c>
      <c r="C279" s="70" t="s">
        <v>427</v>
      </c>
      <c r="D279" s="71" t="s">
        <v>291</v>
      </c>
      <c r="E279" s="72" t="s">
        <v>1754</v>
      </c>
      <c r="F279" s="69" t="s">
        <v>1595</v>
      </c>
      <c r="G279" s="69" t="s">
        <v>860</v>
      </c>
      <c r="H279" s="69" t="s">
        <v>21</v>
      </c>
      <c r="I279" s="69" t="s">
        <v>861</v>
      </c>
      <c r="J279" s="69" t="s">
        <v>970</v>
      </c>
      <c r="K279" s="73" t="s">
        <v>1755</v>
      </c>
      <c r="L279" s="2"/>
    </row>
    <row r="280" spans="1:12">
      <c r="A280" s="68">
        <f t="shared" si="5"/>
        <v>259</v>
      </c>
      <c r="B280" s="125" t="s">
        <v>1756</v>
      </c>
      <c r="C280" s="162" t="s">
        <v>1052</v>
      </c>
      <c r="D280" s="151" t="s">
        <v>291</v>
      </c>
      <c r="E280" s="127" t="s">
        <v>1757</v>
      </c>
      <c r="F280" s="127"/>
      <c r="G280" s="127" t="s">
        <v>1077</v>
      </c>
      <c r="H280" s="127" t="s">
        <v>1648</v>
      </c>
      <c r="I280" s="127" t="s">
        <v>861</v>
      </c>
      <c r="J280" s="127"/>
      <c r="K280" s="163" t="s">
        <v>1758</v>
      </c>
      <c r="L280" s="2"/>
    </row>
    <row r="281" spans="1:12">
      <c r="A281" s="164" t="s">
        <v>1759</v>
      </c>
      <c r="B281" s="125" t="s">
        <v>510</v>
      </c>
      <c r="C281" s="162" t="s">
        <v>511</v>
      </c>
      <c r="D281" s="151"/>
      <c r="E281" s="127" t="s">
        <v>1760</v>
      </c>
      <c r="F281" s="127"/>
      <c r="G281" s="127"/>
      <c r="H281" s="127"/>
      <c r="I281" s="127"/>
      <c r="J281" s="127"/>
      <c r="K281" s="163"/>
      <c r="L281" s="2"/>
    </row>
    <row r="282" spans="1:12" ht="15.75" thickBot="1">
      <c r="A282" s="165"/>
      <c r="B282" s="166"/>
      <c r="C282" s="166"/>
      <c r="D282" s="167"/>
      <c r="E282" s="166"/>
      <c r="F282" s="166"/>
      <c r="G282" s="166"/>
      <c r="H282" s="166"/>
      <c r="I282" s="166"/>
      <c r="J282" s="166"/>
      <c r="K282" s="168"/>
      <c r="L282" s="2"/>
    </row>
    <row r="283" spans="1:12" ht="15.75" thickTop="1">
      <c r="A283" s="4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4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4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4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4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4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4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4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4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4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4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4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4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4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4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4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4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4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</sheetData>
  <mergeCells count="1">
    <mergeCell ref="A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I7:N10"/>
  <sheetViews>
    <sheetView topLeftCell="I1" workbookViewId="0">
      <selection activeCell="N16" sqref="N16"/>
    </sheetView>
  </sheetViews>
  <sheetFormatPr defaultRowHeight="15"/>
  <cols>
    <col min="7" max="7" width="19.7109375" bestFit="1" customWidth="1"/>
    <col min="9" max="9" width="10.5703125" bestFit="1" customWidth="1"/>
    <col min="12" max="12" width="14.85546875" bestFit="1" customWidth="1"/>
    <col min="13" max="13" width="17" bestFit="1" customWidth="1"/>
  </cols>
  <sheetData>
    <row r="7" spans="9:14">
      <c r="I7" s="187"/>
    </row>
    <row r="8" spans="9:14">
      <c r="I8" s="187"/>
      <c r="L8" t="s">
        <v>1866</v>
      </c>
      <c r="M8" t="s">
        <v>2306</v>
      </c>
      <c r="N8" t="s">
        <v>1865</v>
      </c>
    </row>
    <row r="9" spans="9:14">
      <c r="I9" s="188"/>
      <c r="L9">
        <v>163</v>
      </c>
      <c r="M9">
        <v>86</v>
      </c>
      <c r="N9">
        <f>SUM(L9:M9)</f>
        <v>249</v>
      </c>
    </row>
    <row r="10" spans="9:14">
      <c r="L10" s="187">
        <f>L9/N9</f>
        <v>0.65461847389558236</v>
      </c>
      <c r="M10" s="187">
        <f>M9/N9</f>
        <v>0.34538152610441769</v>
      </c>
      <c r="N10" s="188">
        <f>SUM(L10:M10)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22"/>
  <sheetViews>
    <sheetView workbookViewId="0">
      <selection activeCell="C9" sqref="C9"/>
    </sheetView>
  </sheetViews>
  <sheetFormatPr defaultRowHeight="15"/>
  <cols>
    <col min="2" max="2" width="31.5703125" bestFit="1" customWidth="1"/>
    <col min="3" max="22" width="7.7109375" customWidth="1"/>
    <col min="23" max="23" width="7.5703125" customWidth="1"/>
  </cols>
  <sheetData>
    <row r="1" spans="1:26">
      <c r="A1" s="947" t="s">
        <v>2534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  <c r="T1" s="947"/>
      <c r="U1" s="947"/>
      <c r="V1" s="947"/>
      <c r="W1" s="947"/>
      <c r="X1" s="763"/>
      <c r="Y1" s="763"/>
      <c r="Z1" s="763"/>
    </row>
    <row r="2" spans="1:26">
      <c r="A2" s="947" t="s">
        <v>528</v>
      </c>
      <c r="B2" s="947"/>
      <c r="C2" s="947"/>
      <c r="D2" s="947"/>
      <c r="E2" s="947"/>
      <c r="F2" s="947"/>
      <c r="G2" s="947"/>
      <c r="H2" s="947"/>
      <c r="I2" s="947"/>
      <c r="J2" s="947"/>
      <c r="K2" s="947"/>
      <c r="L2" s="947"/>
      <c r="M2" s="947"/>
      <c r="N2" s="947"/>
      <c r="O2" s="947"/>
      <c r="P2" s="947"/>
      <c r="Q2" s="947"/>
      <c r="R2" s="947"/>
      <c r="S2" s="947"/>
      <c r="T2" s="947"/>
      <c r="U2" s="947"/>
      <c r="V2" s="947"/>
      <c r="W2" s="947"/>
      <c r="X2" s="763"/>
      <c r="Y2" s="763"/>
      <c r="Z2" s="763"/>
    </row>
    <row r="3" spans="1:26">
      <c r="A3" s="948" t="s">
        <v>2764</v>
      </c>
      <c r="B3" s="948"/>
      <c r="C3" s="948"/>
      <c r="D3" s="948"/>
      <c r="E3" s="948"/>
      <c r="F3" s="948"/>
      <c r="G3" s="948"/>
      <c r="H3" s="948"/>
      <c r="I3" s="948"/>
      <c r="J3" s="948"/>
      <c r="K3" s="948"/>
      <c r="L3" s="948"/>
      <c r="M3" s="948"/>
      <c r="N3" s="948"/>
      <c r="O3" s="948"/>
      <c r="P3" s="948"/>
      <c r="Q3" s="948"/>
      <c r="R3" s="948"/>
      <c r="S3" s="948"/>
      <c r="T3" s="948"/>
      <c r="U3" s="948"/>
      <c r="V3" s="948"/>
      <c r="W3" s="948"/>
      <c r="X3" s="764"/>
      <c r="Y3" s="764"/>
      <c r="Z3" s="764"/>
    </row>
    <row r="5" spans="1:26">
      <c r="A5" s="946" t="s">
        <v>2321</v>
      </c>
      <c r="B5" s="945" t="s">
        <v>5</v>
      </c>
      <c r="C5" s="949" t="s">
        <v>809</v>
      </c>
      <c r="D5" s="949"/>
      <c r="E5" s="949"/>
      <c r="F5" s="949"/>
      <c r="G5" s="949"/>
      <c r="H5" s="949"/>
      <c r="I5" s="949"/>
      <c r="J5" s="949"/>
      <c r="K5" s="949"/>
      <c r="L5" s="949"/>
      <c r="M5" s="949"/>
      <c r="N5" s="949"/>
      <c r="O5" s="949"/>
      <c r="P5" s="949"/>
      <c r="Q5" s="949"/>
      <c r="R5" s="949"/>
      <c r="S5" s="949"/>
      <c r="T5" s="949"/>
      <c r="U5" s="949"/>
      <c r="V5" s="949"/>
      <c r="W5" s="949"/>
      <c r="X5" s="949"/>
      <c r="Y5" s="777"/>
    </row>
    <row r="6" spans="1:26">
      <c r="A6" s="946"/>
      <c r="B6" s="945"/>
      <c r="C6" s="797" t="s">
        <v>729</v>
      </c>
      <c r="D6" s="797" t="s">
        <v>730</v>
      </c>
      <c r="E6" s="797" t="s">
        <v>736</v>
      </c>
      <c r="F6" s="797" t="s">
        <v>738</v>
      </c>
      <c r="G6" s="797" t="s">
        <v>739</v>
      </c>
      <c r="H6" s="797" t="s">
        <v>740</v>
      </c>
      <c r="I6" s="797" t="s">
        <v>741</v>
      </c>
      <c r="J6" s="797" t="s">
        <v>742</v>
      </c>
      <c r="K6" s="797" t="s">
        <v>743</v>
      </c>
      <c r="L6" s="797" t="s">
        <v>744</v>
      </c>
      <c r="M6" s="797" t="s">
        <v>745</v>
      </c>
      <c r="N6" s="797" t="s">
        <v>746</v>
      </c>
      <c r="O6" s="797" t="s">
        <v>747</v>
      </c>
      <c r="P6" s="797" t="s">
        <v>748</v>
      </c>
      <c r="Q6" s="797" t="s">
        <v>749</v>
      </c>
      <c r="R6" s="797" t="s">
        <v>750</v>
      </c>
      <c r="S6" s="797" t="s">
        <v>751</v>
      </c>
      <c r="T6" s="797" t="s">
        <v>752</v>
      </c>
      <c r="U6" s="797" t="s">
        <v>753</v>
      </c>
      <c r="V6" s="797" t="s">
        <v>754</v>
      </c>
      <c r="W6" s="797" t="s">
        <v>755</v>
      </c>
      <c r="X6" s="797" t="s">
        <v>756</v>
      </c>
      <c r="Y6" s="797" t="s">
        <v>583</v>
      </c>
    </row>
    <row r="7" spans="1:26">
      <c r="A7" s="762" t="s">
        <v>2333</v>
      </c>
      <c r="B7" s="772" t="s">
        <v>635</v>
      </c>
      <c r="C7" s="930"/>
      <c r="D7" s="930"/>
      <c r="E7" s="930"/>
      <c r="F7" s="930"/>
      <c r="G7" s="930"/>
      <c r="H7" s="930"/>
      <c r="I7" s="930"/>
      <c r="J7" s="930"/>
      <c r="K7" s="930"/>
      <c r="L7" s="930">
        <v>1</v>
      </c>
      <c r="M7" s="930"/>
      <c r="N7" s="930"/>
      <c r="O7" s="930"/>
      <c r="P7" s="930"/>
      <c r="Q7" s="930"/>
      <c r="R7" s="930"/>
      <c r="S7" s="930"/>
      <c r="T7" s="930"/>
      <c r="U7" s="930"/>
      <c r="V7" s="930"/>
      <c r="W7" s="930"/>
      <c r="X7" s="930"/>
      <c r="Y7" s="776">
        <f>SUM(C7:X7)</f>
        <v>1</v>
      </c>
    </row>
    <row r="8" spans="1:26">
      <c r="A8" s="762" t="s">
        <v>2334</v>
      </c>
      <c r="B8" s="772" t="s">
        <v>2525</v>
      </c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>
        <v>1</v>
      </c>
      <c r="P8" s="930"/>
      <c r="Q8" s="930"/>
      <c r="R8" s="930"/>
      <c r="S8" s="930"/>
      <c r="T8" s="930"/>
      <c r="U8" s="930"/>
      <c r="V8" s="930">
        <v>1</v>
      </c>
      <c r="W8" s="930"/>
      <c r="X8" s="930"/>
      <c r="Y8" s="776">
        <f t="shared" ref="Y8:Y20" si="0">SUM(C8:X8)</f>
        <v>2</v>
      </c>
    </row>
    <row r="9" spans="1:26">
      <c r="A9" s="762" t="s">
        <v>2335</v>
      </c>
      <c r="B9" s="772" t="s">
        <v>2526</v>
      </c>
      <c r="C9" s="930">
        <v>2</v>
      </c>
      <c r="D9" s="930"/>
      <c r="E9" s="930"/>
      <c r="F9" s="930"/>
      <c r="G9" s="930"/>
      <c r="H9" s="930"/>
      <c r="I9" s="930"/>
      <c r="J9" s="930">
        <v>1</v>
      </c>
      <c r="K9" s="930"/>
      <c r="L9" s="930"/>
      <c r="M9" s="930"/>
      <c r="N9" s="930"/>
      <c r="O9" s="930"/>
      <c r="P9" s="930">
        <v>1</v>
      </c>
      <c r="Q9" s="930"/>
      <c r="R9" s="930">
        <v>1</v>
      </c>
      <c r="S9" s="930"/>
      <c r="T9" s="930"/>
      <c r="U9" s="930">
        <v>1</v>
      </c>
      <c r="V9" s="930">
        <v>1</v>
      </c>
      <c r="W9" s="930"/>
      <c r="X9" s="930">
        <v>1</v>
      </c>
      <c r="Y9" s="776">
        <f t="shared" si="0"/>
        <v>8</v>
      </c>
    </row>
    <row r="10" spans="1:26">
      <c r="A10" s="762" t="s">
        <v>2337</v>
      </c>
      <c r="B10" s="772" t="s">
        <v>2527</v>
      </c>
      <c r="C10" s="930"/>
      <c r="D10" s="930"/>
      <c r="E10" s="930"/>
      <c r="F10" s="930"/>
      <c r="G10" s="930"/>
      <c r="H10" s="930"/>
      <c r="I10" s="930"/>
      <c r="J10" s="930">
        <v>1</v>
      </c>
      <c r="K10" s="930"/>
      <c r="L10" s="930"/>
      <c r="M10" s="930"/>
      <c r="N10" s="930"/>
      <c r="O10" s="930"/>
      <c r="P10" s="930"/>
      <c r="Q10" s="930"/>
      <c r="R10" s="930"/>
      <c r="S10" s="930"/>
      <c r="T10" s="930"/>
      <c r="U10" s="930"/>
      <c r="V10" s="930"/>
      <c r="W10" s="930"/>
      <c r="X10" s="930"/>
      <c r="Y10" s="776">
        <f t="shared" si="0"/>
        <v>1</v>
      </c>
    </row>
    <row r="11" spans="1:26">
      <c r="A11" s="762" t="s">
        <v>2336</v>
      </c>
      <c r="B11" s="773" t="s">
        <v>2528</v>
      </c>
      <c r="C11" s="930"/>
      <c r="D11" s="930"/>
      <c r="E11" s="930"/>
      <c r="F11" s="930"/>
      <c r="G11" s="930"/>
      <c r="H11" s="930"/>
      <c r="I11" s="930">
        <v>1</v>
      </c>
      <c r="J11" s="930">
        <v>3</v>
      </c>
      <c r="K11" s="930">
        <v>2</v>
      </c>
      <c r="L11" s="930">
        <v>1</v>
      </c>
      <c r="M11" s="930"/>
      <c r="N11" s="930"/>
      <c r="O11" s="930">
        <v>3</v>
      </c>
      <c r="P11" s="930"/>
      <c r="Q11" s="930">
        <v>1</v>
      </c>
      <c r="R11" s="930">
        <v>1</v>
      </c>
      <c r="S11" s="930">
        <v>5</v>
      </c>
      <c r="T11" s="930">
        <v>4</v>
      </c>
      <c r="U11" s="930">
        <v>1</v>
      </c>
      <c r="V11" s="930">
        <v>3</v>
      </c>
      <c r="W11" s="930">
        <v>5</v>
      </c>
      <c r="X11" s="930">
        <v>1</v>
      </c>
      <c r="Y11" s="776">
        <f t="shared" si="0"/>
        <v>31</v>
      </c>
    </row>
    <row r="12" spans="1:26">
      <c r="A12" s="762">
        <v>5</v>
      </c>
      <c r="B12" s="773" t="s">
        <v>638</v>
      </c>
      <c r="C12" s="930"/>
      <c r="D12" s="930"/>
      <c r="E12" s="930"/>
      <c r="F12" s="930">
        <v>2</v>
      </c>
      <c r="G12" s="930"/>
      <c r="H12" s="930">
        <v>1</v>
      </c>
      <c r="I12" s="930">
        <v>3</v>
      </c>
      <c r="J12" s="930">
        <v>3</v>
      </c>
      <c r="K12" s="930">
        <v>1</v>
      </c>
      <c r="L12" s="930">
        <v>1</v>
      </c>
      <c r="M12" s="930">
        <v>1</v>
      </c>
      <c r="N12" s="930"/>
      <c r="O12" s="930"/>
      <c r="P12" s="930">
        <v>1</v>
      </c>
      <c r="Q12" s="930">
        <v>1</v>
      </c>
      <c r="R12" s="930"/>
      <c r="S12" s="930"/>
      <c r="T12" s="930"/>
      <c r="U12" s="930">
        <v>1</v>
      </c>
      <c r="V12" s="930"/>
      <c r="W12" s="930"/>
      <c r="X12" s="930"/>
      <c r="Y12" s="776">
        <f t="shared" si="0"/>
        <v>15</v>
      </c>
    </row>
    <row r="13" spans="1:26">
      <c r="A13" s="762" t="s">
        <v>2318</v>
      </c>
      <c r="B13" s="772" t="s">
        <v>2529</v>
      </c>
      <c r="C13" s="930"/>
      <c r="D13" s="930"/>
      <c r="E13" s="930"/>
      <c r="F13" s="930"/>
      <c r="G13" s="930"/>
      <c r="H13" s="930"/>
      <c r="I13" s="930"/>
      <c r="J13" s="930"/>
      <c r="K13" s="930"/>
      <c r="L13" s="930"/>
      <c r="M13" s="930"/>
      <c r="N13" s="930"/>
      <c r="O13" s="930"/>
      <c r="P13" s="930"/>
      <c r="Q13" s="930"/>
      <c r="R13" s="930"/>
      <c r="S13" s="930"/>
      <c r="T13" s="930"/>
      <c r="U13" s="930">
        <v>1</v>
      </c>
      <c r="V13" s="930"/>
      <c r="W13" s="930"/>
      <c r="X13" s="930"/>
      <c r="Y13" s="776">
        <f t="shared" si="0"/>
        <v>1</v>
      </c>
    </row>
    <row r="14" spans="1:26">
      <c r="A14" s="762" t="s">
        <v>2344</v>
      </c>
      <c r="B14" s="772" t="s">
        <v>570</v>
      </c>
      <c r="C14" s="930"/>
      <c r="D14" s="930"/>
      <c r="E14" s="930"/>
      <c r="F14" s="930"/>
      <c r="G14" s="930"/>
      <c r="H14" s="930"/>
      <c r="I14" s="930"/>
      <c r="J14" s="930"/>
      <c r="K14" s="930"/>
      <c r="L14" s="930"/>
      <c r="M14" s="930"/>
      <c r="N14" s="930"/>
      <c r="O14" s="930"/>
      <c r="P14" s="930"/>
      <c r="Q14" s="930"/>
      <c r="R14" s="930"/>
      <c r="S14" s="930"/>
      <c r="T14" s="930"/>
      <c r="U14" s="930">
        <v>1</v>
      </c>
      <c r="V14" s="930"/>
      <c r="W14" s="930"/>
      <c r="X14" s="930"/>
      <c r="Y14" s="776">
        <f t="shared" si="0"/>
        <v>1</v>
      </c>
    </row>
    <row r="15" spans="1:26">
      <c r="A15" s="762" t="s">
        <v>2340</v>
      </c>
      <c r="B15" s="772" t="s">
        <v>571</v>
      </c>
      <c r="C15" s="930"/>
      <c r="D15" s="930"/>
      <c r="E15" s="930"/>
      <c r="F15" s="930">
        <v>1</v>
      </c>
      <c r="G15" s="930">
        <v>1</v>
      </c>
      <c r="H15" s="930"/>
      <c r="I15" s="930">
        <v>2</v>
      </c>
      <c r="J15" s="930">
        <v>4</v>
      </c>
      <c r="K15" s="930"/>
      <c r="L15" s="930">
        <v>1</v>
      </c>
      <c r="M15" s="930"/>
      <c r="N15" s="930">
        <v>1</v>
      </c>
      <c r="O15" s="930"/>
      <c r="P15" s="930">
        <v>1</v>
      </c>
      <c r="Q15" s="930">
        <v>1</v>
      </c>
      <c r="R15" s="930"/>
      <c r="S15" s="930"/>
      <c r="T15" s="930"/>
      <c r="U15" s="930">
        <v>1</v>
      </c>
      <c r="V15" s="930">
        <v>1</v>
      </c>
      <c r="W15" s="930">
        <v>1</v>
      </c>
      <c r="X15" s="930">
        <v>1</v>
      </c>
      <c r="Y15" s="776">
        <f t="shared" si="0"/>
        <v>16</v>
      </c>
    </row>
    <row r="16" spans="1:26">
      <c r="A16" s="762" t="s">
        <v>2339</v>
      </c>
      <c r="B16" s="772" t="s">
        <v>2530</v>
      </c>
      <c r="C16" s="930"/>
      <c r="D16" s="930"/>
      <c r="E16" s="930"/>
      <c r="F16" s="930"/>
      <c r="G16" s="930"/>
      <c r="H16" s="930"/>
      <c r="I16" s="930"/>
      <c r="J16" s="930"/>
      <c r="K16" s="930"/>
      <c r="L16" s="930">
        <v>1</v>
      </c>
      <c r="M16" s="930">
        <v>2</v>
      </c>
      <c r="N16" s="930"/>
      <c r="O16" s="930">
        <v>1</v>
      </c>
      <c r="P16" s="930">
        <v>1</v>
      </c>
      <c r="Q16" s="930"/>
      <c r="R16" s="930">
        <v>1</v>
      </c>
      <c r="S16" s="930"/>
      <c r="T16" s="930">
        <v>1</v>
      </c>
      <c r="U16" s="930"/>
      <c r="V16" s="930">
        <v>2</v>
      </c>
      <c r="W16" s="930">
        <v>1</v>
      </c>
      <c r="X16" s="930"/>
      <c r="Y16" s="776">
        <f t="shared" si="0"/>
        <v>10</v>
      </c>
    </row>
    <row r="17" spans="1:25">
      <c r="A17" s="762" t="s">
        <v>2341</v>
      </c>
      <c r="B17" s="772" t="s">
        <v>2531</v>
      </c>
      <c r="C17" s="930"/>
      <c r="D17" s="930"/>
      <c r="E17" s="930"/>
      <c r="F17" s="930"/>
      <c r="G17" s="930"/>
      <c r="H17" s="930"/>
      <c r="I17" s="930">
        <v>1</v>
      </c>
      <c r="J17" s="930"/>
      <c r="K17" s="930">
        <v>1</v>
      </c>
      <c r="L17" s="930"/>
      <c r="M17" s="930">
        <v>3</v>
      </c>
      <c r="N17" s="930"/>
      <c r="O17" s="930">
        <v>4</v>
      </c>
      <c r="P17" s="930">
        <v>1</v>
      </c>
      <c r="Q17" s="930">
        <v>1</v>
      </c>
      <c r="R17" s="930">
        <v>1</v>
      </c>
      <c r="S17" s="930">
        <v>3</v>
      </c>
      <c r="T17" s="930"/>
      <c r="U17" s="930">
        <v>2</v>
      </c>
      <c r="V17" s="930">
        <v>1</v>
      </c>
      <c r="W17" s="930">
        <v>1</v>
      </c>
      <c r="X17" s="930"/>
      <c r="Y17" s="776">
        <f t="shared" si="0"/>
        <v>19</v>
      </c>
    </row>
    <row r="18" spans="1:25">
      <c r="A18" s="762" t="s">
        <v>2342</v>
      </c>
      <c r="B18" s="772" t="s">
        <v>2532</v>
      </c>
      <c r="C18" s="930"/>
      <c r="D18" s="930">
        <v>1</v>
      </c>
      <c r="E18" s="930">
        <v>1</v>
      </c>
      <c r="F18" s="930">
        <v>1</v>
      </c>
      <c r="G18" s="930">
        <v>1</v>
      </c>
      <c r="H18" s="930">
        <v>2</v>
      </c>
      <c r="I18" s="930">
        <v>2</v>
      </c>
      <c r="J18" s="930"/>
      <c r="K18" s="930">
        <v>2</v>
      </c>
      <c r="L18" s="930">
        <v>2</v>
      </c>
      <c r="M18" s="930"/>
      <c r="N18" s="930"/>
      <c r="O18" s="930">
        <v>1</v>
      </c>
      <c r="P18" s="930"/>
      <c r="Q18" s="930"/>
      <c r="R18" s="930"/>
      <c r="S18" s="930"/>
      <c r="T18" s="930"/>
      <c r="U18" s="930"/>
      <c r="V18" s="930"/>
      <c r="W18" s="930"/>
      <c r="X18" s="930"/>
      <c r="Y18" s="776">
        <f t="shared" si="0"/>
        <v>13</v>
      </c>
    </row>
    <row r="19" spans="1:25">
      <c r="A19" s="771" t="s">
        <v>2518</v>
      </c>
      <c r="B19" s="774" t="s">
        <v>2533</v>
      </c>
      <c r="C19" s="930"/>
      <c r="D19" s="930"/>
      <c r="E19" s="930"/>
      <c r="F19" s="930"/>
      <c r="G19" s="930"/>
      <c r="H19" s="930"/>
      <c r="I19" s="930"/>
      <c r="J19" s="930"/>
      <c r="K19" s="930"/>
      <c r="L19" s="930"/>
      <c r="M19" s="930"/>
      <c r="N19" s="930"/>
      <c r="O19" s="930"/>
      <c r="P19" s="930">
        <v>1</v>
      </c>
      <c r="Q19" s="930"/>
      <c r="R19" s="930"/>
      <c r="S19" s="930"/>
      <c r="T19" s="930"/>
      <c r="U19" s="930"/>
      <c r="V19" s="930"/>
      <c r="W19" s="930"/>
      <c r="X19" s="930"/>
      <c r="Y19" s="776">
        <f t="shared" si="0"/>
        <v>1</v>
      </c>
    </row>
    <row r="20" spans="1:25">
      <c r="A20" s="931"/>
      <c r="B20" s="932" t="s">
        <v>2572</v>
      </c>
      <c r="C20" s="898">
        <f>SUM(C7:C19)</f>
        <v>2</v>
      </c>
      <c r="D20" s="898">
        <f t="shared" ref="D20:V20" si="1">SUM(D7:D19)</f>
        <v>1</v>
      </c>
      <c r="E20" s="898">
        <f t="shared" si="1"/>
        <v>1</v>
      </c>
      <c r="F20" s="898">
        <f t="shared" si="1"/>
        <v>4</v>
      </c>
      <c r="G20" s="898">
        <f t="shared" si="1"/>
        <v>2</v>
      </c>
      <c r="H20" s="898">
        <f t="shared" si="1"/>
        <v>3</v>
      </c>
      <c r="I20" s="898">
        <f t="shared" si="1"/>
        <v>9</v>
      </c>
      <c r="J20" s="898">
        <f t="shared" si="1"/>
        <v>12</v>
      </c>
      <c r="K20" s="898">
        <f t="shared" si="1"/>
        <v>6</v>
      </c>
      <c r="L20" s="898">
        <f t="shared" si="1"/>
        <v>7</v>
      </c>
      <c r="M20" s="898">
        <f t="shared" si="1"/>
        <v>6</v>
      </c>
      <c r="N20" s="898">
        <f t="shared" si="1"/>
        <v>1</v>
      </c>
      <c r="O20" s="898">
        <f t="shared" si="1"/>
        <v>10</v>
      </c>
      <c r="P20" s="898">
        <f t="shared" si="1"/>
        <v>6</v>
      </c>
      <c r="Q20" s="898">
        <f t="shared" si="1"/>
        <v>4</v>
      </c>
      <c r="R20" s="898">
        <f t="shared" si="1"/>
        <v>4</v>
      </c>
      <c r="S20" s="898">
        <f t="shared" si="1"/>
        <v>8</v>
      </c>
      <c r="T20" s="898">
        <f t="shared" si="1"/>
        <v>5</v>
      </c>
      <c r="U20" s="898">
        <f t="shared" si="1"/>
        <v>8</v>
      </c>
      <c r="V20" s="898">
        <f t="shared" si="1"/>
        <v>9</v>
      </c>
      <c r="W20" s="898">
        <f>SUM(W7:W19)</f>
        <v>8</v>
      </c>
      <c r="X20" s="898">
        <f>SUM(X7:X19)</f>
        <v>3</v>
      </c>
      <c r="Y20" s="898">
        <f t="shared" si="0"/>
        <v>119</v>
      </c>
    </row>
    <row r="22" spans="1:25">
      <c r="A22" s="760"/>
    </row>
  </sheetData>
  <mergeCells count="6">
    <mergeCell ref="B5:B6"/>
    <mergeCell ref="A5:A6"/>
    <mergeCell ref="A1:W1"/>
    <mergeCell ref="A2:W2"/>
    <mergeCell ref="A3:W3"/>
    <mergeCell ref="C5:X5"/>
  </mergeCells>
  <pageMargins left="0.7" right="0.7" top="0.75" bottom="0.75" header="0.3" footer="0.3"/>
  <pageSetup scale="55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3:G7"/>
  <sheetViews>
    <sheetView workbookViewId="0">
      <selection activeCell="Q20" sqref="Q20"/>
    </sheetView>
  </sheetViews>
  <sheetFormatPr defaultRowHeight="15"/>
  <cols>
    <col min="5" max="5" width="11" bestFit="1" customWidth="1"/>
  </cols>
  <sheetData>
    <row r="3" spans="5:7">
      <c r="E3" t="s">
        <v>2314</v>
      </c>
      <c r="F3">
        <v>25</v>
      </c>
      <c r="G3" s="187">
        <f>F3/F7</f>
        <v>0.29069767441860467</v>
      </c>
    </row>
    <row r="4" spans="5:7">
      <c r="E4" t="s">
        <v>2315</v>
      </c>
      <c r="F4">
        <v>10</v>
      </c>
      <c r="G4" s="187">
        <f>F4/F7</f>
        <v>0.11627906976744186</v>
      </c>
    </row>
    <row r="5" spans="5:7">
      <c r="E5" t="s">
        <v>2316</v>
      </c>
      <c r="F5">
        <v>46</v>
      </c>
      <c r="G5" s="187">
        <f>F5/F7</f>
        <v>0.53488372093023251</v>
      </c>
    </row>
    <row r="6" spans="5:7">
      <c r="E6" t="s">
        <v>2317</v>
      </c>
      <c r="F6">
        <v>5</v>
      </c>
      <c r="G6" s="187">
        <f>F6/F7</f>
        <v>5.8139534883720929E-2</v>
      </c>
    </row>
    <row r="7" spans="5:7">
      <c r="F7">
        <f>SUM(F3:F6)</f>
        <v>86</v>
      </c>
      <c r="G7" s="188">
        <f>SUM(G3:G6)</f>
        <v>0.99999999999999989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2"/>
  <sheetViews>
    <sheetView workbookViewId="0">
      <selection activeCell="D25" sqref="D25"/>
    </sheetView>
  </sheetViews>
  <sheetFormatPr defaultRowHeight="15"/>
  <cols>
    <col min="1" max="1" width="7" customWidth="1"/>
    <col min="2" max="2" width="31.42578125" customWidth="1"/>
    <col min="3" max="22" width="7.7109375" customWidth="1"/>
    <col min="23" max="23" width="11.28515625" bestFit="1" customWidth="1"/>
    <col min="24" max="25" width="5" customWidth="1"/>
  </cols>
  <sheetData>
    <row r="1" spans="1:25">
      <c r="A1" s="947" t="s">
        <v>2555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  <c r="T1" s="947"/>
      <c r="U1" s="947"/>
      <c r="V1" s="947"/>
      <c r="W1" s="947"/>
      <c r="X1" s="763"/>
      <c r="Y1" s="763"/>
    </row>
    <row r="2" spans="1:25">
      <c r="A2" s="947" t="s">
        <v>528</v>
      </c>
      <c r="B2" s="947"/>
      <c r="C2" s="947"/>
      <c r="D2" s="947"/>
      <c r="E2" s="947"/>
      <c r="F2" s="947"/>
      <c r="G2" s="947"/>
      <c r="H2" s="947"/>
      <c r="I2" s="947"/>
      <c r="J2" s="947"/>
      <c r="K2" s="947"/>
      <c r="L2" s="947"/>
      <c r="M2" s="947"/>
      <c r="N2" s="947"/>
      <c r="O2" s="947"/>
      <c r="P2" s="947"/>
      <c r="Q2" s="947"/>
      <c r="R2" s="947"/>
      <c r="S2" s="947"/>
      <c r="T2" s="947"/>
      <c r="U2" s="947"/>
      <c r="V2" s="947"/>
      <c r="W2" s="947"/>
      <c r="X2" s="763"/>
      <c r="Y2" s="763"/>
    </row>
    <row r="3" spans="1:25">
      <c r="A3" s="948" t="s">
        <v>2764</v>
      </c>
      <c r="B3" s="948"/>
      <c r="C3" s="948"/>
      <c r="D3" s="948"/>
      <c r="E3" s="948"/>
      <c r="F3" s="948"/>
      <c r="G3" s="948"/>
      <c r="H3" s="948"/>
      <c r="I3" s="948"/>
      <c r="J3" s="948"/>
      <c r="K3" s="948"/>
      <c r="L3" s="948"/>
      <c r="M3" s="948"/>
      <c r="N3" s="948"/>
      <c r="O3" s="948"/>
      <c r="P3" s="948"/>
      <c r="Q3" s="948"/>
      <c r="R3" s="948"/>
      <c r="S3" s="948"/>
      <c r="T3" s="948"/>
      <c r="U3" s="948"/>
      <c r="V3" s="948"/>
      <c r="W3" s="948"/>
      <c r="X3" s="764"/>
      <c r="Y3" s="764"/>
    </row>
    <row r="5" spans="1:25">
      <c r="A5" s="949" t="s">
        <v>2321</v>
      </c>
      <c r="B5" s="949" t="s">
        <v>5</v>
      </c>
      <c r="C5" s="950" t="s">
        <v>2557</v>
      </c>
      <c r="D5" s="950"/>
      <c r="E5" s="950"/>
      <c r="F5" s="950"/>
      <c r="G5" s="950"/>
      <c r="H5" s="950"/>
      <c r="I5" s="950"/>
      <c r="J5" s="950"/>
      <c r="K5" s="950"/>
      <c r="L5" s="950"/>
      <c r="M5" s="950"/>
      <c r="N5" s="950"/>
      <c r="O5" s="950"/>
      <c r="P5" s="950"/>
      <c r="Q5" s="950"/>
      <c r="R5" s="950"/>
      <c r="S5" s="950"/>
      <c r="T5" s="950"/>
      <c r="U5" s="950"/>
      <c r="V5" s="950"/>
      <c r="W5" s="950"/>
    </row>
    <row r="6" spans="1:25">
      <c r="A6" s="949"/>
      <c r="B6" s="949"/>
      <c r="C6" s="797" t="s">
        <v>2544</v>
      </c>
      <c r="D6" s="797" t="s">
        <v>2547</v>
      </c>
      <c r="E6" s="797" t="s">
        <v>2543</v>
      </c>
      <c r="F6" s="797" t="s">
        <v>2535</v>
      </c>
      <c r="G6" s="797" t="s">
        <v>2536</v>
      </c>
      <c r="H6" s="797" t="s">
        <v>2537</v>
      </c>
      <c r="I6" s="797" t="s">
        <v>2552</v>
      </c>
      <c r="J6" s="797" t="s">
        <v>2550</v>
      </c>
      <c r="K6" s="797" t="s">
        <v>2538</v>
      </c>
      <c r="L6" s="797" t="s">
        <v>2548</v>
      </c>
      <c r="M6" s="797" t="s">
        <v>2551</v>
      </c>
      <c r="N6" s="797" t="s">
        <v>2539</v>
      </c>
      <c r="O6" s="797" t="s">
        <v>2540</v>
      </c>
      <c r="P6" s="797" t="s">
        <v>2546</v>
      </c>
      <c r="Q6" s="797" t="s">
        <v>2541</v>
      </c>
      <c r="R6" s="797" t="s">
        <v>2549</v>
      </c>
      <c r="S6" s="797" t="s">
        <v>2553</v>
      </c>
      <c r="T6" s="797" t="s">
        <v>2542</v>
      </c>
      <c r="U6" s="797" t="s">
        <v>2554</v>
      </c>
      <c r="V6" s="797" t="s">
        <v>2545</v>
      </c>
      <c r="W6" s="797" t="s">
        <v>583</v>
      </c>
    </row>
    <row r="7" spans="1:25">
      <c r="A7" s="776" t="s">
        <v>2333</v>
      </c>
      <c r="B7" s="778" t="s">
        <v>635</v>
      </c>
      <c r="C7" s="930"/>
      <c r="D7" s="930"/>
      <c r="E7" s="930"/>
      <c r="F7" s="930"/>
      <c r="G7" s="930"/>
      <c r="H7" s="930"/>
      <c r="I7" s="930"/>
      <c r="J7" s="930"/>
      <c r="K7" s="930"/>
      <c r="L7" s="930"/>
      <c r="M7" s="930">
        <v>1</v>
      </c>
      <c r="N7" s="930"/>
      <c r="O7" s="930"/>
      <c r="P7" s="930"/>
      <c r="Q7" s="930"/>
      <c r="R7" s="930"/>
      <c r="S7" s="930"/>
      <c r="T7" s="930"/>
      <c r="U7" s="930"/>
      <c r="V7" s="930"/>
      <c r="W7" s="775">
        <f>SUM(C7:V7)</f>
        <v>1</v>
      </c>
    </row>
    <row r="8" spans="1:25">
      <c r="A8" s="776" t="s">
        <v>2334</v>
      </c>
      <c r="B8" s="778" t="s">
        <v>2525</v>
      </c>
      <c r="C8" s="930"/>
      <c r="D8" s="930"/>
      <c r="E8" s="930">
        <v>1</v>
      </c>
      <c r="F8" s="930"/>
      <c r="G8" s="930"/>
      <c r="H8" s="930"/>
      <c r="I8" s="930"/>
      <c r="J8" s="930"/>
      <c r="K8" s="930"/>
      <c r="L8" s="930">
        <v>1</v>
      </c>
      <c r="M8" s="930"/>
      <c r="N8" s="930"/>
      <c r="O8" s="930"/>
      <c r="P8" s="930"/>
      <c r="Q8" s="930"/>
      <c r="R8" s="930"/>
      <c r="S8" s="930"/>
      <c r="T8" s="930"/>
      <c r="U8" s="930"/>
      <c r="V8" s="930"/>
      <c r="W8" s="775">
        <f t="shared" ref="W8:W19" si="0">SUM(C8:V8)</f>
        <v>2</v>
      </c>
    </row>
    <row r="9" spans="1:25">
      <c r="A9" s="776" t="s">
        <v>2335</v>
      </c>
      <c r="B9" s="778" t="s">
        <v>2526</v>
      </c>
      <c r="C9" s="930">
        <v>1</v>
      </c>
      <c r="D9" s="930"/>
      <c r="E9" s="930">
        <v>1</v>
      </c>
      <c r="F9" s="930">
        <v>1</v>
      </c>
      <c r="G9" s="930"/>
      <c r="H9" s="930">
        <v>1</v>
      </c>
      <c r="I9" s="930"/>
      <c r="J9" s="930"/>
      <c r="K9" s="930">
        <v>1</v>
      </c>
      <c r="L9" s="930"/>
      <c r="M9" s="930"/>
      <c r="N9" s="930"/>
      <c r="O9" s="930"/>
      <c r="P9" s="930">
        <v>1</v>
      </c>
      <c r="Q9" s="930"/>
      <c r="R9" s="930"/>
      <c r="S9" s="930"/>
      <c r="T9" s="930"/>
      <c r="U9" s="930"/>
      <c r="V9" s="930">
        <v>2</v>
      </c>
      <c r="W9" s="775">
        <f t="shared" si="0"/>
        <v>8</v>
      </c>
    </row>
    <row r="10" spans="1:25">
      <c r="A10" s="776" t="s">
        <v>2337</v>
      </c>
      <c r="B10" s="778" t="s">
        <v>2527</v>
      </c>
      <c r="C10" s="930"/>
      <c r="D10" s="930"/>
      <c r="E10" s="930"/>
      <c r="F10" s="930"/>
      <c r="G10" s="930"/>
      <c r="H10" s="930"/>
      <c r="I10" s="930"/>
      <c r="J10" s="930"/>
      <c r="K10" s="930"/>
      <c r="L10" s="930"/>
      <c r="M10" s="930"/>
      <c r="N10" s="930"/>
      <c r="O10" s="930"/>
      <c r="P10" s="930">
        <v>1</v>
      </c>
      <c r="Q10" s="930"/>
      <c r="R10" s="930"/>
      <c r="S10" s="930"/>
      <c r="T10" s="930"/>
      <c r="U10" s="930"/>
      <c r="V10" s="930"/>
      <c r="W10" s="775">
        <f t="shared" si="0"/>
        <v>1</v>
      </c>
    </row>
    <row r="11" spans="1:25">
      <c r="A11" s="776" t="s">
        <v>2336</v>
      </c>
      <c r="B11" s="779" t="s">
        <v>2528</v>
      </c>
      <c r="C11" s="930">
        <v>1</v>
      </c>
      <c r="D11" s="930">
        <v>6</v>
      </c>
      <c r="E11" s="930">
        <v>3</v>
      </c>
      <c r="F11" s="930"/>
      <c r="G11" s="930">
        <v>6</v>
      </c>
      <c r="H11" s="930">
        <v>3</v>
      </c>
      <c r="I11" s="930">
        <v>1</v>
      </c>
      <c r="J11" s="930">
        <v>1</v>
      </c>
      <c r="K11" s="930"/>
      <c r="L11" s="930">
        <v>3</v>
      </c>
      <c r="M11" s="930"/>
      <c r="N11" s="930">
        <v>1</v>
      </c>
      <c r="O11" s="930">
        <v>3</v>
      </c>
      <c r="P11" s="930">
        <v>2</v>
      </c>
      <c r="Q11" s="930">
        <v>1</v>
      </c>
      <c r="R11" s="930"/>
      <c r="S11" s="930"/>
      <c r="T11" s="930"/>
      <c r="U11" s="930"/>
      <c r="V11" s="930"/>
      <c r="W11" s="775">
        <f t="shared" si="0"/>
        <v>31</v>
      </c>
    </row>
    <row r="12" spans="1:25">
      <c r="A12" s="776">
        <v>5</v>
      </c>
      <c r="B12" s="779" t="s">
        <v>638</v>
      </c>
      <c r="C12" s="930"/>
      <c r="D12" s="930"/>
      <c r="E12" s="930"/>
      <c r="F12" s="930">
        <v>1</v>
      </c>
      <c r="G12" s="930"/>
      <c r="H12" s="930"/>
      <c r="I12" s="930">
        <v>1</v>
      </c>
      <c r="J12" s="930"/>
      <c r="K12" s="930">
        <v>1</v>
      </c>
      <c r="L12" s="930"/>
      <c r="M12" s="930">
        <v>1</v>
      </c>
      <c r="N12" s="930">
        <v>1</v>
      </c>
      <c r="O12" s="930">
        <v>1</v>
      </c>
      <c r="P12" s="930">
        <v>2</v>
      </c>
      <c r="Q12" s="930">
        <v>4</v>
      </c>
      <c r="R12" s="930">
        <v>1</v>
      </c>
      <c r="S12" s="930"/>
      <c r="T12" s="930">
        <v>2</v>
      </c>
      <c r="U12" s="930"/>
      <c r="V12" s="930"/>
      <c r="W12" s="775">
        <f t="shared" si="0"/>
        <v>15</v>
      </c>
    </row>
    <row r="13" spans="1:25">
      <c r="A13" s="776" t="s">
        <v>2318</v>
      </c>
      <c r="B13" s="778" t="s">
        <v>2529</v>
      </c>
      <c r="C13" s="930"/>
      <c r="D13" s="930"/>
      <c r="E13" s="930"/>
      <c r="F13" s="930">
        <v>1</v>
      </c>
      <c r="G13" s="930"/>
      <c r="H13" s="930"/>
      <c r="I13" s="930"/>
      <c r="J13" s="930"/>
      <c r="K13" s="930"/>
      <c r="L13" s="930"/>
      <c r="M13" s="930"/>
      <c r="N13" s="930"/>
      <c r="O13" s="930"/>
      <c r="P13" s="930"/>
      <c r="Q13" s="930"/>
      <c r="R13" s="930"/>
      <c r="S13" s="930"/>
      <c r="T13" s="930"/>
      <c r="U13" s="930"/>
      <c r="V13" s="930"/>
      <c r="W13" s="775">
        <f t="shared" si="0"/>
        <v>1</v>
      </c>
    </row>
    <row r="14" spans="1:25">
      <c r="A14" s="776" t="s">
        <v>2344</v>
      </c>
      <c r="B14" s="778" t="s">
        <v>570</v>
      </c>
      <c r="C14" s="930"/>
      <c r="D14" s="930"/>
      <c r="E14" s="930"/>
      <c r="F14" s="930"/>
      <c r="G14" s="930">
        <v>1</v>
      </c>
      <c r="H14" s="930"/>
      <c r="I14" s="930"/>
      <c r="J14" s="930"/>
      <c r="K14" s="930"/>
      <c r="L14" s="930"/>
      <c r="M14" s="930"/>
      <c r="N14" s="930"/>
      <c r="O14" s="930"/>
      <c r="P14" s="930"/>
      <c r="Q14" s="930"/>
      <c r="R14" s="930"/>
      <c r="S14" s="930"/>
      <c r="T14" s="930"/>
      <c r="U14" s="930"/>
      <c r="V14" s="930"/>
      <c r="W14" s="775">
        <f t="shared" si="0"/>
        <v>1</v>
      </c>
    </row>
    <row r="15" spans="1:25">
      <c r="A15" s="776" t="s">
        <v>2340</v>
      </c>
      <c r="B15" s="778" t="s">
        <v>571</v>
      </c>
      <c r="C15" s="930">
        <v>1</v>
      </c>
      <c r="D15" s="930">
        <v>1</v>
      </c>
      <c r="E15" s="930">
        <v>2</v>
      </c>
      <c r="F15" s="930"/>
      <c r="G15" s="930"/>
      <c r="H15" s="930"/>
      <c r="I15" s="930"/>
      <c r="J15" s="930">
        <v>1</v>
      </c>
      <c r="K15" s="930">
        <v>1</v>
      </c>
      <c r="L15" s="930"/>
      <c r="M15" s="930">
        <v>2</v>
      </c>
      <c r="N15" s="930"/>
      <c r="O15" s="930"/>
      <c r="P15" s="930">
        <v>4</v>
      </c>
      <c r="Q15" s="930">
        <v>2</v>
      </c>
      <c r="R15" s="930"/>
      <c r="S15" s="930"/>
      <c r="T15" s="930">
        <v>2</v>
      </c>
      <c r="U15" s="930"/>
      <c r="V15" s="930"/>
      <c r="W15" s="775">
        <f t="shared" si="0"/>
        <v>16</v>
      </c>
    </row>
    <row r="16" spans="1:25">
      <c r="A16" s="776" t="s">
        <v>2339</v>
      </c>
      <c r="B16" s="778" t="s">
        <v>2530</v>
      </c>
      <c r="C16" s="930"/>
      <c r="D16" s="930">
        <v>1</v>
      </c>
      <c r="E16" s="930">
        <v>2</v>
      </c>
      <c r="F16" s="930"/>
      <c r="G16" s="930">
        <v>1</v>
      </c>
      <c r="H16" s="930">
        <v>1</v>
      </c>
      <c r="I16" s="930"/>
      <c r="J16" s="930"/>
      <c r="K16" s="930">
        <v>1</v>
      </c>
      <c r="L16" s="930">
        <v>1</v>
      </c>
      <c r="M16" s="930">
        <v>3</v>
      </c>
      <c r="N16" s="930"/>
      <c r="O16" s="930"/>
      <c r="P16" s="930"/>
      <c r="Q16" s="930"/>
      <c r="R16" s="930"/>
      <c r="S16" s="930"/>
      <c r="T16" s="930"/>
      <c r="U16" s="930"/>
      <c r="V16" s="930"/>
      <c r="W16" s="775">
        <f t="shared" si="0"/>
        <v>10</v>
      </c>
    </row>
    <row r="17" spans="1:23">
      <c r="A17" s="776" t="s">
        <v>2341</v>
      </c>
      <c r="B17" s="778" t="s">
        <v>2531</v>
      </c>
      <c r="C17" s="930"/>
      <c r="D17" s="930">
        <v>2</v>
      </c>
      <c r="E17" s="930"/>
      <c r="F17" s="930">
        <v>2</v>
      </c>
      <c r="G17" s="930"/>
      <c r="H17" s="930">
        <v>3</v>
      </c>
      <c r="I17" s="930">
        <v>1</v>
      </c>
      <c r="J17" s="930">
        <v>1</v>
      </c>
      <c r="K17" s="930">
        <v>1</v>
      </c>
      <c r="L17" s="930">
        <v>4</v>
      </c>
      <c r="M17" s="930">
        <v>2</v>
      </c>
      <c r="N17" s="930">
        <v>2</v>
      </c>
      <c r="O17" s="930"/>
      <c r="P17" s="930"/>
      <c r="Q17" s="930">
        <v>1</v>
      </c>
      <c r="R17" s="930"/>
      <c r="S17" s="930"/>
      <c r="T17" s="930"/>
      <c r="U17" s="930"/>
      <c r="V17" s="930"/>
      <c r="W17" s="775">
        <f t="shared" si="0"/>
        <v>19</v>
      </c>
    </row>
    <row r="18" spans="1:23">
      <c r="A18" s="776" t="s">
        <v>2342</v>
      </c>
      <c r="B18" s="778" t="s">
        <v>2532</v>
      </c>
      <c r="C18" s="930"/>
      <c r="D18" s="930"/>
      <c r="E18" s="930"/>
      <c r="F18" s="930"/>
      <c r="G18" s="930"/>
      <c r="H18" s="930"/>
      <c r="I18" s="930"/>
      <c r="J18" s="930"/>
      <c r="K18" s="930"/>
      <c r="L18" s="930"/>
      <c r="M18" s="930"/>
      <c r="N18" s="930">
        <v>4</v>
      </c>
      <c r="O18" s="930">
        <v>1</v>
      </c>
      <c r="P18" s="930">
        <v>1</v>
      </c>
      <c r="Q18" s="930">
        <v>3</v>
      </c>
      <c r="R18" s="930"/>
      <c r="S18" s="930">
        <v>2</v>
      </c>
      <c r="T18" s="930">
        <v>1</v>
      </c>
      <c r="U18" s="930">
        <v>1</v>
      </c>
      <c r="V18" s="930"/>
      <c r="W18" s="775">
        <f t="shared" si="0"/>
        <v>13</v>
      </c>
    </row>
    <row r="19" spans="1:23">
      <c r="A19" s="776" t="s">
        <v>2518</v>
      </c>
      <c r="B19" s="778" t="s">
        <v>2533</v>
      </c>
      <c r="C19" s="930"/>
      <c r="D19" s="930"/>
      <c r="E19" s="930"/>
      <c r="F19" s="930"/>
      <c r="G19" s="930"/>
      <c r="H19" s="930"/>
      <c r="I19" s="930"/>
      <c r="J19" s="930"/>
      <c r="K19" s="930">
        <v>1</v>
      </c>
      <c r="L19" s="930"/>
      <c r="M19" s="930"/>
      <c r="N19" s="930"/>
      <c r="O19" s="930"/>
      <c r="P19" s="930"/>
      <c r="Q19" s="930"/>
      <c r="R19" s="930"/>
      <c r="S19" s="930"/>
      <c r="T19" s="930"/>
      <c r="U19" s="930"/>
      <c r="V19" s="930"/>
      <c r="W19" s="775">
        <f t="shared" si="0"/>
        <v>1</v>
      </c>
    </row>
    <row r="20" spans="1:23">
      <c r="A20" s="931"/>
      <c r="B20" s="777" t="s">
        <v>583</v>
      </c>
      <c r="C20" s="933">
        <f>SUM(C7:C19)</f>
        <v>3</v>
      </c>
      <c r="D20" s="933">
        <f t="shared" ref="D20:V20" si="1">SUM(D7:D19)</f>
        <v>10</v>
      </c>
      <c r="E20" s="933">
        <f t="shared" si="1"/>
        <v>9</v>
      </c>
      <c r="F20" s="933">
        <f t="shared" si="1"/>
        <v>5</v>
      </c>
      <c r="G20" s="933">
        <f t="shared" si="1"/>
        <v>8</v>
      </c>
      <c r="H20" s="933">
        <f t="shared" si="1"/>
        <v>8</v>
      </c>
      <c r="I20" s="933">
        <f t="shared" si="1"/>
        <v>3</v>
      </c>
      <c r="J20" s="933">
        <f t="shared" si="1"/>
        <v>3</v>
      </c>
      <c r="K20" s="933">
        <f t="shared" si="1"/>
        <v>6</v>
      </c>
      <c r="L20" s="933">
        <f t="shared" si="1"/>
        <v>9</v>
      </c>
      <c r="M20" s="933">
        <f t="shared" si="1"/>
        <v>9</v>
      </c>
      <c r="N20" s="933">
        <f t="shared" si="1"/>
        <v>8</v>
      </c>
      <c r="O20" s="933">
        <f t="shared" si="1"/>
        <v>5</v>
      </c>
      <c r="P20" s="933">
        <f t="shared" si="1"/>
        <v>11</v>
      </c>
      <c r="Q20" s="933">
        <f t="shared" si="1"/>
        <v>11</v>
      </c>
      <c r="R20" s="933">
        <f t="shared" si="1"/>
        <v>1</v>
      </c>
      <c r="S20" s="933">
        <f t="shared" si="1"/>
        <v>2</v>
      </c>
      <c r="T20" s="933">
        <f t="shared" si="1"/>
        <v>5</v>
      </c>
      <c r="U20" s="933">
        <f t="shared" si="1"/>
        <v>1</v>
      </c>
      <c r="V20" s="933">
        <f t="shared" si="1"/>
        <v>2</v>
      </c>
      <c r="W20" s="933">
        <f>SUM(W7:W19)</f>
        <v>119</v>
      </c>
    </row>
    <row r="21" spans="1:23">
      <c r="A21" s="760"/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</row>
    <row r="22" spans="1:23">
      <c r="A22" s="760"/>
      <c r="B22" s="761"/>
      <c r="C22" s="761"/>
      <c r="D22" s="761"/>
      <c r="E22" s="761"/>
      <c r="F22" s="761"/>
      <c r="G22" s="761"/>
      <c r="H22" s="761"/>
      <c r="I22" s="761"/>
      <c r="J22" s="761"/>
      <c r="K22" s="761"/>
      <c r="L22" s="761"/>
      <c r="M22" s="761"/>
      <c r="N22" s="761"/>
      <c r="O22" s="761"/>
      <c r="P22" s="761"/>
      <c r="Q22" s="761"/>
      <c r="R22" s="761"/>
      <c r="S22" s="761"/>
      <c r="T22" s="761"/>
      <c r="U22" s="761"/>
      <c r="V22" s="761"/>
      <c r="W22" s="761"/>
    </row>
  </sheetData>
  <mergeCells count="6">
    <mergeCell ref="A5:A6"/>
    <mergeCell ref="B5:B6"/>
    <mergeCell ref="A1:W1"/>
    <mergeCell ref="A2:W2"/>
    <mergeCell ref="A3:W3"/>
    <mergeCell ref="C5:W5"/>
  </mergeCells>
  <pageMargins left="0.7" right="0.7" top="0.75" bottom="0.75" header="0.3" footer="0.3"/>
  <pageSetup scale="5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X18"/>
  <sheetViews>
    <sheetView workbookViewId="0">
      <selection activeCell="C6" sqref="C6"/>
    </sheetView>
  </sheetViews>
  <sheetFormatPr defaultRowHeight="15"/>
  <cols>
    <col min="1" max="1" width="14" bestFit="1" customWidth="1"/>
    <col min="2" max="2" width="16.28515625" bestFit="1" customWidth="1"/>
    <col min="3" max="12" width="3" bestFit="1" customWidth="1"/>
    <col min="13" max="13" width="3.5703125" bestFit="1" customWidth="1"/>
    <col min="14" max="23" width="3" bestFit="1" customWidth="1"/>
    <col min="24" max="24" width="11.28515625" bestFit="1" customWidth="1"/>
    <col min="25" max="25" width="24.28515625" bestFit="1" customWidth="1"/>
    <col min="26" max="26" width="14" bestFit="1" customWidth="1"/>
    <col min="27" max="27" width="24.28515625" bestFit="1" customWidth="1"/>
    <col min="28" max="28" width="14" bestFit="1" customWidth="1"/>
    <col min="29" max="29" width="24.28515625" bestFit="1" customWidth="1"/>
    <col min="30" max="30" width="14" bestFit="1" customWidth="1"/>
    <col min="31" max="31" width="24.28515625" bestFit="1" customWidth="1"/>
    <col min="32" max="32" width="14" bestFit="1" customWidth="1"/>
    <col min="33" max="33" width="24.28515625" bestFit="1" customWidth="1"/>
    <col min="34" max="34" width="14" bestFit="1" customWidth="1"/>
    <col min="35" max="35" width="24.28515625" bestFit="1" customWidth="1"/>
    <col min="36" max="36" width="14" bestFit="1" customWidth="1"/>
    <col min="37" max="37" width="24.28515625" bestFit="1" customWidth="1"/>
    <col min="38" max="38" width="14" bestFit="1" customWidth="1"/>
    <col min="39" max="39" width="24.28515625" bestFit="1" customWidth="1"/>
    <col min="40" max="40" width="14" bestFit="1" customWidth="1"/>
    <col min="41" max="41" width="24.28515625" bestFit="1" customWidth="1"/>
    <col min="42" max="42" width="14" bestFit="1" customWidth="1"/>
    <col min="43" max="43" width="24.28515625" bestFit="1" customWidth="1"/>
    <col min="44" max="44" width="14" bestFit="1" customWidth="1"/>
    <col min="45" max="45" width="24.28515625" bestFit="1" customWidth="1"/>
    <col min="46" max="46" width="19" bestFit="1" customWidth="1"/>
    <col min="47" max="47" width="29.28515625" bestFit="1" customWidth="1"/>
  </cols>
  <sheetData>
    <row r="3" spans="1:24">
      <c r="A3" s="929" t="s">
        <v>2823</v>
      </c>
      <c r="B3" s="929" t="s">
        <v>2824</v>
      </c>
    </row>
    <row r="4" spans="1:24">
      <c r="A4" s="929" t="s">
        <v>2820</v>
      </c>
      <c r="B4" t="s">
        <v>730</v>
      </c>
      <c r="C4" t="s">
        <v>737</v>
      </c>
      <c r="D4" t="s">
        <v>738</v>
      </c>
      <c r="E4" t="s">
        <v>739</v>
      </c>
      <c r="F4" t="s">
        <v>740</v>
      </c>
      <c r="G4" t="s">
        <v>741</v>
      </c>
      <c r="H4" t="s">
        <v>742</v>
      </c>
      <c r="I4" t="s">
        <v>743</v>
      </c>
      <c r="J4" t="s">
        <v>744</v>
      </c>
      <c r="K4" t="s">
        <v>745</v>
      </c>
      <c r="L4" t="s">
        <v>746</v>
      </c>
      <c r="M4" t="s">
        <v>2816</v>
      </c>
      <c r="N4" t="s">
        <v>747</v>
      </c>
      <c r="O4" t="s">
        <v>748</v>
      </c>
      <c r="P4" t="s">
        <v>749</v>
      </c>
      <c r="Q4" t="s">
        <v>750</v>
      </c>
      <c r="R4" t="s">
        <v>751</v>
      </c>
      <c r="S4" t="s">
        <v>752</v>
      </c>
      <c r="T4" t="s">
        <v>753</v>
      </c>
      <c r="U4" t="s">
        <v>754</v>
      </c>
      <c r="V4" t="s">
        <v>755</v>
      </c>
      <c r="W4" t="s">
        <v>756</v>
      </c>
      <c r="X4" t="s">
        <v>2821</v>
      </c>
    </row>
    <row r="5" spans="1:24">
      <c r="A5" s="760">
        <v>5</v>
      </c>
      <c r="B5" s="761"/>
      <c r="C5" s="761"/>
      <c r="D5" s="761"/>
      <c r="E5" s="761">
        <v>2</v>
      </c>
      <c r="F5" s="761"/>
      <c r="G5" s="761">
        <v>1</v>
      </c>
      <c r="H5" s="761">
        <v>3</v>
      </c>
      <c r="I5" s="761">
        <v>3</v>
      </c>
      <c r="J5" s="761">
        <v>1</v>
      </c>
      <c r="K5" s="761">
        <v>1</v>
      </c>
      <c r="L5" s="761">
        <v>1</v>
      </c>
      <c r="M5" s="761"/>
      <c r="N5" s="761"/>
      <c r="O5" s="761">
        <v>1</v>
      </c>
      <c r="P5" s="761">
        <v>1</v>
      </c>
      <c r="Q5" s="761"/>
      <c r="R5" s="761"/>
      <c r="S5" s="761"/>
      <c r="T5" s="761">
        <v>1</v>
      </c>
      <c r="U5" s="761"/>
      <c r="V5" s="761"/>
      <c r="W5" s="761"/>
      <c r="X5" s="761">
        <v>15</v>
      </c>
    </row>
    <row r="6" spans="1:24">
      <c r="A6" s="760" t="s">
        <v>2334</v>
      </c>
      <c r="B6" s="761"/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1">
        <v>1</v>
      </c>
      <c r="O6" s="761"/>
      <c r="P6" s="761"/>
      <c r="Q6" s="761"/>
      <c r="R6" s="761"/>
      <c r="S6" s="761"/>
      <c r="T6" s="761"/>
      <c r="U6" s="761">
        <v>1</v>
      </c>
      <c r="V6" s="761"/>
      <c r="W6" s="761"/>
      <c r="X6" s="761">
        <v>2</v>
      </c>
    </row>
    <row r="7" spans="1:24">
      <c r="A7" s="760" t="s">
        <v>2335</v>
      </c>
      <c r="B7" s="761">
        <v>2</v>
      </c>
      <c r="C7" s="761"/>
      <c r="D7" s="761"/>
      <c r="E7" s="761"/>
      <c r="F7" s="761"/>
      <c r="G7" s="761"/>
      <c r="H7" s="761"/>
      <c r="I7" s="761">
        <v>1</v>
      </c>
      <c r="J7" s="761"/>
      <c r="K7" s="761"/>
      <c r="L7" s="761"/>
      <c r="M7" s="761"/>
      <c r="N7" s="761"/>
      <c r="O7" s="761">
        <v>1</v>
      </c>
      <c r="P7" s="761"/>
      <c r="Q7" s="761">
        <v>1</v>
      </c>
      <c r="R7" s="761"/>
      <c r="S7" s="761"/>
      <c r="T7" s="761">
        <v>1</v>
      </c>
      <c r="U7" s="761">
        <v>1</v>
      </c>
      <c r="V7" s="761"/>
      <c r="W7" s="761">
        <v>1</v>
      </c>
      <c r="X7" s="761">
        <v>8</v>
      </c>
    </row>
    <row r="8" spans="1:24">
      <c r="A8" s="760" t="s">
        <v>2337</v>
      </c>
      <c r="B8" s="761"/>
      <c r="C8" s="761"/>
      <c r="D8" s="761"/>
      <c r="E8" s="761"/>
      <c r="F8" s="761"/>
      <c r="G8" s="761"/>
      <c r="H8" s="761"/>
      <c r="I8" s="761">
        <v>1</v>
      </c>
      <c r="J8" s="761"/>
      <c r="K8" s="761"/>
      <c r="L8" s="761"/>
      <c r="M8" s="761"/>
      <c r="N8" s="761"/>
      <c r="O8" s="761"/>
      <c r="P8" s="761"/>
      <c r="Q8" s="761"/>
      <c r="R8" s="761"/>
      <c r="S8" s="761"/>
      <c r="T8" s="761"/>
      <c r="U8" s="761"/>
      <c r="V8" s="761"/>
      <c r="W8" s="761"/>
      <c r="X8" s="761">
        <v>1</v>
      </c>
    </row>
    <row r="9" spans="1:24">
      <c r="A9" s="760" t="s">
        <v>2336</v>
      </c>
      <c r="B9" s="761"/>
      <c r="C9" s="761"/>
      <c r="D9" s="761"/>
      <c r="E9" s="761"/>
      <c r="F9" s="761"/>
      <c r="G9" s="761"/>
      <c r="H9" s="761">
        <v>1</v>
      </c>
      <c r="I9" s="761">
        <v>3</v>
      </c>
      <c r="J9" s="761">
        <v>2</v>
      </c>
      <c r="K9" s="761">
        <v>1</v>
      </c>
      <c r="L9" s="761"/>
      <c r="M9" s="761"/>
      <c r="N9" s="761">
        <v>3</v>
      </c>
      <c r="O9" s="761"/>
      <c r="P9" s="761">
        <v>1</v>
      </c>
      <c r="Q9" s="761">
        <v>1</v>
      </c>
      <c r="R9" s="761">
        <v>5</v>
      </c>
      <c r="S9" s="761">
        <v>4</v>
      </c>
      <c r="T9" s="761">
        <v>1</v>
      </c>
      <c r="U9" s="761">
        <v>3</v>
      </c>
      <c r="V9" s="761">
        <v>5</v>
      </c>
      <c r="W9" s="761">
        <v>1</v>
      </c>
      <c r="X9" s="761">
        <v>31</v>
      </c>
    </row>
    <row r="10" spans="1:24">
      <c r="A10" s="760" t="s">
        <v>2333</v>
      </c>
      <c r="B10" s="761"/>
      <c r="C10" s="761"/>
      <c r="D10" s="761"/>
      <c r="E10" s="761"/>
      <c r="F10" s="761"/>
      <c r="G10" s="761"/>
      <c r="H10" s="761"/>
      <c r="I10" s="761"/>
      <c r="J10" s="761"/>
      <c r="K10" s="761">
        <v>1</v>
      </c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>
        <v>1</v>
      </c>
    </row>
    <row r="11" spans="1:24">
      <c r="A11" s="760" t="s">
        <v>2318</v>
      </c>
      <c r="B11" s="761"/>
      <c r="C11" s="761"/>
      <c r="D11" s="761"/>
      <c r="E11" s="761"/>
      <c r="F11" s="761"/>
      <c r="G11" s="761"/>
      <c r="H11" s="761"/>
      <c r="I11" s="761"/>
      <c r="J11" s="761"/>
      <c r="K11" s="761"/>
      <c r="L11" s="761"/>
      <c r="M11" s="761"/>
      <c r="N11" s="761"/>
      <c r="O11" s="761"/>
      <c r="P11" s="761"/>
      <c r="Q11" s="761"/>
      <c r="R11" s="761"/>
      <c r="S11" s="761"/>
      <c r="T11" s="761">
        <v>1</v>
      </c>
      <c r="U11" s="761"/>
      <c r="V11" s="761"/>
      <c r="W11" s="761"/>
      <c r="X11" s="761">
        <v>1</v>
      </c>
    </row>
    <row r="12" spans="1:24">
      <c r="A12" s="760" t="s">
        <v>2344</v>
      </c>
      <c r="B12" s="761"/>
      <c r="C12" s="761"/>
      <c r="D12" s="761"/>
      <c r="E12" s="761"/>
      <c r="F12" s="761"/>
      <c r="G12" s="761"/>
      <c r="H12" s="761"/>
      <c r="I12" s="761"/>
      <c r="J12" s="761"/>
      <c r="K12" s="761"/>
      <c r="L12" s="761"/>
      <c r="M12" s="761"/>
      <c r="N12" s="761"/>
      <c r="O12" s="761"/>
      <c r="P12" s="761"/>
      <c r="Q12" s="761"/>
      <c r="R12" s="761"/>
      <c r="S12" s="761"/>
      <c r="T12" s="761">
        <v>1</v>
      </c>
      <c r="U12" s="761"/>
      <c r="V12" s="761"/>
      <c r="W12" s="761"/>
      <c r="X12" s="761">
        <v>1</v>
      </c>
    </row>
    <row r="13" spans="1:24">
      <c r="A13" s="760" t="s">
        <v>2340</v>
      </c>
      <c r="B13" s="761"/>
      <c r="C13" s="761"/>
      <c r="D13" s="761"/>
      <c r="E13" s="761">
        <v>1</v>
      </c>
      <c r="F13" s="761">
        <v>1</v>
      </c>
      <c r="G13" s="761"/>
      <c r="H13" s="761">
        <v>2</v>
      </c>
      <c r="I13" s="761">
        <v>4</v>
      </c>
      <c r="J13" s="761"/>
      <c r="K13" s="761">
        <v>1</v>
      </c>
      <c r="L13" s="761"/>
      <c r="M13" s="761">
        <v>1</v>
      </c>
      <c r="N13" s="761"/>
      <c r="O13" s="761">
        <v>1</v>
      </c>
      <c r="P13" s="761">
        <v>1</v>
      </c>
      <c r="Q13" s="761"/>
      <c r="R13" s="761"/>
      <c r="S13" s="761"/>
      <c r="T13" s="761">
        <v>1</v>
      </c>
      <c r="U13" s="761">
        <v>1</v>
      </c>
      <c r="V13" s="761">
        <v>1</v>
      </c>
      <c r="W13" s="761">
        <v>1</v>
      </c>
      <c r="X13" s="761">
        <v>16</v>
      </c>
    </row>
    <row r="14" spans="1:24">
      <c r="A14" s="760" t="s">
        <v>2339</v>
      </c>
      <c r="B14" s="761"/>
      <c r="C14" s="761"/>
      <c r="D14" s="761"/>
      <c r="E14" s="761"/>
      <c r="F14" s="761"/>
      <c r="G14" s="761"/>
      <c r="H14" s="761"/>
      <c r="I14" s="761"/>
      <c r="J14" s="761"/>
      <c r="K14" s="761">
        <v>1</v>
      </c>
      <c r="L14" s="761">
        <v>2</v>
      </c>
      <c r="M14" s="761"/>
      <c r="N14" s="761">
        <v>1</v>
      </c>
      <c r="O14" s="761">
        <v>1</v>
      </c>
      <c r="P14" s="761"/>
      <c r="Q14" s="761">
        <v>1</v>
      </c>
      <c r="R14" s="761"/>
      <c r="S14" s="761">
        <v>1</v>
      </c>
      <c r="T14" s="761"/>
      <c r="U14" s="761">
        <v>2</v>
      </c>
      <c r="V14" s="761">
        <v>1</v>
      </c>
      <c r="W14" s="761"/>
      <c r="X14" s="761">
        <v>10</v>
      </c>
    </row>
    <row r="15" spans="1:24">
      <c r="A15" s="760" t="s">
        <v>2341</v>
      </c>
      <c r="B15" s="761"/>
      <c r="C15" s="761"/>
      <c r="D15" s="761"/>
      <c r="E15" s="761"/>
      <c r="F15" s="761"/>
      <c r="G15" s="761"/>
      <c r="H15" s="761">
        <v>1</v>
      </c>
      <c r="I15" s="761"/>
      <c r="J15" s="761">
        <v>1</v>
      </c>
      <c r="K15" s="761"/>
      <c r="L15" s="761">
        <v>3</v>
      </c>
      <c r="M15" s="761"/>
      <c r="N15" s="761">
        <v>4</v>
      </c>
      <c r="O15" s="761">
        <v>1</v>
      </c>
      <c r="P15" s="761">
        <v>1</v>
      </c>
      <c r="Q15" s="761">
        <v>1</v>
      </c>
      <c r="R15" s="761">
        <v>3</v>
      </c>
      <c r="S15" s="761"/>
      <c r="T15" s="761">
        <v>2</v>
      </c>
      <c r="U15" s="761">
        <v>1</v>
      </c>
      <c r="V15" s="761">
        <v>1</v>
      </c>
      <c r="W15" s="761"/>
      <c r="X15" s="761">
        <v>19</v>
      </c>
    </row>
    <row r="16" spans="1:24">
      <c r="A16" s="760" t="s">
        <v>2342</v>
      </c>
      <c r="B16" s="761"/>
      <c r="C16" s="761">
        <v>1</v>
      </c>
      <c r="D16" s="761">
        <v>1</v>
      </c>
      <c r="E16" s="761">
        <v>1</v>
      </c>
      <c r="F16" s="761">
        <v>1</v>
      </c>
      <c r="G16" s="761">
        <v>2</v>
      </c>
      <c r="H16" s="761">
        <v>2</v>
      </c>
      <c r="I16" s="761"/>
      <c r="J16" s="761">
        <v>2</v>
      </c>
      <c r="K16" s="761">
        <v>2</v>
      </c>
      <c r="L16" s="761"/>
      <c r="M16" s="761"/>
      <c r="N16" s="761">
        <v>1</v>
      </c>
      <c r="O16" s="761"/>
      <c r="P16" s="761"/>
      <c r="Q16" s="761"/>
      <c r="R16" s="761"/>
      <c r="S16" s="761"/>
      <c r="T16" s="761"/>
      <c r="U16" s="761"/>
      <c r="V16" s="761"/>
      <c r="W16" s="761"/>
      <c r="X16" s="761">
        <v>13</v>
      </c>
    </row>
    <row r="17" spans="1:24">
      <c r="A17" s="760" t="s">
        <v>2518</v>
      </c>
      <c r="B17" s="761"/>
      <c r="C17" s="761"/>
      <c r="D17" s="761"/>
      <c r="E17" s="761"/>
      <c r="F17" s="761"/>
      <c r="G17" s="761"/>
      <c r="H17" s="761"/>
      <c r="I17" s="761"/>
      <c r="J17" s="761"/>
      <c r="K17" s="761"/>
      <c r="L17" s="761"/>
      <c r="M17" s="761"/>
      <c r="N17" s="761"/>
      <c r="O17" s="761">
        <v>1</v>
      </c>
      <c r="P17" s="761"/>
      <c r="Q17" s="761"/>
      <c r="R17" s="761"/>
      <c r="S17" s="761"/>
      <c r="T17" s="761"/>
      <c r="U17" s="761"/>
      <c r="V17" s="761"/>
      <c r="W17" s="761"/>
      <c r="X17" s="761">
        <v>1</v>
      </c>
    </row>
    <row r="18" spans="1:24">
      <c r="A18" s="760" t="s">
        <v>2821</v>
      </c>
      <c r="B18" s="761">
        <v>2</v>
      </c>
      <c r="C18" s="761">
        <v>1</v>
      </c>
      <c r="D18" s="761">
        <v>1</v>
      </c>
      <c r="E18" s="761">
        <v>4</v>
      </c>
      <c r="F18" s="761">
        <v>2</v>
      </c>
      <c r="G18" s="761">
        <v>3</v>
      </c>
      <c r="H18" s="761">
        <v>9</v>
      </c>
      <c r="I18" s="761">
        <v>12</v>
      </c>
      <c r="J18" s="761">
        <v>6</v>
      </c>
      <c r="K18" s="761">
        <v>7</v>
      </c>
      <c r="L18" s="761">
        <v>6</v>
      </c>
      <c r="M18" s="761">
        <v>1</v>
      </c>
      <c r="N18" s="761">
        <v>10</v>
      </c>
      <c r="O18" s="761">
        <v>6</v>
      </c>
      <c r="P18" s="761">
        <v>4</v>
      </c>
      <c r="Q18" s="761">
        <v>4</v>
      </c>
      <c r="R18" s="761">
        <v>8</v>
      </c>
      <c r="S18" s="761">
        <v>5</v>
      </c>
      <c r="T18" s="761">
        <v>8</v>
      </c>
      <c r="U18" s="761">
        <v>9</v>
      </c>
      <c r="V18" s="761">
        <v>8</v>
      </c>
      <c r="W18" s="761">
        <v>3</v>
      </c>
      <c r="X18" s="761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V18"/>
  <sheetViews>
    <sheetView workbookViewId="0">
      <selection activeCell="A5" sqref="A5:V17"/>
      <pivotSelection pane="bottomRight" showHeader="1" extendable="1" axis="axisRow" max="14" activeRow="4" previousRow="16" click="1" r:id="rId1">
        <pivotArea dataOnly="0" axis="axisRow" fieldPosition="0">
          <references count="1">
            <reference field="3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Selection>
    </sheetView>
  </sheetViews>
  <sheetFormatPr defaultRowHeight="15"/>
  <cols>
    <col min="1" max="1" width="19.7109375" bestFit="1" customWidth="1"/>
    <col min="2" max="2" width="16.28515625" bestFit="1" customWidth="1"/>
    <col min="3" max="21" width="5" bestFit="1" customWidth="1"/>
    <col min="22" max="22" width="11.28515625" bestFit="1" customWidth="1"/>
  </cols>
  <sheetData>
    <row r="3" spans="1:22">
      <c r="A3" s="929" t="s">
        <v>2822</v>
      </c>
      <c r="B3" s="929" t="s">
        <v>2824</v>
      </c>
    </row>
    <row r="4" spans="1:22">
      <c r="A4" s="929" t="s">
        <v>2820</v>
      </c>
      <c r="B4" t="s">
        <v>2544</v>
      </c>
      <c r="C4" t="s">
        <v>2547</v>
      </c>
      <c r="D4" t="s">
        <v>2543</v>
      </c>
      <c r="E4" t="s">
        <v>2535</v>
      </c>
      <c r="F4" t="s">
        <v>2536</v>
      </c>
      <c r="G4" t="s">
        <v>2537</v>
      </c>
      <c r="H4" t="s">
        <v>2552</v>
      </c>
      <c r="I4" t="s">
        <v>2550</v>
      </c>
      <c r="J4" t="s">
        <v>2538</v>
      </c>
      <c r="K4" t="s">
        <v>2548</v>
      </c>
      <c r="L4" t="s">
        <v>2551</v>
      </c>
      <c r="M4" t="s">
        <v>2539</v>
      </c>
      <c r="N4" t="s">
        <v>2540</v>
      </c>
      <c r="O4" t="s">
        <v>2546</v>
      </c>
      <c r="P4" t="s">
        <v>2541</v>
      </c>
      <c r="Q4" t="s">
        <v>2549</v>
      </c>
      <c r="R4" t="s">
        <v>2553</v>
      </c>
      <c r="S4" t="s">
        <v>2542</v>
      </c>
      <c r="T4" t="s">
        <v>2554</v>
      </c>
      <c r="U4" t="s">
        <v>2545</v>
      </c>
      <c r="V4" t="s">
        <v>2821</v>
      </c>
    </row>
    <row r="5" spans="1:22">
      <c r="A5" s="760">
        <v>5</v>
      </c>
      <c r="B5" s="761"/>
      <c r="C5" s="761"/>
      <c r="D5" s="761"/>
      <c r="E5" s="761">
        <v>1</v>
      </c>
      <c r="F5" s="761"/>
      <c r="G5" s="761"/>
      <c r="H5" s="761">
        <v>1</v>
      </c>
      <c r="I5" s="761"/>
      <c r="J5" s="761">
        <v>1</v>
      </c>
      <c r="K5" s="761"/>
      <c r="L5" s="761">
        <v>1</v>
      </c>
      <c r="M5" s="761">
        <v>1</v>
      </c>
      <c r="N5" s="761">
        <v>1</v>
      </c>
      <c r="O5" s="761">
        <v>2</v>
      </c>
      <c r="P5" s="761">
        <v>4</v>
      </c>
      <c r="Q5" s="761">
        <v>1</v>
      </c>
      <c r="R5" s="761"/>
      <c r="S5" s="761">
        <v>2</v>
      </c>
      <c r="T5" s="761"/>
      <c r="U5" s="761"/>
      <c r="V5" s="761">
        <v>15</v>
      </c>
    </row>
    <row r="6" spans="1:22">
      <c r="A6" s="760" t="s">
        <v>2334</v>
      </c>
      <c r="B6" s="761"/>
      <c r="C6" s="761"/>
      <c r="D6" s="761">
        <v>1</v>
      </c>
      <c r="E6" s="761"/>
      <c r="F6" s="761"/>
      <c r="G6" s="761"/>
      <c r="H6" s="761"/>
      <c r="I6" s="761"/>
      <c r="J6" s="761"/>
      <c r="K6" s="761">
        <v>1</v>
      </c>
      <c r="L6" s="761"/>
      <c r="M6" s="761"/>
      <c r="N6" s="761"/>
      <c r="O6" s="761"/>
      <c r="P6" s="761"/>
      <c r="Q6" s="761"/>
      <c r="R6" s="761"/>
      <c r="S6" s="761"/>
      <c r="T6" s="761"/>
      <c r="U6" s="761"/>
      <c r="V6" s="761">
        <v>2</v>
      </c>
    </row>
    <row r="7" spans="1:22">
      <c r="A7" s="760" t="s">
        <v>2335</v>
      </c>
      <c r="B7" s="761">
        <v>1</v>
      </c>
      <c r="C7" s="761"/>
      <c r="D7" s="761">
        <v>1</v>
      </c>
      <c r="E7" s="761">
        <v>1</v>
      </c>
      <c r="F7" s="761"/>
      <c r="G7" s="761">
        <v>1</v>
      </c>
      <c r="H7" s="761"/>
      <c r="I7" s="761"/>
      <c r="J7" s="761">
        <v>1</v>
      </c>
      <c r="K7" s="761"/>
      <c r="L7" s="761"/>
      <c r="M7" s="761"/>
      <c r="N7" s="761"/>
      <c r="O7" s="761">
        <v>1</v>
      </c>
      <c r="P7" s="761"/>
      <c r="Q7" s="761"/>
      <c r="R7" s="761"/>
      <c r="S7" s="761"/>
      <c r="T7" s="761"/>
      <c r="U7" s="761">
        <v>2</v>
      </c>
      <c r="V7" s="761">
        <v>8</v>
      </c>
    </row>
    <row r="8" spans="1:22">
      <c r="A8" s="760" t="s">
        <v>2337</v>
      </c>
      <c r="B8" s="761"/>
      <c r="C8" s="761"/>
      <c r="D8" s="761"/>
      <c r="E8" s="761"/>
      <c r="F8" s="761"/>
      <c r="G8" s="761"/>
      <c r="H8" s="761"/>
      <c r="I8" s="761"/>
      <c r="J8" s="761"/>
      <c r="K8" s="761"/>
      <c r="L8" s="761"/>
      <c r="M8" s="761"/>
      <c r="N8" s="761"/>
      <c r="O8" s="761">
        <v>1</v>
      </c>
      <c r="P8" s="761"/>
      <c r="Q8" s="761"/>
      <c r="R8" s="761"/>
      <c r="S8" s="761"/>
      <c r="T8" s="761"/>
      <c r="U8" s="761"/>
      <c r="V8" s="761">
        <v>1</v>
      </c>
    </row>
    <row r="9" spans="1:22">
      <c r="A9" s="760" t="s">
        <v>2336</v>
      </c>
      <c r="B9" s="761">
        <v>1</v>
      </c>
      <c r="C9" s="761">
        <v>6</v>
      </c>
      <c r="D9" s="761">
        <v>3</v>
      </c>
      <c r="E9" s="761"/>
      <c r="F9" s="761">
        <v>6</v>
      </c>
      <c r="G9" s="761">
        <v>3</v>
      </c>
      <c r="H9" s="761">
        <v>1</v>
      </c>
      <c r="I9" s="761">
        <v>1</v>
      </c>
      <c r="J9" s="761"/>
      <c r="K9" s="761">
        <v>3</v>
      </c>
      <c r="L9" s="761"/>
      <c r="M9" s="761">
        <v>1</v>
      </c>
      <c r="N9" s="761">
        <v>3</v>
      </c>
      <c r="O9" s="761">
        <v>2</v>
      </c>
      <c r="P9" s="761">
        <v>1</v>
      </c>
      <c r="Q9" s="761"/>
      <c r="R9" s="761"/>
      <c r="S9" s="761"/>
      <c r="T9" s="761"/>
      <c r="U9" s="761"/>
      <c r="V9" s="761">
        <v>31</v>
      </c>
    </row>
    <row r="10" spans="1:22">
      <c r="A10" s="760" t="s">
        <v>2333</v>
      </c>
      <c r="B10" s="761"/>
      <c r="C10" s="761"/>
      <c r="D10" s="761"/>
      <c r="E10" s="761"/>
      <c r="F10" s="761"/>
      <c r="G10" s="761"/>
      <c r="H10" s="761"/>
      <c r="I10" s="761"/>
      <c r="J10" s="761"/>
      <c r="K10" s="761"/>
      <c r="L10" s="761">
        <v>1</v>
      </c>
      <c r="M10" s="761"/>
      <c r="N10" s="761"/>
      <c r="O10" s="761"/>
      <c r="P10" s="761"/>
      <c r="Q10" s="761"/>
      <c r="R10" s="761"/>
      <c r="S10" s="761"/>
      <c r="T10" s="761"/>
      <c r="U10" s="761"/>
      <c r="V10" s="761">
        <v>1</v>
      </c>
    </row>
    <row r="11" spans="1:22">
      <c r="A11" s="760" t="s">
        <v>2318</v>
      </c>
      <c r="B11" s="761"/>
      <c r="C11" s="761"/>
      <c r="D11" s="761"/>
      <c r="E11" s="761">
        <v>1</v>
      </c>
      <c r="F11" s="761"/>
      <c r="G11" s="761"/>
      <c r="H11" s="761"/>
      <c r="I11" s="761"/>
      <c r="J11" s="761"/>
      <c r="K11" s="761"/>
      <c r="L11" s="761"/>
      <c r="M11" s="761"/>
      <c r="N11" s="761"/>
      <c r="O11" s="761"/>
      <c r="P11" s="761"/>
      <c r="Q11" s="761"/>
      <c r="R11" s="761"/>
      <c r="S11" s="761"/>
      <c r="T11" s="761"/>
      <c r="U11" s="761"/>
      <c r="V11" s="761">
        <v>1</v>
      </c>
    </row>
    <row r="12" spans="1:22">
      <c r="A12" s="760" t="s">
        <v>2344</v>
      </c>
      <c r="B12" s="761"/>
      <c r="C12" s="761"/>
      <c r="D12" s="761"/>
      <c r="E12" s="761"/>
      <c r="F12" s="761">
        <v>1</v>
      </c>
      <c r="G12" s="761"/>
      <c r="H12" s="761"/>
      <c r="I12" s="761"/>
      <c r="J12" s="761"/>
      <c r="K12" s="761"/>
      <c r="L12" s="761"/>
      <c r="M12" s="761"/>
      <c r="N12" s="761"/>
      <c r="O12" s="761"/>
      <c r="P12" s="761"/>
      <c r="Q12" s="761"/>
      <c r="R12" s="761"/>
      <c r="S12" s="761"/>
      <c r="T12" s="761"/>
      <c r="U12" s="761"/>
      <c r="V12" s="761">
        <v>1</v>
      </c>
    </row>
    <row r="13" spans="1:22">
      <c r="A13" s="760" t="s">
        <v>2340</v>
      </c>
      <c r="B13" s="761">
        <v>1</v>
      </c>
      <c r="C13" s="761">
        <v>1</v>
      </c>
      <c r="D13" s="761">
        <v>2</v>
      </c>
      <c r="E13" s="761"/>
      <c r="F13" s="761"/>
      <c r="G13" s="761"/>
      <c r="H13" s="761"/>
      <c r="I13" s="761">
        <v>1</v>
      </c>
      <c r="J13" s="761">
        <v>1</v>
      </c>
      <c r="K13" s="761"/>
      <c r="L13" s="761">
        <v>2</v>
      </c>
      <c r="M13" s="761"/>
      <c r="N13" s="761"/>
      <c r="O13" s="761">
        <v>4</v>
      </c>
      <c r="P13" s="761">
        <v>2</v>
      </c>
      <c r="Q13" s="761"/>
      <c r="R13" s="761"/>
      <c r="S13" s="761">
        <v>2</v>
      </c>
      <c r="T13" s="761"/>
      <c r="U13" s="761"/>
      <c r="V13" s="761">
        <v>16</v>
      </c>
    </row>
    <row r="14" spans="1:22">
      <c r="A14" s="760" t="s">
        <v>2339</v>
      </c>
      <c r="B14" s="761"/>
      <c r="C14" s="761">
        <v>1</v>
      </c>
      <c r="D14" s="761">
        <v>2</v>
      </c>
      <c r="E14" s="761"/>
      <c r="F14" s="761">
        <v>1</v>
      </c>
      <c r="G14" s="761">
        <v>1</v>
      </c>
      <c r="H14" s="761"/>
      <c r="I14" s="761"/>
      <c r="J14" s="761">
        <v>1</v>
      </c>
      <c r="K14" s="761">
        <v>1</v>
      </c>
      <c r="L14" s="761">
        <v>3</v>
      </c>
      <c r="M14" s="761"/>
      <c r="N14" s="761"/>
      <c r="O14" s="761"/>
      <c r="P14" s="761"/>
      <c r="Q14" s="761"/>
      <c r="R14" s="761"/>
      <c r="S14" s="761"/>
      <c r="T14" s="761"/>
      <c r="U14" s="761"/>
      <c r="V14" s="761">
        <v>10</v>
      </c>
    </row>
    <row r="15" spans="1:22">
      <c r="A15" s="760" t="s">
        <v>2341</v>
      </c>
      <c r="B15" s="761"/>
      <c r="C15" s="761">
        <v>2</v>
      </c>
      <c r="D15" s="761"/>
      <c r="E15" s="761">
        <v>2</v>
      </c>
      <c r="F15" s="761"/>
      <c r="G15" s="761">
        <v>3</v>
      </c>
      <c r="H15" s="761">
        <v>1</v>
      </c>
      <c r="I15" s="761">
        <v>1</v>
      </c>
      <c r="J15" s="761">
        <v>1</v>
      </c>
      <c r="K15" s="761">
        <v>4</v>
      </c>
      <c r="L15" s="761">
        <v>2</v>
      </c>
      <c r="M15" s="761">
        <v>2</v>
      </c>
      <c r="N15" s="761"/>
      <c r="O15" s="761"/>
      <c r="P15" s="761">
        <v>1</v>
      </c>
      <c r="Q15" s="761"/>
      <c r="R15" s="761"/>
      <c r="S15" s="761"/>
      <c r="T15" s="761"/>
      <c r="U15" s="761"/>
      <c r="V15" s="761">
        <v>19</v>
      </c>
    </row>
    <row r="16" spans="1:22">
      <c r="A16" s="760" t="s">
        <v>2342</v>
      </c>
      <c r="B16" s="761"/>
      <c r="C16" s="761"/>
      <c r="D16" s="761"/>
      <c r="E16" s="761"/>
      <c r="F16" s="761"/>
      <c r="G16" s="761"/>
      <c r="H16" s="761"/>
      <c r="I16" s="761"/>
      <c r="J16" s="761"/>
      <c r="K16" s="761"/>
      <c r="L16" s="761"/>
      <c r="M16" s="761">
        <v>4</v>
      </c>
      <c r="N16" s="761">
        <v>1</v>
      </c>
      <c r="O16" s="761">
        <v>1</v>
      </c>
      <c r="P16" s="761">
        <v>3</v>
      </c>
      <c r="Q16" s="761"/>
      <c r="R16" s="761">
        <v>2</v>
      </c>
      <c r="S16" s="761">
        <v>1</v>
      </c>
      <c r="T16" s="761">
        <v>1</v>
      </c>
      <c r="U16" s="761"/>
      <c r="V16" s="761">
        <v>13</v>
      </c>
    </row>
    <row r="17" spans="1:22">
      <c r="A17" s="760" t="s">
        <v>2518</v>
      </c>
      <c r="B17" s="761"/>
      <c r="C17" s="761"/>
      <c r="D17" s="761"/>
      <c r="E17" s="761"/>
      <c r="F17" s="761"/>
      <c r="G17" s="761"/>
      <c r="H17" s="761"/>
      <c r="I17" s="761"/>
      <c r="J17" s="761">
        <v>1</v>
      </c>
      <c r="K17" s="761"/>
      <c r="L17" s="761"/>
      <c r="M17" s="761"/>
      <c r="N17" s="761"/>
      <c r="O17" s="761"/>
      <c r="P17" s="761"/>
      <c r="Q17" s="761"/>
      <c r="R17" s="761"/>
      <c r="S17" s="761"/>
      <c r="T17" s="761"/>
      <c r="U17" s="761"/>
      <c r="V17" s="761">
        <v>1</v>
      </c>
    </row>
    <row r="18" spans="1:22">
      <c r="A18" s="760" t="s">
        <v>2821</v>
      </c>
      <c r="B18" s="761">
        <v>3</v>
      </c>
      <c r="C18" s="761">
        <v>10</v>
      </c>
      <c r="D18" s="761">
        <v>9</v>
      </c>
      <c r="E18" s="761">
        <v>5</v>
      </c>
      <c r="F18" s="761">
        <v>8</v>
      </c>
      <c r="G18" s="761">
        <v>8</v>
      </c>
      <c r="H18" s="761">
        <v>3</v>
      </c>
      <c r="I18" s="761">
        <v>3</v>
      </c>
      <c r="J18" s="761">
        <v>6</v>
      </c>
      <c r="K18" s="761">
        <v>9</v>
      </c>
      <c r="L18" s="761">
        <v>9</v>
      </c>
      <c r="M18" s="761">
        <v>8</v>
      </c>
      <c r="N18" s="761">
        <v>5</v>
      </c>
      <c r="O18" s="761">
        <v>11</v>
      </c>
      <c r="P18" s="761">
        <v>11</v>
      </c>
      <c r="Q18" s="761">
        <v>1</v>
      </c>
      <c r="R18" s="761">
        <v>2</v>
      </c>
      <c r="S18" s="761">
        <v>5</v>
      </c>
      <c r="T18" s="761">
        <v>1</v>
      </c>
      <c r="U18" s="761">
        <v>2</v>
      </c>
      <c r="V18" s="761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39"/>
  <sheetViews>
    <sheetView tabSelected="1" view="pageBreakPreview" topLeftCell="E1" zoomScaleNormal="55" zoomScaleSheetLayoutView="100" workbookViewId="0">
      <selection activeCell="E6" sqref="E6"/>
    </sheetView>
  </sheetViews>
  <sheetFormatPr defaultRowHeight="15"/>
  <cols>
    <col min="1" max="1" width="6.42578125" style="28" bestFit="1" customWidth="1"/>
    <col min="2" max="2" width="6.85546875" style="811" customWidth="1"/>
    <col min="3" max="3" width="30.140625" style="28" bestFit="1" customWidth="1"/>
    <col min="4" max="4" width="7.140625" style="28" bestFit="1" customWidth="1"/>
    <col min="5" max="5" width="43" style="28" bestFit="1" customWidth="1"/>
    <col min="6" max="6" width="8.7109375" style="28" customWidth="1"/>
    <col min="7" max="7" width="4.42578125" style="28" bestFit="1" customWidth="1"/>
    <col min="8" max="8" width="7.42578125" style="28" customWidth="1"/>
    <col min="9" max="9" width="5.7109375" style="28" customWidth="1"/>
    <col min="10" max="10" width="4.42578125" style="28" customWidth="1"/>
    <col min="11" max="11" width="19.5703125" style="32" customWidth="1"/>
    <col min="12" max="12" width="8.42578125" style="316" bestFit="1" customWidth="1"/>
    <col min="13" max="13" width="8.42578125" style="316" customWidth="1"/>
    <col min="14" max="14" width="19.5703125" style="32" customWidth="1"/>
    <col min="15" max="15" width="6.5703125" style="32" bestFit="1" customWidth="1"/>
    <col min="16" max="16" width="19" style="32" customWidth="1"/>
    <col min="17" max="17" width="4.7109375" style="28" customWidth="1"/>
    <col min="18" max="18" width="8.140625" style="28" customWidth="1"/>
    <col min="19" max="19" width="9.85546875" style="28" customWidth="1"/>
    <col min="20" max="20" width="7.42578125" style="55" customWidth="1"/>
    <col min="21" max="21" width="78.140625" style="28" bestFit="1" customWidth="1"/>
    <col min="22" max="16384" width="9.140625" style="28"/>
  </cols>
  <sheetData>
    <row r="1" spans="1:25" ht="19.5">
      <c r="A1" s="951" t="s">
        <v>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  <c r="S1" s="951"/>
      <c r="T1" s="951"/>
      <c r="U1" s="951"/>
    </row>
    <row r="2" spans="1:25" ht="19.5">
      <c r="A2" s="951" t="s">
        <v>2772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  <c r="Q2" s="951"/>
      <c r="R2" s="951"/>
      <c r="S2" s="951"/>
      <c r="T2" s="951"/>
      <c r="U2" s="951"/>
    </row>
    <row r="3" spans="1:25" ht="19.5">
      <c r="A3" s="1"/>
      <c r="B3" s="804"/>
      <c r="C3" s="900"/>
      <c r="D3" s="900"/>
      <c r="E3" s="900"/>
      <c r="F3" s="900"/>
      <c r="G3" s="900"/>
      <c r="H3" s="900"/>
      <c r="I3" s="900"/>
      <c r="J3" s="900"/>
      <c r="K3" s="30"/>
      <c r="L3" s="30"/>
      <c r="M3" s="30"/>
      <c r="N3" s="33"/>
      <c r="O3" s="33"/>
      <c r="P3" s="33"/>
      <c r="Q3" s="900"/>
      <c r="R3" s="900"/>
      <c r="S3" s="900"/>
      <c r="T3" s="900"/>
      <c r="U3" s="900"/>
    </row>
    <row r="4" spans="1:25" ht="10.5" customHeight="1" thickBot="1">
      <c r="A4" s="1"/>
      <c r="B4" s="804"/>
      <c r="C4" s="3"/>
      <c r="D4" s="1"/>
      <c r="E4" s="3"/>
      <c r="F4" s="3"/>
      <c r="G4" s="660"/>
      <c r="H4" s="660"/>
      <c r="I4" s="660"/>
      <c r="J4" s="660"/>
      <c r="K4" s="31"/>
      <c r="L4" s="313"/>
      <c r="M4" s="313"/>
      <c r="N4" s="34"/>
      <c r="O4" s="34"/>
      <c r="P4" s="34"/>
      <c r="Q4" s="1"/>
      <c r="R4" s="1"/>
      <c r="S4" s="1"/>
      <c r="T4" s="1"/>
      <c r="U4" s="1"/>
    </row>
    <row r="5" spans="1:25" s="407" customFormat="1" ht="30" customHeight="1" thickTop="1">
      <c r="A5" s="926" t="s">
        <v>1</v>
      </c>
      <c r="B5" s="927" t="s">
        <v>2</v>
      </c>
      <c r="C5" s="920" t="s">
        <v>3</v>
      </c>
      <c r="D5" s="920" t="s">
        <v>2321</v>
      </c>
      <c r="E5" s="920" t="s">
        <v>5</v>
      </c>
      <c r="F5" s="928" t="s">
        <v>6</v>
      </c>
      <c r="G5" s="924" t="s">
        <v>2523</v>
      </c>
      <c r="H5" s="924" t="s">
        <v>2433</v>
      </c>
      <c r="I5" s="923" t="s">
        <v>2432</v>
      </c>
      <c r="J5" s="924" t="s">
        <v>7</v>
      </c>
      <c r="K5" s="925" t="s">
        <v>2825</v>
      </c>
      <c r="L5" s="920" t="s">
        <v>809</v>
      </c>
      <c r="M5" s="920" t="s">
        <v>2566</v>
      </c>
      <c r="N5" s="921" t="s">
        <v>808</v>
      </c>
      <c r="O5" s="921" t="s">
        <v>2569</v>
      </c>
      <c r="P5" s="921" t="s">
        <v>2557</v>
      </c>
      <c r="Q5" s="919" t="s">
        <v>10</v>
      </c>
      <c r="R5" s="918" t="s">
        <v>2818</v>
      </c>
      <c r="S5" s="918" t="s">
        <v>2819</v>
      </c>
      <c r="T5" s="922" t="s">
        <v>2571</v>
      </c>
      <c r="U5" s="899" t="s">
        <v>12</v>
      </c>
    </row>
    <row r="6" spans="1:25" s="407" customFormat="1" ht="12.95" customHeight="1">
      <c r="A6" s="408">
        <v>1</v>
      </c>
      <c r="B6" s="817">
        <v>10313</v>
      </c>
      <c r="C6" s="410" t="str">
        <f>VLOOKUP(B6,MASTER!$B$8:$C$137,2,FALSE)</f>
        <v>JOHANNES MANCELLY</v>
      </c>
      <c r="D6" s="409" t="s">
        <v>2333</v>
      </c>
      <c r="E6" s="410" t="s">
        <v>635</v>
      </c>
      <c r="F6" s="411" t="s">
        <v>18</v>
      </c>
      <c r="G6" s="411" t="str">
        <f>VLOOKUP(B6,MASTER!$B$8:$H$1435,6,FALSE)</f>
        <v>K</v>
      </c>
      <c r="H6" s="411">
        <f>VLOOKUP(B6,MASTER!$B$8:$H$1435,7,FALSE)</f>
        <v>2</v>
      </c>
      <c r="I6" s="411">
        <f>VLOOKUP(B6,MASTER!$B$8:$V$1435,8,FALSE)</f>
        <v>2</v>
      </c>
      <c r="J6" s="411" t="str">
        <f>VLOOKUP(B6,MASTER!$B$8:$V$1435,9,FALSE)</f>
        <v>L</v>
      </c>
      <c r="K6" s="438">
        <f>VLOOKUP(B6,MASTER!$B$8:$V$1435,11,FALSE)</f>
        <v>26650</v>
      </c>
      <c r="L6" s="422" t="str">
        <f t="shared" ref="L6" ca="1" si="0">DATEDIF(K6,TODAY(),"Y") &amp; "." &amp;DATEDIF(K6,TODAY(),"YM")</f>
        <v>45.4</v>
      </c>
      <c r="M6" s="789" t="s">
        <v>745</v>
      </c>
      <c r="N6" s="413">
        <f>VLOOKUP(B6,MASTER!$B$8:$V$1435,14,FALSE)</f>
        <v>37900</v>
      </c>
      <c r="O6" s="422" t="str">
        <f t="shared" ref="O6" ca="1" si="1">DATEDIF(N6,TODAY(),"Y") &amp; "." &amp;DATEDIF(N6,TODAY(),"YM")</f>
        <v>14.6</v>
      </c>
      <c r="P6" s="413">
        <f>VLOOKUP(B6,MASTER!$B$8:$V$1435,16,FALSE)</f>
        <v>47104</v>
      </c>
      <c r="Q6" s="414" t="str">
        <f>VLOOKUP(B6,MASTER!$B$8:$V$1435,17,FALSE)</f>
        <v>K</v>
      </c>
      <c r="R6" s="411" t="str">
        <f>VLOOKUP(B6,MASTER!$B$8:$V$1435,18,FALSE)</f>
        <v>S1</v>
      </c>
      <c r="S6" s="411" t="str">
        <f>VLOOKUP(B6,MASTER!$B$8:$V$1435,19,FALSE)</f>
        <v>S2</v>
      </c>
      <c r="T6" s="411" t="str">
        <f>VLOOKUP(B6,MASTER!$B$8:$V$1435,20,FALSE)</f>
        <v>A</v>
      </c>
      <c r="U6" s="415" t="str">
        <f>VLOOKUP($B6,ALAMAT!$A$1:E237,4)</f>
        <v xml:space="preserve">Jl. Raya Tengah Gang Remaja RT 05 RW 03 Gedong Pasar Rebo Jakarta Timur </v>
      </c>
      <c r="X6" s="407">
        <f t="shared" ref="X6:X37" ca="1" si="2">DATEDIF(K6,TODAY(),"y")</f>
        <v>45</v>
      </c>
      <c r="Y6" s="407">
        <f ca="1">DATEDIF(N6,TODAY(),"y")</f>
        <v>14</v>
      </c>
    </row>
    <row r="7" spans="1:25" s="407" customFormat="1" ht="12.95" customHeight="1">
      <c r="A7" s="421">
        <v>2</v>
      </c>
      <c r="B7" s="817">
        <v>4067</v>
      </c>
      <c r="C7" s="410" t="str">
        <f>VLOOKUP(B7,MASTER!$B$8:$C$137,2,FALSE)</f>
        <v>ZAIMIL</v>
      </c>
      <c r="D7" s="409" t="s">
        <v>2334</v>
      </c>
      <c r="E7" s="410" t="s">
        <v>676</v>
      </c>
      <c r="F7" s="411" t="s">
        <v>18</v>
      </c>
      <c r="G7" s="411" t="str">
        <f>VLOOKUP(B7,MASTER!$B$8:$H$1435,6,FALSE)</f>
        <v>K</v>
      </c>
      <c r="H7" s="411">
        <f>VLOOKUP(B7,MASTER!$B$8:$H$1435,7,FALSE)</f>
        <v>2</v>
      </c>
      <c r="I7" s="411">
        <f>VLOOKUP(B7,MASTER!$B$8:$V$1435,8,FALSE)</f>
        <v>1</v>
      </c>
      <c r="J7" s="411" t="str">
        <f>VLOOKUP(B7,MASTER!$B$8:$V$1435,9,FALSE)</f>
        <v>L</v>
      </c>
      <c r="K7" s="438">
        <f>VLOOKUP(B7,MASTER!$B$8:$V$1435,11,FALSE)</f>
        <v>23572</v>
      </c>
      <c r="L7" s="676" t="str">
        <f ca="1">DATEDIF(K7,TODAY(),"Y") &amp; "." &amp;DATEDIF(K7,TODAY(),"YM")</f>
        <v>53.9</v>
      </c>
      <c r="M7" s="759" t="s">
        <v>754</v>
      </c>
      <c r="N7" s="413">
        <f>VLOOKUP(B7,MASTER!$B$8:$V$1435,14,FALSE)</f>
        <v>31761</v>
      </c>
      <c r="O7" s="422" t="str">
        <f t="shared" ref="O7:O17" ca="1" si="3">DATEDIF(N7,TODAY(),"Y") &amp; "." &amp;DATEDIF(N7,TODAY(),"YM")</f>
        <v>31.4</v>
      </c>
      <c r="P7" s="438">
        <f>VLOOKUP(B7,MASTER!$B$8:$V$1435,16,FALSE)</f>
        <v>44026</v>
      </c>
      <c r="Q7" s="677" t="str">
        <f>VLOOKUP(B7,MASTER!$B$8:$V$1435,17,FALSE)</f>
        <v>I</v>
      </c>
      <c r="R7" s="436" t="str">
        <f>VLOOKUP(B7,MASTER!$B$8:$V$1435,18,FALSE)</f>
        <v>S1</v>
      </c>
      <c r="S7" s="436" t="str">
        <f>VLOOKUP(B7,MASTER!$B$8:$V$1435,19,FALSE)</f>
        <v>S1</v>
      </c>
      <c r="T7" s="608" t="str">
        <f>VLOOKUP(B7,MASTER!$B$8:$V$1435,20,FALSE)</f>
        <v>B</v>
      </c>
      <c r="U7" s="415" t="str">
        <f>VLOOKUP($B7,ALAMAT!$A$1:E240,4)</f>
        <v>Dayung III C No. 7 RT 004/ RW 006 Kelapa Dua Kabupaten Tangerang Banten</v>
      </c>
      <c r="X7" s="407">
        <f t="shared" ca="1" si="2"/>
        <v>53</v>
      </c>
      <c r="Y7" s="407">
        <f ca="1">DATEDIF(N7,TODAY(),"y")</f>
        <v>31</v>
      </c>
    </row>
    <row r="8" spans="1:25" s="407" customFormat="1" ht="12.95" customHeight="1">
      <c r="A8" s="408">
        <v>3</v>
      </c>
      <c r="B8" s="817">
        <v>9550</v>
      </c>
      <c r="C8" s="410" t="str">
        <f>VLOOKUP(B8,MASTER!$B$8:$C$137,2,FALSE)</f>
        <v>AGUS BUDIYANA</v>
      </c>
      <c r="D8" s="409" t="s">
        <v>2335</v>
      </c>
      <c r="E8" s="410" t="s">
        <v>2502</v>
      </c>
      <c r="F8" s="411" t="s">
        <v>18</v>
      </c>
      <c r="G8" s="411" t="str">
        <f>VLOOKUP(B8,MASTER!$B$8:$H$1435,6,FALSE)</f>
        <v>K</v>
      </c>
      <c r="H8" s="411">
        <f>VLOOKUP(B8,MASTER!$B$8:$H$1435,7,FALSE)</f>
        <v>1</v>
      </c>
      <c r="I8" s="411">
        <f>VLOOKUP(B8,MASTER!$B$8:$V$1435,8,FALSE)</f>
        <v>1</v>
      </c>
      <c r="J8" s="411" t="str">
        <f>VLOOKUP(B8,MASTER!$B$8:$V$1435,9,FALSE)</f>
        <v>L</v>
      </c>
      <c r="K8" s="438">
        <f>VLOOKUP(B8,MASTER!$B$8:$V$1435,11,FALSE)</f>
        <v>27628</v>
      </c>
      <c r="L8" s="676" t="str">
        <f ca="1">DATEDIF(K8,TODAY(),"Y") &amp; "." &amp;DATEDIF(K8,TODAY(),"YM")</f>
        <v>42.8</v>
      </c>
      <c r="M8" s="759" t="s">
        <v>743</v>
      </c>
      <c r="N8" s="413">
        <f>VLOOKUP(B8,MASTER!$B$8:$V$1435,14,FALSE)</f>
        <v>35808</v>
      </c>
      <c r="O8" s="422" t="str">
        <f t="shared" ca="1" si="3"/>
        <v>20.3</v>
      </c>
      <c r="P8" s="438">
        <f>VLOOKUP(B8,MASTER!$B$8:$V$1435,16,FALSE)</f>
        <v>48082</v>
      </c>
      <c r="Q8" s="440" t="str">
        <f>VLOOKUP(B8,MASTER!$B$8:$V$1435,17,FALSE)</f>
        <v>I</v>
      </c>
      <c r="R8" s="436" t="str">
        <f>VLOOKUP(B8,MASTER!$B$8:$V$1435,18,FALSE)</f>
        <v>S1</v>
      </c>
      <c r="S8" s="436" t="str">
        <f>VLOOKUP(B8,MASTER!$B$8:$V$1435,19,FALSE)</f>
        <v>S1</v>
      </c>
      <c r="T8" s="608" t="str">
        <f>VLOOKUP(B8,MASTER!$B$8:$V$1435,20,FALSE)</f>
        <v>O</v>
      </c>
      <c r="U8" s="415" t="str">
        <f>VLOOKUP($B8,ALAMAT!$A$1:E241,4)</f>
        <v xml:space="preserve"> JL. Sevilla Utama Blok T 26/04 Rt  003/007 Desa Ciakar Kec Panongan Tangerang Banten</v>
      </c>
      <c r="X8" s="407">
        <f t="shared" ca="1" si="2"/>
        <v>42</v>
      </c>
      <c r="Y8" s="407">
        <f t="shared" ref="Y8:Y53" ca="1" si="4">DATEDIF(N8,TODAY(),"y")</f>
        <v>20</v>
      </c>
    </row>
    <row r="9" spans="1:25" s="407" customFormat="1" ht="12.95" customHeight="1">
      <c r="A9" s="421">
        <v>4</v>
      </c>
      <c r="B9" s="821">
        <v>8260</v>
      </c>
      <c r="C9" s="410" t="str">
        <f>VLOOKUP(B9,MASTER!$B$8:$C$137,2,FALSE)</f>
        <v>JUMADI</v>
      </c>
      <c r="D9" s="409" t="s">
        <v>2336</v>
      </c>
      <c r="E9" s="410" t="s">
        <v>2421</v>
      </c>
      <c r="F9" s="411" t="s">
        <v>18</v>
      </c>
      <c r="G9" s="411" t="str">
        <f>VLOOKUP(B9,MASTER!$B$8:$H$1435,6,FALSE)</f>
        <v>K</v>
      </c>
      <c r="H9" s="411">
        <f>VLOOKUP(B9,MASTER!$B$8:$H$1435,7,FALSE)</f>
        <v>2</v>
      </c>
      <c r="I9" s="411">
        <f>VLOOKUP(B9,MASTER!$B$8:$V$1435,8,FALSE)</f>
        <v>2</v>
      </c>
      <c r="J9" s="411" t="str">
        <f>VLOOKUP(B9,MASTER!$B$8:$V$1435,9,FALSE)</f>
        <v>L</v>
      </c>
      <c r="K9" s="413">
        <f>VLOOKUP(B9,MASTER!$B$8:$V$1435,11,FALSE)</f>
        <v>26040</v>
      </c>
      <c r="L9" s="422" t="str">
        <f t="shared" ref="L9:L17" ca="1" si="5">DATEDIF(K9,TODAY(),"Y") &amp; "." &amp;DATEDIF(K9,TODAY(),"YM")</f>
        <v>47.0</v>
      </c>
      <c r="M9" s="789" t="s">
        <v>747</v>
      </c>
      <c r="N9" s="413">
        <f>VLOOKUP(B9,MASTER!$B$8:$V$1435,14,FALSE)</f>
        <v>35034</v>
      </c>
      <c r="O9" s="422" t="str">
        <f t="shared" ca="1" si="3"/>
        <v>22.4</v>
      </c>
      <c r="P9" s="413">
        <f>VLOOKUP(B9,MASTER!$B$8:$V$1435,16,FALSE)</f>
        <v>46494</v>
      </c>
      <c r="Q9" s="414" t="str">
        <f>VLOOKUP(B9,MASTER!$B$8:$V$1435,17,FALSE)</f>
        <v>I</v>
      </c>
      <c r="R9" s="411" t="str">
        <f>VLOOKUP(B9,MASTER!$B$8:$V$1435,18,FALSE)</f>
        <v>SMA</v>
      </c>
      <c r="S9" s="411" t="str">
        <f>VLOOKUP(B9,MASTER!$B$8:$V$1435,19,FALSE)</f>
        <v>SLTA</v>
      </c>
      <c r="T9" s="418" t="str">
        <f>VLOOKUP(B9,MASTER!$B$8:$V$1435,20,FALSE)</f>
        <v>O</v>
      </c>
      <c r="U9" s="415" t="str">
        <f>VLOOKUP($B9,ALAMAT!$A$1:E242,4)</f>
        <v>Taring. RT.008 RW.001 Wonodoyo, Copogo, Boyolali</v>
      </c>
      <c r="X9" s="407">
        <f t="shared" ca="1" si="2"/>
        <v>47</v>
      </c>
      <c r="Y9" s="407">
        <f t="shared" ca="1" si="4"/>
        <v>22</v>
      </c>
    </row>
    <row r="10" spans="1:25" s="407" customFormat="1" ht="12.95" customHeight="1">
      <c r="A10" s="408">
        <v>5</v>
      </c>
      <c r="B10" s="821">
        <v>4998</v>
      </c>
      <c r="C10" s="410" t="str">
        <f>VLOOKUP(B10,MASTER!$B$8:$C$137,2,FALSE)</f>
        <v>AGNES YUDHI ASTUTI</v>
      </c>
      <c r="D10" s="409" t="s">
        <v>2336</v>
      </c>
      <c r="E10" s="410" t="s">
        <v>646</v>
      </c>
      <c r="F10" s="411" t="s">
        <v>18</v>
      </c>
      <c r="G10" s="411" t="str">
        <f>VLOOKUP(B10,MASTER!$B$8:$H$1435,6,FALSE)</f>
        <v>K</v>
      </c>
      <c r="H10" s="411">
        <f>VLOOKUP(B10,MASTER!$B$8:$H$1435,7,FALSE)</f>
        <v>1</v>
      </c>
      <c r="I10" s="411">
        <f>VLOOKUP(B10,MASTER!$B$8:$V$1435,8,FALSE)</f>
        <v>1</v>
      </c>
      <c r="J10" s="411" t="str">
        <f>VLOOKUP(B10,MASTER!$B$8:$V$1435,9,FALSE)</f>
        <v>P</v>
      </c>
      <c r="K10" s="413">
        <f>VLOOKUP(B10,MASTER!$B$8:$V$1435,11,FALSE)</f>
        <v>24221</v>
      </c>
      <c r="L10" s="422" t="str">
        <f t="shared" ca="1" si="5"/>
        <v>52.0</v>
      </c>
      <c r="M10" s="789" t="s">
        <v>752</v>
      </c>
      <c r="N10" s="413">
        <f>VLOOKUP(B10,MASTER!$B$8:$V$1435,14,FALSE)</f>
        <v>32269</v>
      </c>
      <c r="O10" s="422" t="str">
        <f t="shared" ca="1" si="3"/>
        <v>29.11</v>
      </c>
      <c r="P10" s="413">
        <f>VLOOKUP(B10,MASTER!$B$8:$V$1435,16,FALSE)</f>
        <v>44675</v>
      </c>
      <c r="Q10" s="414" t="str">
        <f>VLOOKUP(B10,MASTER!$B$8:$V$1435,17,FALSE)</f>
        <v>I</v>
      </c>
      <c r="R10" s="411" t="str">
        <f>VLOOKUP(B10,MASTER!$B$8:$V$1435,18,FALSE)</f>
        <v>SMEA</v>
      </c>
      <c r="S10" s="411" t="str">
        <f>VLOOKUP(B10,MASTER!$B$8:$V$1435,19,FALSE)</f>
        <v>S1</v>
      </c>
      <c r="T10" s="418" t="str">
        <f>VLOOKUP(B10,MASTER!$B$8:$V$1435,20,FALSE)</f>
        <v>O</v>
      </c>
      <c r="U10" s="415" t="str">
        <f>VLOOKUP($B10,ALAMAT!$A$1:E243,4)</f>
        <v>Jl.Kepodang Timur V Kav.B No.200 RT.006 RW.012 Pudakpayung Banyumanik Semarang</v>
      </c>
      <c r="X10" s="407">
        <f t="shared" ca="1" si="2"/>
        <v>52</v>
      </c>
      <c r="Y10" s="407">
        <f t="shared" ca="1" si="4"/>
        <v>29</v>
      </c>
    </row>
    <row r="11" spans="1:25" s="407" customFormat="1" ht="12.95" customHeight="1">
      <c r="A11" s="421">
        <v>6</v>
      </c>
      <c r="B11" s="817">
        <v>8346</v>
      </c>
      <c r="C11" s="410" t="str">
        <f>VLOOKUP(B11,MASTER!$B$8:$C$137,2,FALSE)</f>
        <v>RONNI ERMAWAN</v>
      </c>
      <c r="D11" s="409" t="s">
        <v>2336</v>
      </c>
      <c r="E11" s="410" t="s">
        <v>2422</v>
      </c>
      <c r="F11" s="411" t="s">
        <v>18</v>
      </c>
      <c r="G11" s="411" t="str">
        <f>VLOOKUP(B11,MASTER!$B$8:$H$1435,6,FALSE)</f>
        <v>K</v>
      </c>
      <c r="H11" s="411">
        <f>VLOOKUP(B11,MASTER!$B$8:$H$1435,7,FALSE)</f>
        <v>2</v>
      </c>
      <c r="I11" s="411">
        <f>VLOOKUP(B11,MASTER!$B$8:$V$1435,8,FALSE)</f>
        <v>2</v>
      </c>
      <c r="J11" s="411" t="str">
        <f>VLOOKUP(B11,MASTER!$B$8:$V$1435,9,FALSE)</f>
        <v>L</v>
      </c>
      <c r="K11" s="413">
        <f>VLOOKUP(B11,MASTER!$B$8:$V$1435,11,FALSE)</f>
        <v>27978</v>
      </c>
      <c r="L11" s="422" t="str">
        <f t="shared" ca="1" si="5"/>
        <v>41.8</v>
      </c>
      <c r="M11" s="789" t="s">
        <v>742</v>
      </c>
      <c r="N11" s="413">
        <f>VLOOKUP(B11,MASTER!$B$8:$V$1435,14,FALSE)</f>
        <v>35052</v>
      </c>
      <c r="O11" s="422" t="str">
        <f t="shared" ca="1" si="3"/>
        <v>22.4</v>
      </c>
      <c r="P11" s="413">
        <f>VLOOKUP(B11,MASTER!$B$8:$V$1435,16,FALSE)</f>
        <v>48432</v>
      </c>
      <c r="Q11" s="414" t="str">
        <f>VLOOKUP(B11,MASTER!$B$8:$V$1435,17,FALSE)</f>
        <v>I</v>
      </c>
      <c r="R11" s="411" t="str">
        <f>VLOOKUP(B11,MASTER!$B$8:$V$1435,18,FALSE)</f>
        <v>SMEA</v>
      </c>
      <c r="S11" s="411" t="str">
        <f>VLOOKUP(B11,MASTER!$B$8:$V$1435,19,FALSE)</f>
        <v>S1</v>
      </c>
      <c r="T11" s="429" t="str">
        <f>VLOOKUP(B11,MASTER!$B$8:$V$1435,20,FALSE)</f>
        <v>B</v>
      </c>
      <c r="U11" s="415" t="str">
        <f>VLOOKUP($B11,ALAMAT!$A$1:E244,4)</f>
        <v>Jl.Galungan 3/83 RT.002 RW.006 Krapyak,Semarang Barat</v>
      </c>
      <c r="X11" s="407">
        <f t="shared" ca="1" si="2"/>
        <v>41</v>
      </c>
      <c r="Y11" s="407">
        <f t="shared" ca="1" si="4"/>
        <v>22</v>
      </c>
    </row>
    <row r="12" spans="1:25" s="407" customFormat="1" ht="12.95" customHeight="1">
      <c r="A12" s="408">
        <v>7</v>
      </c>
      <c r="B12" s="817">
        <v>7063</v>
      </c>
      <c r="C12" s="410" t="str">
        <f>VLOOKUP(B12,MASTER!$B$8:$C$137,2,FALSE)</f>
        <v>MUJI SETIYANTO</v>
      </c>
      <c r="D12" s="409" t="s">
        <v>2336</v>
      </c>
      <c r="E12" s="410" t="s">
        <v>2442</v>
      </c>
      <c r="F12" s="411" t="s">
        <v>18</v>
      </c>
      <c r="G12" s="411" t="str">
        <f>VLOOKUP(B12,MASTER!$B$8:$H$1435,6,FALSE)</f>
        <v>K</v>
      </c>
      <c r="H12" s="411">
        <f>VLOOKUP(B12,MASTER!$B$8:$H$1435,7,FALSE)</f>
        <v>3</v>
      </c>
      <c r="I12" s="411">
        <f>VLOOKUP(B12,MASTER!$B$8:$V$1435,8,FALSE)</f>
        <v>3</v>
      </c>
      <c r="J12" s="411" t="str">
        <f>VLOOKUP(B12,MASTER!$B$8:$V$1435,9,FALSE)</f>
        <v>L</v>
      </c>
      <c r="K12" s="413">
        <f>VLOOKUP(B12,MASTER!$B$8:$V$1435,11,FALSE)</f>
        <v>24117</v>
      </c>
      <c r="L12" s="422" t="str">
        <f t="shared" ca="1" si="5"/>
        <v>52.3</v>
      </c>
      <c r="M12" s="789" t="s">
        <v>752</v>
      </c>
      <c r="N12" s="413">
        <f>VLOOKUP(B12,MASTER!$B$8:$V$1435,14,FALSE)</f>
        <v>33798</v>
      </c>
      <c r="O12" s="422" t="str">
        <f t="shared" ca="1" si="3"/>
        <v>25.9</v>
      </c>
      <c r="P12" s="413">
        <f>VLOOKUP(B12,MASTER!$B$8:$V$1435,16,FALSE)</f>
        <v>44571</v>
      </c>
      <c r="Q12" s="414" t="str">
        <f>VLOOKUP(B12,MASTER!$B$8:$V$1435,17,FALSE)</f>
        <v>I</v>
      </c>
      <c r="R12" s="411" t="str">
        <f>VLOOKUP(B12,MASTER!$B$8:$V$1435,18,FALSE)</f>
        <v>SMA</v>
      </c>
      <c r="S12" s="411" t="str">
        <f>VLOOKUP(B12,MASTER!$B$8:$V$1435,19,FALSE)</f>
        <v>S1</v>
      </c>
      <c r="T12" s="418" t="str">
        <f>VLOOKUP(B12,MASTER!$B$8:$V$1435,20,FALSE)</f>
        <v>O</v>
      </c>
      <c r="U12" s="415" t="str">
        <f>VLOOKUP($B12,ALAMAT!$A$1:E245,4)</f>
        <v>Penaruban RT.003 RW.007 WeleriKab.Kendal</v>
      </c>
      <c r="X12" s="407">
        <f t="shared" ca="1" si="2"/>
        <v>52</v>
      </c>
      <c r="Y12" s="407">
        <f t="shared" ca="1" si="4"/>
        <v>25</v>
      </c>
    </row>
    <row r="13" spans="1:25" s="407" customFormat="1" ht="12.95" customHeight="1">
      <c r="A13" s="421">
        <v>8</v>
      </c>
      <c r="B13" s="817">
        <v>4630</v>
      </c>
      <c r="C13" s="410" t="str">
        <f>VLOOKUP(B13,MASTER!$B$8:$C$137,2,FALSE)</f>
        <v>SUHARTONO</v>
      </c>
      <c r="D13" s="434" t="s">
        <v>2336</v>
      </c>
      <c r="E13" s="410" t="s">
        <v>794</v>
      </c>
      <c r="F13" s="411" t="s">
        <v>18</v>
      </c>
      <c r="G13" s="411" t="str">
        <f>VLOOKUP(B13,MASTER!$B$8:$H$1435,6,FALSE)</f>
        <v>K</v>
      </c>
      <c r="H13" s="411">
        <f>VLOOKUP(B13,MASTER!$B$8:$H$1435,7,FALSE)</f>
        <v>2</v>
      </c>
      <c r="I13" s="411">
        <f>VLOOKUP(B13,MASTER!$B$8:$V$1435,8,FALSE)</f>
        <v>1</v>
      </c>
      <c r="J13" s="411" t="str">
        <f>VLOOKUP(B13,MASTER!$B$8:$V$1435,9,FALSE)</f>
        <v>L</v>
      </c>
      <c r="K13" s="413">
        <f>VLOOKUP(B13,MASTER!$B$8:$V$1435,11,FALSE)</f>
        <v>23419</v>
      </c>
      <c r="L13" s="422" t="str">
        <f t="shared" ca="1" si="5"/>
        <v>54.2</v>
      </c>
      <c r="M13" s="789" t="s">
        <v>754</v>
      </c>
      <c r="N13" s="413">
        <f>VLOOKUP(B13,MASTER!$B$8:$V$1435,14,FALSE)</f>
        <v>32025</v>
      </c>
      <c r="O13" s="422" t="str">
        <f t="shared" ca="1" si="3"/>
        <v>30.7</v>
      </c>
      <c r="P13" s="413">
        <f>VLOOKUP(B13,MASTER!$B$8:$V$1435,16,FALSE)</f>
        <v>43873</v>
      </c>
      <c r="Q13" s="414" t="str">
        <f>VLOOKUP(B13,MASTER!$B$8:$V$1435,17,FALSE)</f>
        <v>I</v>
      </c>
      <c r="R13" s="411" t="str">
        <f>VLOOKUP(B13,MASTER!$B$8:$V$1435,18,FALSE)</f>
        <v>SPK</v>
      </c>
      <c r="S13" s="411" t="str">
        <f>VLOOKUP(B13,MASTER!$B$8:$V$1435,19,FALSE)</f>
        <v>S1</v>
      </c>
      <c r="T13" s="418" t="str">
        <f>VLOOKUP(B13,MASTER!$B$8:$V$1435,20,FALSE)</f>
        <v>O</v>
      </c>
      <c r="U13" s="415" t="str">
        <f>VLOOKUP($B13,ALAMAT!$A$1:E246,4)</f>
        <v xml:space="preserve">Dk Kedungpane RT.001 RW.002 , Kedungpane, Mijen </v>
      </c>
      <c r="X13" s="407">
        <f t="shared" ca="1" si="2"/>
        <v>54</v>
      </c>
      <c r="Y13" s="407">
        <f t="shared" ca="1" si="4"/>
        <v>30</v>
      </c>
    </row>
    <row r="14" spans="1:25" s="407" customFormat="1" ht="12.95" customHeight="1">
      <c r="A14" s="408">
        <v>9</v>
      </c>
      <c r="B14" s="821">
        <v>7843</v>
      </c>
      <c r="C14" s="410" t="str">
        <f ca="1">VLOOKUP(B14,MASTER!$B$8:$C$137,2,FALSE)</f>
        <v>RIYONO</v>
      </c>
      <c r="D14" s="409" t="s">
        <v>2336</v>
      </c>
      <c r="E14" s="410" t="s">
        <v>2443</v>
      </c>
      <c r="F14" s="411" t="s">
        <v>18</v>
      </c>
      <c r="G14" s="411" t="str">
        <f ca="1">VLOOKUP(B14,MASTER!$B$8:$H$1435,6,FALSE)</f>
        <v>K</v>
      </c>
      <c r="H14" s="411">
        <f ca="1">VLOOKUP(B14,MASTER!$B$8:$H$1435,7,FALSE)</f>
        <v>2</v>
      </c>
      <c r="I14" s="411">
        <f ca="1">VLOOKUP(B14,MASTER!$B$8:$V$1435,8,FALSE)</f>
        <v>2</v>
      </c>
      <c r="J14" s="411" t="str">
        <f ca="1">VLOOKUP(B14,MASTER!$B$8:$V$1435,9,FALSE)</f>
        <v>L</v>
      </c>
      <c r="K14" s="413">
        <f>VLOOKUP(B14,MASTER!$B$8:$V$1435,11,FALSE)</f>
        <v>27318</v>
      </c>
      <c r="L14" s="422" t="str">
        <f t="shared" ca="1" si="5"/>
        <v>43.6</v>
      </c>
      <c r="M14" s="789" t="s">
        <v>744</v>
      </c>
      <c r="N14" s="413">
        <f>VLOOKUP(B14,MASTER!$B$8:$V$1435,14,FALSE)</f>
        <v>34701</v>
      </c>
      <c r="O14" s="422" t="str">
        <f t="shared" ca="1" si="3"/>
        <v>23.3</v>
      </c>
      <c r="P14" s="413">
        <f>VLOOKUP(B14,MASTER!$B$8:$V$1435,16,FALSE)</f>
        <v>47772</v>
      </c>
      <c r="Q14" s="414" t="str">
        <f>VLOOKUP(B14,MASTER!$B$8:$V$1435,17,FALSE)</f>
        <v>I</v>
      </c>
      <c r="R14" s="411" t="str">
        <f>VLOOKUP(B14,MASTER!$B$8:$V$1435,18,FALSE)</f>
        <v>STM</v>
      </c>
      <c r="S14" s="411" t="str">
        <f>VLOOKUP(B14,MASTER!$B$8:$V$1435,19,FALSE)</f>
        <v>S1</v>
      </c>
      <c r="T14" s="418" t="str">
        <f>VLOOKUP(B14,MASTER!$B$8:$V$1435,20,FALSE)</f>
        <v>O</v>
      </c>
      <c r="U14" s="415" t="str">
        <f>VLOOKUP($B14,ALAMAT!$A$1:E247,4)</f>
        <v>Jl.Durian Dalam II BL.A No.28  RT.006 RW.001 Srondol Wetan Banyumanik Semarang</v>
      </c>
      <c r="X14" s="407">
        <f t="shared" ca="1" si="2"/>
        <v>43</v>
      </c>
      <c r="Y14" s="407">
        <f t="shared" ca="1" si="4"/>
        <v>23</v>
      </c>
    </row>
    <row r="15" spans="1:25" s="407" customFormat="1" ht="12.95" customHeight="1">
      <c r="A15" s="421">
        <v>10</v>
      </c>
      <c r="B15" s="821">
        <v>4640</v>
      </c>
      <c r="C15" s="410" t="str">
        <f>VLOOKUP(B15,MASTER!$B$8:$C$137,2,FALSE)</f>
        <v>CHRISTINA RETNO YULIATI</v>
      </c>
      <c r="D15" s="409" t="s">
        <v>2336</v>
      </c>
      <c r="E15" s="410" t="s">
        <v>636</v>
      </c>
      <c r="F15" s="411" t="s">
        <v>18</v>
      </c>
      <c r="G15" s="411" t="str">
        <f>VLOOKUP(B15,MASTER!$B$8:$H$1435,6,FALSE)</f>
        <v>J</v>
      </c>
      <c r="H15" s="411">
        <f>VLOOKUP(B15,MASTER!$B$8:$H$1435,7,FALSE)</f>
        <v>2</v>
      </c>
      <c r="I15" s="411">
        <f>VLOOKUP(B15,MASTER!$B$8:$V$1435,8,FALSE)</f>
        <v>2</v>
      </c>
      <c r="J15" s="411" t="str">
        <f>VLOOKUP(B15,MASTER!$B$8:$V$1435,9,FALSE)</f>
        <v>L</v>
      </c>
      <c r="K15" s="413">
        <f>VLOOKUP(B15,MASTER!$B$8:$V$1435,11,FALSE)</f>
        <v>25038</v>
      </c>
      <c r="L15" s="422" t="str">
        <f t="shared" ca="1" si="5"/>
        <v>49.9</v>
      </c>
      <c r="M15" s="789" t="s">
        <v>750</v>
      </c>
      <c r="N15" s="413">
        <f>VLOOKUP(B15,MASTER!$B$8:$V$1435,14,FALSE)</f>
        <v>32025</v>
      </c>
      <c r="O15" s="422" t="str">
        <f t="shared" ca="1" si="3"/>
        <v>30.7</v>
      </c>
      <c r="P15" s="413">
        <f>VLOOKUP(B15,MASTER!$B$8:$V$1435,16,FALSE)</f>
        <v>45492</v>
      </c>
      <c r="Q15" s="414" t="str">
        <f>VLOOKUP(B15,MASTER!$B$8:$V$1435,17,FALSE)</f>
        <v>I</v>
      </c>
      <c r="R15" s="411" t="str">
        <f>VLOOKUP(B15,MASTER!$B$8:$V$1435,18,FALSE)</f>
        <v>SMA</v>
      </c>
      <c r="S15" s="411" t="str">
        <f>VLOOKUP(B15,MASTER!$B$8:$V$1435,19,FALSE)</f>
        <v>S1</v>
      </c>
      <c r="T15" s="418" t="str">
        <f>VLOOKUP(B15,MASTER!$B$8:$V$1435,20,FALSE)</f>
        <v>O</v>
      </c>
      <c r="U15" s="415" t="str">
        <f>VLOOKUP($B15,ALAMAT!$A$1:E248,4)</f>
        <v xml:space="preserve">Jl.Ngesrep Barat V No.31-32 RT.008 RW.008 Srondol Kulon Banyumanik Semarang </v>
      </c>
      <c r="X15" s="407">
        <f t="shared" ca="1" si="2"/>
        <v>49</v>
      </c>
      <c r="Y15" s="407">
        <f t="shared" ca="1" si="4"/>
        <v>30</v>
      </c>
    </row>
    <row r="16" spans="1:25" s="894" customFormat="1" ht="12.95" customHeight="1">
      <c r="A16" s="408">
        <v>11</v>
      </c>
      <c r="B16" s="817">
        <v>9520</v>
      </c>
      <c r="C16" s="410" t="str">
        <f>VLOOKUP(B16,MASTER!$B$8:$C$137,2,FALSE)</f>
        <v>INDRIYANI HARTANTI</v>
      </c>
      <c r="D16" s="409">
        <v>5</v>
      </c>
      <c r="E16" s="410" t="s">
        <v>638</v>
      </c>
      <c r="F16" s="411" t="s">
        <v>18</v>
      </c>
      <c r="G16" s="411" t="str">
        <f>VLOOKUP(B16,MASTER!$B$8:$H$1435,6,FALSE)</f>
        <v>K</v>
      </c>
      <c r="H16" s="411">
        <f>VLOOKUP(B16,MASTER!$B$8:$H$1435,7,FALSE)</f>
        <v>2</v>
      </c>
      <c r="I16" s="411">
        <f>VLOOKUP(B16,MASTER!$B$8:$V$1435,8,FALSE)</f>
        <v>2</v>
      </c>
      <c r="J16" s="411" t="str">
        <f>VLOOKUP(B16,MASTER!$B$8:$V$1435,9,FALSE)</f>
        <v>P</v>
      </c>
      <c r="K16" s="413">
        <f>VLOOKUP(B16,MASTER!$B$8:$V$1435,11,FALSE)</f>
        <v>28982</v>
      </c>
      <c r="L16" s="422" t="str">
        <f t="shared" ca="1" si="5"/>
        <v>38.11</v>
      </c>
      <c r="M16" s="789" t="s">
        <v>739</v>
      </c>
      <c r="N16" s="413">
        <f>VLOOKUP(B16,MASTER!$B$8:$V$1435,14,FALSE)</f>
        <v>35807</v>
      </c>
      <c r="O16" s="422" t="str">
        <f t="shared" ca="1" si="3"/>
        <v>20.3</v>
      </c>
      <c r="P16" s="413">
        <f>VLOOKUP(B16,MASTER!$B$8:$V$1435,16,FALSE)</f>
        <v>49436</v>
      </c>
      <c r="Q16" s="414" t="str">
        <f>VLOOKUP(B16,MASTER!$B$8:$V$1435,17,FALSE)</f>
        <v>I</v>
      </c>
      <c r="R16" s="411" t="str">
        <f>VLOOKUP(B16,MASTER!$B$8:$V$1435,18,FALSE)</f>
        <v>SMA</v>
      </c>
      <c r="S16" s="411" t="str">
        <f>VLOOKUP(B16,MASTER!$B$8:$V$1435,19,FALSE)</f>
        <v>S1</v>
      </c>
      <c r="T16" s="418" t="str">
        <f>VLOOKUP(B16,MASTER!$B$8:$V$1435,20,FALSE)</f>
        <v>O</v>
      </c>
      <c r="U16" s="415" t="str">
        <f>VLOOKUP($B16,ALAMAT!$A$1:E249,4)</f>
        <v>Pondok Jangli Indah No.9 RT.008RW.001 Jangli Tembalang  Semarang</v>
      </c>
      <c r="X16" s="894">
        <f t="shared" ca="1" si="2"/>
        <v>38</v>
      </c>
      <c r="Y16" s="894">
        <f t="shared" ca="1" si="4"/>
        <v>20</v>
      </c>
    </row>
    <row r="17" spans="1:25" s="407" customFormat="1" ht="12.95" customHeight="1">
      <c r="A17" s="421">
        <v>12</v>
      </c>
      <c r="B17" s="821">
        <v>6894</v>
      </c>
      <c r="C17" s="410" t="str">
        <f>VLOOKUP(B17,MASTER!$B$8:$C$137,2,FALSE)</f>
        <v>SUGIYANTO</v>
      </c>
      <c r="D17" s="409" t="s">
        <v>2318</v>
      </c>
      <c r="E17" s="410" t="s">
        <v>639</v>
      </c>
      <c r="F17" s="411" t="s">
        <v>18</v>
      </c>
      <c r="G17" s="411" t="str">
        <f>VLOOKUP(B17,MASTER!$B$8:$H$1435,6,FALSE)</f>
        <v>K</v>
      </c>
      <c r="H17" s="411">
        <f>VLOOKUP(B17,MASTER!$B$8:$H$1435,7,FALSE)</f>
        <v>2</v>
      </c>
      <c r="I17" s="411">
        <f>VLOOKUP(B17,MASTER!$B$8:$V$1435,8,FALSE)</f>
        <v>1</v>
      </c>
      <c r="J17" s="411" t="str">
        <f>VLOOKUP(B17,MASTER!$B$8:$V$1435,9,FALSE)</f>
        <v>L</v>
      </c>
      <c r="K17" s="413">
        <f>VLOOKUP(B17,MASTER!$B$8:$V$1435,11,FALSE)</f>
        <v>23894</v>
      </c>
      <c r="L17" s="422" t="str">
        <f t="shared" ca="1" si="5"/>
        <v>52.10</v>
      </c>
      <c r="M17" s="789" t="s">
        <v>753</v>
      </c>
      <c r="N17" s="413">
        <f>VLOOKUP(B17,MASTER!$B$8:$V$1435,14,FALSE)</f>
        <v>33543</v>
      </c>
      <c r="O17" s="422" t="str">
        <f t="shared" ca="1" si="3"/>
        <v>26.5</v>
      </c>
      <c r="P17" s="413">
        <f>VLOOKUP(B17,MASTER!$B$8:$V$1435,16,FALSE)</f>
        <v>44348</v>
      </c>
      <c r="Q17" s="414" t="str">
        <f>VLOOKUP(B17,MASTER!$B$8:$V$1435,17,FALSE)</f>
        <v>I</v>
      </c>
      <c r="R17" s="411" t="str">
        <f>VLOOKUP(B17,MASTER!$B$8:$V$1435,18,FALSE)</f>
        <v>SMP</v>
      </c>
      <c r="S17" s="411" t="str">
        <f>VLOOKUP(B17,MASTER!$B$8:$V$1435,19,FALSE)</f>
        <v>SLTP</v>
      </c>
      <c r="T17" s="418" t="str">
        <f>VLOOKUP(B17,MASTER!$B$8:$V$1435,20,FALSE)</f>
        <v>O</v>
      </c>
      <c r="U17" s="415" t="str">
        <f>VLOOKUP($B17,ALAMAT!$A$1:E250,4)</f>
        <v>Kalibening RT.003 RW.001 Tirtomartani, Kalasan Sleman, Yogyakarta</v>
      </c>
      <c r="X17" s="407">
        <f t="shared" ca="1" si="2"/>
        <v>52</v>
      </c>
      <c r="Y17" s="407">
        <f t="shared" ca="1" si="4"/>
        <v>26</v>
      </c>
    </row>
    <row r="18" spans="1:25" s="407" customFormat="1" ht="12.95" customHeight="1">
      <c r="A18" s="408">
        <v>13</v>
      </c>
      <c r="B18" s="817">
        <v>2217</v>
      </c>
      <c r="C18" s="412" t="str">
        <f>VLOOKUP(B18,MASTER!$B$8:$C$137,2,FALSE)</f>
        <v>SUNARSO</v>
      </c>
      <c r="D18" s="409" t="s">
        <v>2335</v>
      </c>
      <c r="E18" s="410" t="s">
        <v>640</v>
      </c>
      <c r="F18" s="411" t="s">
        <v>18</v>
      </c>
      <c r="G18" s="411" t="str">
        <f>VLOOKUP(B18,MASTER!$B$8:$H$1435,6,FALSE)</f>
        <v>K</v>
      </c>
      <c r="H18" s="411">
        <f>VLOOKUP(B18,MASTER!$B$8:$H$1435,7,FALSE)</f>
        <v>4</v>
      </c>
      <c r="I18" s="411">
        <f>VLOOKUP(B18,MASTER!$B$8:$V$1435,8,FALSE)</f>
        <v>1</v>
      </c>
      <c r="J18" s="411" t="str">
        <f>VLOOKUP(B18,MASTER!$B$8:$V$1435,9,FALSE)</f>
        <v>L</v>
      </c>
      <c r="K18" s="413">
        <f>VLOOKUP(B18,MASTER!$B$8:$V$1435,11,FALSE)</f>
        <v>22832</v>
      </c>
      <c r="L18" s="422" t="str">
        <f t="shared" ref="L18:L25" ca="1" si="6">DATEDIF(K18,TODAY(),"Y") &amp; "." &amp;DATEDIF(K18,TODAY(),"YM")</f>
        <v>55.9</v>
      </c>
      <c r="M18" s="789" t="s">
        <v>756</v>
      </c>
      <c r="N18" s="413">
        <f>VLOOKUP(B18,MASTER!$B$8:$V$1435,14,FALSE)</f>
        <v>30501</v>
      </c>
      <c r="O18" s="422" t="str">
        <f t="shared" ref="O18:O25" ca="1" si="7">DATEDIF(N18,TODAY(),"Y") &amp; "." &amp;DATEDIF(N18,TODAY(),"YM")</f>
        <v>34.9</v>
      </c>
      <c r="P18" s="413">
        <f>VLOOKUP(B18,MASTER!$B$8:$V$1435,16,FALSE)</f>
        <v>43286</v>
      </c>
      <c r="Q18" s="414" t="str">
        <f>VLOOKUP(B18,MASTER!$B$8:$V$1435,17,FALSE)</f>
        <v>I</v>
      </c>
      <c r="R18" s="411" t="str">
        <f>VLOOKUP(B18,MASTER!$B$8:$V$1435,18,FALSE)</f>
        <v>S1</v>
      </c>
      <c r="S18" s="411" t="str">
        <f>VLOOKUP(B18,MASTER!$B$8:$V$1435,19,FALSE)</f>
        <v>S1</v>
      </c>
      <c r="T18" s="418" t="str">
        <f>VLOOKUP(B18,MASTER!$B$8:$V$1435,20,FALSE)</f>
        <v>O</v>
      </c>
      <c r="U18" s="415" t="str">
        <f>VLOOKUP($B18,ALAMAT!$A$1:E253,4)</f>
        <v>Jl.Perintis Kemerdekaan Perum. Griya Pulisen RT.002 RW.012 , Boyolali</v>
      </c>
      <c r="X18" s="407">
        <f t="shared" ca="1" si="2"/>
        <v>55</v>
      </c>
      <c r="Y18" s="407">
        <f t="shared" ca="1" si="4"/>
        <v>34</v>
      </c>
    </row>
    <row r="19" spans="1:25" s="407" customFormat="1" ht="12.95" customHeight="1">
      <c r="A19" s="421">
        <v>14</v>
      </c>
      <c r="B19" s="817">
        <v>2215</v>
      </c>
      <c r="C19" s="412" t="str">
        <f>VLOOKUP(B19,MASTER!$B$8:$C$137,2,FALSE)</f>
        <v>BUDI WARDHANA</v>
      </c>
      <c r="D19" s="409" t="s">
        <v>2336</v>
      </c>
      <c r="E19" s="410" t="s">
        <v>645</v>
      </c>
      <c r="F19" s="411" t="s">
        <v>18</v>
      </c>
      <c r="G19" s="411" t="str">
        <f>VLOOKUP(B19,MASTER!$B$8:$H$1435,6,FALSE)</f>
        <v>K</v>
      </c>
      <c r="H19" s="411">
        <f>VLOOKUP(B19,MASTER!$B$8:$H$1435,7,FALSE)</f>
        <v>2</v>
      </c>
      <c r="I19" s="411">
        <f>VLOOKUP(B19,MASTER!$B$8:$V$1435,8,FALSE)</f>
        <v>2</v>
      </c>
      <c r="J19" s="411" t="str">
        <f>VLOOKUP(B19,MASTER!$B$8:$V$1435,9,FALSE)</f>
        <v>L</v>
      </c>
      <c r="K19" s="413">
        <f>VLOOKUP(B19,MASTER!$B$8:$V$1435,11,FALSE)</f>
        <v>23263</v>
      </c>
      <c r="L19" s="422" t="str">
        <f t="shared" ca="1" si="6"/>
        <v>54.7</v>
      </c>
      <c r="M19" s="789" t="s">
        <v>755</v>
      </c>
      <c r="N19" s="413">
        <f>VLOOKUP(B19,MASTER!$B$8:$V$1435,14,FALSE)</f>
        <v>30501</v>
      </c>
      <c r="O19" s="422" t="str">
        <f t="shared" ca="1" si="7"/>
        <v>34.9</v>
      </c>
      <c r="P19" s="413">
        <f>VLOOKUP(B19,MASTER!$B$8:$V$1435,16,FALSE)</f>
        <v>43717</v>
      </c>
      <c r="Q19" s="414" t="str">
        <f>VLOOKUP(B19,MASTER!$B$8:$V$1435,17,FALSE)</f>
        <v>I</v>
      </c>
      <c r="R19" s="411" t="str">
        <f>VLOOKUP(B19,MASTER!$B$8:$V$1435,18,FALSE)</f>
        <v>SMA</v>
      </c>
      <c r="S19" s="411" t="str">
        <f>VLOOKUP(B19,MASTER!$B$8:$V$1435,19,FALSE)</f>
        <v>SLTA</v>
      </c>
      <c r="T19" s="418" t="str">
        <f>VLOOKUP(B19,MASTER!$B$8:$V$1435,20,FALSE)</f>
        <v>O</v>
      </c>
      <c r="U19" s="415" t="str">
        <f>VLOOKUP($B19,ALAMAT!$A$1:E256,4)</f>
        <v xml:space="preserve"> JL. Karonsih Timur IX / 344 Ngaliyan Semarang</v>
      </c>
      <c r="X19" s="407">
        <f t="shared" ca="1" si="2"/>
        <v>54</v>
      </c>
      <c r="Y19" s="407">
        <f t="shared" ca="1" si="4"/>
        <v>34</v>
      </c>
    </row>
    <row r="20" spans="1:25" s="407" customFormat="1" ht="12.95" customHeight="1">
      <c r="A20" s="408">
        <v>15</v>
      </c>
      <c r="B20" s="821">
        <v>2218</v>
      </c>
      <c r="C20" s="412" t="str">
        <f>VLOOKUP(B20,MASTER!$B$8:$C$137,2,FALSE)</f>
        <v>TUTI IRIANI</v>
      </c>
      <c r="D20" s="409" t="s">
        <v>2336</v>
      </c>
      <c r="E20" s="410" t="s">
        <v>641</v>
      </c>
      <c r="F20" s="411" t="s">
        <v>18</v>
      </c>
      <c r="G20" s="411" t="str">
        <f>VLOOKUP(B20,MASTER!$B$8:$H$1435,6,FALSE)</f>
        <v>J</v>
      </c>
      <c r="H20" s="411">
        <f>VLOOKUP(B20,MASTER!$B$8:$H$1435,7,FALSE)</f>
        <v>2</v>
      </c>
      <c r="I20" s="411">
        <f>VLOOKUP(B20,MASTER!$B$8:$V$1435,8,FALSE)</f>
        <v>2</v>
      </c>
      <c r="J20" s="411" t="str">
        <f>VLOOKUP(B20,MASTER!$B$8:$V$1435,9,FALSE)</f>
        <v>P</v>
      </c>
      <c r="K20" s="413">
        <f>VLOOKUP(B20,MASTER!$B$8:$V$1435,11,FALSE)</f>
        <v>22842</v>
      </c>
      <c r="L20" s="422" t="str">
        <f t="shared" ca="1" si="6"/>
        <v>55.9</v>
      </c>
      <c r="M20" s="789" t="s">
        <v>756</v>
      </c>
      <c r="N20" s="413">
        <f>VLOOKUP(B20,MASTER!$B$8:$V$1435,14,FALSE)</f>
        <v>30501</v>
      </c>
      <c r="O20" s="422" t="str">
        <f t="shared" ca="1" si="7"/>
        <v>34.9</v>
      </c>
      <c r="P20" s="413">
        <f>VLOOKUP(B20,MASTER!$B$8:$V$1435,16,FALSE)</f>
        <v>43296</v>
      </c>
      <c r="Q20" s="414" t="str">
        <f>VLOOKUP(B20,MASTER!$B$8:$V$1435,17,FALSE)</f>
        <v>I</v>
      </c>
      <c r="R20" s="411" t="str">
        <f>VLOOKUP(B20,MASTER!$B$8:$V$1435,18,FALSE)</f>
        <v>SMA</v>
      </c>
      <c r="S20" s="411" t="str">
        <f>VLOOKUP(B20,MASTER!$B$8:$V$1435,19,FALSE)</f>
        <v>SLTA</v>
      </c>
      <c r="T20" s="418" t="str">
        <f>VLOOKUP(B20,MASTER!$B$8:$V$1435,20,FALSE)</f>
        <v>B</v>
      </c>
      <c r="U20" s="415" t="str">
        <f>VLOOKUP($B20,ALAMAT!$A$1:E257,4)</f>
        <v>Jl Puri D3 No 13-14 Padangsari Banyumanik Semarang</v>
      </c>
      <c r="X20" s="407">
        <f t="shared" ca="1" si="2"/>
        <v>55</v>
      </c>
      <c r="Y20" s="407">
        <f t="shared" ca="1" si="4"/>
        <v>34</v>
      </c>
    </row>
    <row r="21" spans="1:25" s="407" customFormat="1" ht="12.95" customHeight="1">
      <c r="A21" s="421">
        <v>16</v>
      </c>
      <c r="B21" s="821">
        <v>3870</v>
      </c>
      <c r="C21" s="412" t="str">
        <f>VLOOKUP(B21,MASTER!$B$8:$C$137,2,FALSE)</f>
        <v>SUSILO ANGGRAINI</v>
      </c>
      <c r="D21" s="409" t="s">
        <v>2336</v>
      </c>
      <c r="E21" s="410" t="s">
        <v>641</v>
      </c>
      <c r="F21" s="411" t="s">
        <v>18</v>
      </c>
      <c r="G21" s="411" t="str">
        <f>VLOOKUP(B21,MASTER!$B$8:$H$1435,6,FALSE)</f>
        <v>J</v>
      </c>
      <c r="H21" s="411">
        <f>VLOOKUP(B21,MASTER!$B$8:$H$1435,7,FALSE)</f>
        <v>1</v>
      </c>
      <c r="I21" s="411">
        <f>VLOOKUP(B21,MASTER!$B$8:$V$1435,8,FALSE)</f>
        <v>1</v>
      </c>
      <c r="J21" s="411" t="str">
        <f>VLOOKUP(B21,MASTER!$B$8:$V$1435,9,FALSE)</f>
        <v>P</v>
      </c>
      <c r="K21" s="413">
        <f>VLOOKUP(B21,MASTER!$B$8:$V$1435,11,FALSE)</f>
        <v>24220</v>
      </c>
      <c r="L21" s="422" t="str">
        <f t="shared" ca="1" si="6"/>
        <v>52.0</v>
      </c>
      <c r="M21" s="789" t="s">
        <v>752</v>
      </c>
      <c r="N21" s="413">
        <f>VLOOKUP(B21,MASTER!$B$8:$V$1435,14,FALSE)</f>
        <v>31717</v>
      </c>
      <c r="O21" s="422" t="str">
        <f t="shared" ca="1" si="7"/>
        <v>31.5</v>
      </c>
      <c r="P21" s="413">
        <f>VLOOKUP(B21,MASTER!$B$8:$V$1435,16,FALSE)</f>
        <v>44674</v>
      </c>
      <c r="Q21" s="414" t="str">
        <f>VLOOKUP(B21,MASTER!$B$8:$V$1435,17,FALSE)</f>
        <v>I</v>
      </c>
      <c r="R21" s="411" t="str">
        <f>VLOOKUP(B21,MASTER!$B$8:$V$1435,18,FALSE)</f>
        <v>SMA</v>
      </c>
      <c r="S21" s="411" t="str">
        <f>VLOOKUP(B21,MASTER!$B$8:$V$1435,19,FALSE)</f>
        <v>SLTA</v>
      </c>
      <c r="T21" s="418" t="str">
        <f>VLOOKUP(B21,MASTER!$B$8:$V$1435,20,FALSE)</f>
        <v>A</v>
      </c>
      <c r="U21" s="415" t="str">
        <f>VLOOKUP($B21,ALAMAT!$A$1:E257,4)</f>
        <v>Jl.Cemara 6/12C RT.001 RW.008 Padangsari , Banyumanik</v>
      </c>
      <c r="X21" s="407">
        <f t="shared" ca="1" si="2"/>
        <v>52</v>
      </c>
      <c r="Y21" s="407">
        <f t="shared" ca="1" si="4"/>
        <v>31</v>
      </c>
    </row>
    <row r="22" spans="1:25" s="407" customFormat="1" ht="12.95" customHeight="1">
      <c r="A22" s="408">
        <v>17</v>
      </c>
      <c r="B22" s="821">
        <v>6480</v>
      </c>
      <c r="C22" s="412" t="str">
        <f>VLOOKUP(B22,MASTER!$B$8:$C$137,2,FALSE)</f>
        <v>YUNI BUDI KUSWORO</v>
      </c>
      <c r="D22" s="409" t="s">
        <v>2336</v>
      </c>
      <c r="E22" s="410" t="s">
        <v>641</v>
      </c>
      <c r="F22" s="411" t="s">
        <v>18</v>
      </c>
      <c r="G22" s="411" t="str">
        <f>VLOOKUP(B22,MASTER!$B$8:$H$1435,6,FALSE)</f>
        <v>K</v>
      </c>
      <c r="H22" s="411">
        <f>VLOOKUP(B22,MASTER!$B$8:$H$1435,7,FALSE)</f>
        <v>2</v>
      </c>
      <c r="I22" s="411">
        <f>VLOOKUP(B22,MASTER!$B$8:$V$1435,8,FALSE)</f>
        <v>2</v>
      </c>
      <c r="J22" s="411" t="str">
        <f>VLOOKUP(B22,MASTER!$B$8:$V$1435,9,FALSE)</f>
        <v>L</v>
      </c>
      <c r="K22" s="413">
        <f>VLOOKUP(B22,MASTER!$B$8:$V$1435,11,FALSE)</f>
        <v>25356</v>
      </c>
      <c r="L22" s="422" t="str">
        <f t="shared" ca="1" si="6"/>
        <v>48.10</v>
      </c>
      <c r="M22" s="789" t="s">
        <v>749</v>
      </c>
      <c r="N22" s="413">
        <f>VLOOKUP(B22,MASTER!$B$8:$V$1435,14,FALSE)</f>
        <v>33226</v>
      </c>
      <c r="O22" s="422" t="str">
        <f t="shared" ca="1" si="7"/>
        <v>27.4</v>
      </c>
      <c r="P22" s="413">
        <f>VLOOKUP(B22,MASTER!$B$8:$V$1435,16,FALSE)</f>
        <v>45810</v>
      </c>
      <c r="Q22" s="414" t="str">
        <f>VLOOKUP(B22,MASTER!$B$8:$V$1435,17,FALSE)</f>
        <v>I</v>
      </c>
      <c r="R22" s="411" t="str">
        <f>VLOOKUP(B22,MASTER!$B$8:$V$1435,18,FALSE)</f>
        <v>SMA</v>
      </c>
      <c r="S22" s="411" t="str">
        <f>VLOOKUP(B22,MASTER!$B$8:$V$1435,19,FALSE)</f>
        <v>SLTA</v>
      </c>
      <c r="T22" s="418" t="str">
        <f>VLOOKUP(B22,MASTER!$B$8:$V$1435,20,FALSE)</f>
        <v>-</v>
      </c>
      <c r="U22" s="415" t="str">
        <f>VLOOKUP($B22,ALAMAT!$A$1:E258,4)</f>
        <v>Griya Payung Asri Kav.105 RT.008 RW.013 Pudakpayung  Banyumanik Semarang</v>
      </c>
      <c r="X22" s="407">
        <f t="shared" ca="1" si="2"/>
        <v>48</v>
      </c>
      <c r="Y22" s="407">
        <f t="shared" ca="1" si="4"/>
        <v>27</v>
      </c>
    </row>
    <row r="23" spans="1:25" s="407" customFormat="1" ht="12.95" customHeight="1">
      <c r="A23" s="421">
        <v>18</v>
      </c>
      <c r="B23" s="821">
        <v>4678</v>
      </c>
      <c r="C23" s="412" t="str">
        <f>VLOOKUP(B23,MASTER!$B$8:$C$137,2,FALSE)</f>
        <v>MARTINI</v>
      </c>
      <c r="D23" s="409" t="s">
        <v>2336</v>
      </c>
      <c r="E23" s="410" t="s">
        <v>645</v>
      </c>
      <c r="F23" s="411" t="s">
        <v>18</v>
      </c>
      <c r="G23" s="411" t="str">
        <f>VLOOKUP(B23,MASTER!$B$8:$H$1435,6,FALSE)</f>
        <v>K</v>
      </c>
      <c r="H23" s="411">
        <f>VLOOKUP(B23,MASTER!$B$8:$H$1435,7,FALSE)</f>
        <v>2</v>
      </c>
      <c r="I23" s="411">
        <f>VLOOKUP(B23,MASTER!$B$8:$V$1435,8,FALSE)</f>
        <v>2</v>
      </c>
      <c r="J23" s="411" t="str">
        <f>VLOOKUP(B23,MASTER!$B$8:$V$1435,9,FALSE)</f>
        <v>P</v>
      </c>
      <c r="K23" s="413">
        <f>VLOOKUP(B23,MASTER!$B$8:$V$1435,11,FALSE)</f>
        <v>24555</v>
      </c>
      <c r="L23" s="422" t="str">
        <f t="shared" ca="1" si="6"/>
        <v>51.1</v>
      </c>
      <c r="M23" s="789" t="s">
        <v>751</v>
      </c>
      <c r="N23" s="413">
        <f>VLOOKUP(B23,MASTER!$B$8:$V$1435,14,FALSE)</f>
        <v>32025</v>
      </c>
      <c r="O23" s="422" t="str">
        <f t="shared" ca="1" si="7"/>
        <v>30.7</v>
      </c>
      <c r="P23" s="413">
        <f>VLOOKUP(B23,MASTER!$B$8:$V$1435,16,FALSE)</f>
        <v>45009</v>
      </c>
      <c r="Q23" s="414" t="str">
        <f>VLOOKUP(B23,MASTER!$B$8:$V$1435,17,FALSE)</f>
        <v>I</v>
      </c>
      <c r="R23" s="411" t="str">
        <f>VLOOKUP(B23,MASTER!$B$8:$V$1435,18,FALSE)</f>
        <v>SMEA</v>
      </c>
      <c r="S23" s="411" t="str">
        <f>VLOOKUP(B23,MASTER!$B$8:$V$1435,19,FALSE)</f>
        <v>SLTA</v>
      </c>
      <c r="T23" s="418" t="str">
        <f>VLOOKUP(B23,MASTER!$B$8:$V$1435,20,FALSE)</f>
        <v>O</v>
      </c>
      <c r="U23" s="415" t="str">
        <f>VLOOKUP($B23,ALAMAT!$A$1:E263,4)</f>
        <v>Beringin Kulon RT.003 RW.009 Tambakaji Ngaliyan Semarang</v>
      </c>
      <c r="X23" s="407">
        <f t="shared" ca="1" si="2"/>
        <v>51</v>
      </c>
      <c r="Y23" s="407">
        <f t="shared" ca="1" si="4"/>
        <v>30</v>
      </c>
    </row>
    <row r="24" spans="1:25" s="407" customFormat="1" ht="12.95" customHeight="1">
      <c r="A24" s="408">
        <v>19</v>
      </c>
      <c r="B24" s="821">
        <v>6813</v>
      </c>
      <c r="C24" s="412" t="str">
        <f>VLOOKUP(B24,MASTER!$B$8:$C$137,2,FALSE)</f>
        <v>SRI MULYONO</v>
      </c>
      <c r="D24" s="409" t="s">
        <v>2336</v>
      </c>
      <c r="E24" s="410" t="s">
        <v>2423</v>
      </c>
      <c r="F24" s="411" t="s">
        <v>18</v>
      </c>
      <c r="G24" s="411" t="str">
        <f>VLOOKUP(B24,MASTER!$B$8:$H$1435,6,FALSE)</f>
        <v>K</v>
      </c>
      <c r="H24" s="411">
        <f>VLOOKUP(B24,MASTER!$B$8:$H$1435,7,FALSE)</f>
        <v>2</v>
      </c>
      <c r="I24" s="411">
        <f>VLOOKUP(B24,MASTER!$B$8:$V$1435,8,FALSE)</f>
        <v>1</v>
      </c>
      <c r="J24" s="411" t="str">
        <f>VLOOKUP(B24,MASTER!$B$8:$V$1435,9,FALSE)</f>
        <v>L</v>
      </c>
      <c r="K24" s="413">
        <f>VLOOKUP(B24,MASTER!$B$8:$V$1435,11,FALSE)</f>
        <v>23339</v>
      </c>
      <c r="L24" s="422" t="str">
        <f t="shared" ca="1" si="6"/>
        <v>54.5</v>
      </c>
      <c r="M24" s="789" t="s">
        <v>754</v>
      </c>
      <c r="N24" s="413">
        <f>VLOOKUP(B24,MASTER!$B$8:$V$1435,14,FALSE)</f>
        <v>33527</v>
      </c>
      <c r="O24" s="422" t="str">
        <f t="shared" ca="1" si="7"/>
        <v>26.6</v>
      </c>
      <c r="P24" s="413">
        <f>VLOOKUP(B24,MASTER!$B$8:$V$1435,16,FALSE)</f>
        <v>43793</v>
      </c>
      <c r="Q24" s="414" t="str">
        <f>VLOOKUP(B24,MASTER!$B$8:$V$1435,17,FALSE)</f>
        <v>I</v>
      </c>
      <c r="R24" s="411" t="str">
        <f>VLOOKUP(B24,MASTER!$B$8:$V$1435,18,FALSE)</f>
        <v>SMA</v>
      </c>
      <c r="S24" s="411" t="str">
        <f>VLOOKUP(B24,MASTER!$B$8:$V$1435,19,FALSE)</f>
        <v>S1</v>
      </c>
      <c r="T24" s="418" t="str">
        <f>VLOOKUP(B24,MASTER!$B$8:$V$1435,20,FALSE)</f>
        <v>A</v>
      </c>
      <c r="U24" s="415" t="str">
        <f>VLOOKUP($B24,ALAMAT!$A$1:E264,4)</f>
        <v>Gempol RT.003 RW.004 Leyangan Ungaran Kab.Semarang</v>
      </c>
      <c r="X24" s="407">
        <f t="shared" ca="1" si="2"/>
        <v>54</v>
      </c>
      <c r="Y24" s="407">
        <f t="shared" ca="1" si="4"/>
        <v>26</v>
      </c>
    </row>
    <row r="25" spans="1:25" s="407" customFormat="1" ht="12.95" customHeight="1">
      <c r="A25" s="421">
        <v>20</v>
      </c>
      <c r="B25" s="823">
        <v>9287</v>
      </c>
      <c r="C25" s="412" t="str">
        <f>VLOOKUP(B25,MASTER!$B$8:$C$137,2,FALSE)</f>
        <v>HIDAYAT</v>
      </c>
      <c r="D25" s="434">
        <v>5</v>
      </c>
      <c r="E25" s="410" t="s">
        <v>638</v>
      </c>
      <c r="F25" s="411" t="s">
        <v>18</v>
      </c>
      <c r="G25" s="411" t="str">
        <f>VLOOKUP(B25,MASTER!$B$8:$H$1435,6,FALSE)</f>
        <v>K</v>
      </c>
      <c r="H25" s="411">
        <f>VLOOKUP(B25,MASTER!$B$8:$H$1435,7,FALSE)</f>
        <v>3</v>
      </c>
      <c r="I25" s="411">
        <f>VLOOKUP(B25,MASTER!$B$8:$V$1435,8,FALSE)</f>
        <v>3</v>
      </c>
      <c r="J25" s="411" t="str">
        <f>VLOOKUP(B25,MASTER!$B$8:$V$1435,9,FALSE)</f>
        <v>L</v>
      </c>
      <c r="K25" s="413">
        <f>VLOOKUP(B25,MASTER!$B$8:$V$1435,11,FALSE)</f>
        <v>27653</v>
      </c>
      <c r="L25" s="422" t="str">
        <f t="shared" ca="1" si="6"/>
        <v>42.7</v>
      </c>
      <c r="M25" s="789" t="s">
        <v>743</v>
      </c>
      <c r="N25" s="413">
        <f>VLOOKUP(B25,MASTER!$B$8:$V$1435,14,FALSE)</f>
        <v>35691</v>
      </c>
      <c r="O25" s="422" t="str">
        <f t="shared" ca="1" si="7"/>
        <v>20.7</v>
      </c>
      <c r="P25" s="413">
        <f>VLOOKUP(B25,MASTER!$B$8:$V$1435,16,FALSE)</f>
        <v>48107</v>
      </c>
      <c r="Q25" s="414" t="str">
        <f>VLOOKUP(B25,MASTER!$B$8:$V$1435,17,FALSE)</f>
        <v>I</v>
      </c>
      <c r="R25" s="411" t="str">
        <f>VLOOKUP(B25,MASTER!$B$8:$V$1435,18,FALSE)</f>
        <v>MAN</v>
      </c>
      <c r="S25" s="411" t="str">
        <f>VLOOKUP(B25,MASTER!$B$8:$V$1435,19,FALSE)</f>
        <v>SLTA</v>
      </c>
      <c r="T25" s="418" t="str">
        <f>VLOOKUP(B25,MASTER!$B$8:$V$1435,20,FALSE)</f>
        <v>O</v>
      </c>
      <c r="U25" s="415" t="str">
        <f>VLOOKUP($B25,ALAMAT!$A$1:E265,4)</f>
        <v>Ds Kenangkan Rt 06 Rw 07 Bergas Kidul Bergas Semarang</v>
      </c>
      <c r="X25" s="407">
        <f t="shared" ca="1" si="2"/>
        <v>42</v>
      </c>
      <c r="Y25" s="407">
        <f t="shared" ca="1" si="4"/>
        <v>20</v>
      </c>
    </row>
    <row r="26" spans="1:25" s="407" customFormat="1" ht="12.95" customHeight="1">
      <c r="A26" s="408">
        <v>21</v>
      </c>
      <c r="B26" s="821">
        <v>4666</v>
      </c>
      <c r="C26" s="412" t="str">
        <f>VLOOKUP(B26,MASTER!$B$8:$C$137,2,FALSE)</f>
        <v>AJI SUPRIOHADI</v>
      </c>
      <c r="D26" s="409" t="s">
        <v>2335</v>
      </c>
      <c r="E26" s="410" t="s">
        <v>796</v>
      </c>
      <c r="F26" s="411" t="s">
        <v>18</v>
      </c>
      <c r="G26" s="411" t="str">
        <f>VLOOKUP(B26,MASTER!$B$8:$H$1435,6,FALSE)</f>
        <v>K</v>
      </c>
      <c r="H26" s="411">
        <f>VLOOKUP(B26,MASTER!$B$8:$H$1435,7,FALSE)</f>
        <v>3</v>
      </c>
      <c r="I26" s="411">
        <f>VLOOKUP(B26,MASTER!$B$8:$V$1435,8,FALSE)</f>
        <v>1</v>
      </c>
      <c r="J26" s="411" t="str">
        <f>VLOOKUP(B26,MASTER!$B$8:$V$1435,9,FALSE)</f>
        <v>L</v>
      </c>
      <c r="K26" s="413">
        <f>VLOOKUP(B26,MASTER!$B$8:$V$1435,11,FALSE)</f>
        <v>23394</v>
      </c>
      <c r="L26" s="422" t="str">
        <f t="shared" ref="L26:L32" ca="1" si="8">DATEDIF(K26,TODAY(),"Y") &amp; "." &amp;DATEDIF(K26,TODAY(),"YM")</f>
        <v>54.3</v>
      </c>
      <c r="M26" s="789" t="s">
        <v>754</v>
      </c>
      <c r="N26" s="413">
        <f>VLOOKUP(B26,MASTER!$B$8:$V$1435,14,FALSE)</f>
        <v>32025</v>
      </c>
      <c r="O26" s="422" t="str">
        <f t="shared" ref="O26:O32" ca="1" si="9">DATEDIF(N26,TODAY(),"Y") &amp; "." &amp;DATEDIF(N26,TODAY(),"YM")</f>
        <v>30.7</v>
      </c>
      <c r="P26" s="413">
        <f>VLOOKUP(B26,MASTER!$B$8:$V$1435,16,FALSE)</f>
        <v>43848</v>
      </c>
      <c r="Q26" s="414" t="str">
        <f>VLOOKUP(B26,MASTER!$B$8:$V$1435,17,FALSE)</f>
        <v>I</v>
      </c>
      <c r="R26" s="411" t="str">
        <f>VLOOKUP(B26,MASTER!$B$8:$V$1435,18,FALSE)</f>
        <v>S1</v>
      </c>
      <c r="S26" s="411" t="str">
        <f>VLOOKUP(B26,MASTER!$B$8:$V$1435,19,FALSE)</f>
        <v>S1</v>
      </c>
      <c r="T26" s="418" t="str">
        <f>VLOOKUP(B26,MASTER!$B$8:$V$1435,20,FALSE)</f>
        <v>B</v>
      </c>
      <c r="U26" s="415" t="str">
        <f>VLOOKUP($B26,ALAMAT!$A$1:E268,4)</f>
        <v>Perum Rumpun Diponegoro Jl Elang II/B-37 Rt05 Rw04 Mangunharjo Tembalang Smg</v>
      </c>
      <c r="X26" s="407">
        <f t="shared" ca="1" si="2"/>
        <v>54</v>
      </c>
      <c r="Y26" s="407">
        <f t="shared" ca="1" si="4"/>
        <v>30</v>
      </c>
    </row>
    <row r="27" spans="1:25" s="407" customFormat="1" ht="12.95" customHeight="1">
      <c r="A27" s="421">
        <v>22</v>
      </c>
      <c r="B27" s="821">
        <v>4627</v>
      </c>
      <c r="C27" s="412" t="str">
        <f>VLOOKUP(B27,MASTER!$B$8:$C$137,2,FALSE)</f>
        <v>SLAMET SANTOSO</v>
      </c>
      <c r="D27" s="409" t="s">
        <v>2336</v>
      </c>
      <c r="E27" s="410" t="s">
        <v>2424</v>
      </c>
      <c r="F27" s="411" t="s">
        <v>18</v>
      </c>
      <c r="G27" s="411" t="str">
        <f>VLOOKUP(B27,MASTER!$B$8:$H$1435,6,FALSE)</f>
        <v>K</v>
      </c>
      <c r="H27" s="411">
        <f>VLOOKUP(B27,MASTER!$B$8:$H$1435,7,FALSE)</f>
        <v>3</v>
      </c>
      <c r="I27" s="411">
        <f>VLOOKUP(B27,MASTER!$B$8:$V$1435,8,FALSE)</f>
        <v>3</v>
      </c>
      <c r="J27" s="411" t="str">
        <f>VLOOKUP(B27,MASTER!$B$8:$V$1435,9,FALSE)</f>
        <v>L</v>
      </c>
      <c r="K27" s="413">
        <f>VLOOKUP(B27,MASTER!$B$8:$V$1435,11,FALSE)</f>
        <v>23219</v>
      </c>
      <c r="L27" s="422" t="str">
        <f t="shared" ca="1" si="8"/>
        <v>54.9</v>
      </c>
      <c r="M27" s="789" t="s">
        <v>755</v>
      </c>
      <c r="N27" s="413">
        <f>VLOOKUP(B27,MASTER!$B$8:$V$1435,14,FALSE)</f>
        <v>32025</v>
      </c>
      <c r="O27" s="422" t="str">
        <f t="shared" ca="1" si="9"/>
        <v>30.7</v>
      </c>
      <c r="P27" s="413">
        <f>VLOOKUP(B27,MASTER!$B$8:$V$1435,16,FALSE)</f>
        <v>43673</v>
      </c>
      <c r="Q27" s="414" t="str">
        <f>VLOOKUP(B27,MASTER!$B$8:$V$1435,17,FALSE)</f>
        <v>I</v>
      </c>
      <c r="R27" s="411" t="str">
        <f>VLOOKUP(B27,MASTER!$B$8:$V$1435,18,FALSE)</f>
        <v>SMA</v>
      </c>
      <c r="S27" s="411" t="str">
        <f>VLOOKUP(B27,MASTER!$B$8:$V$1435,19,FALSE)</f>
        <v>S1</v>
      </c>
      <c r="T27" s="418" t="str">
        <f>VLOOKUP(B27,MASTER!$B$8:$V$1435,20,FALSE)</f>
        <v>O</v>
      </c>
      <c r="U27" s="415" t="str">
        <f>VLOOKUP($B27,ALAMAT!$A$1:E269,4)</f>
        <v>Kesatrian G-3Jatingaleh Candisari Semarang</v>
      </c>
      <c r="X27" s="407">
        <f t="shared" ca="1" si="2"/>
        <v>54</v>
      </c>
      <c r="Y27" s="407">
        <f t="shared" ca="1" si="4"/>
        <v>30</v>
      </c>
    </row>
    <row r="28" spans="1:25" s="407" customFormat="1" ht="12.95" customHeight="1">
      <c r="A28" s="408">
        <v>23</v>
      </c>
      <c r="B28" s="821">
        <v>4641</v>
      </c>
      <c r="C28" s="412" t="str">
        <f>VLOOKUP(B28,MASTER!$B$8:$C$137,2,FALSE)</f>
        <v>RINI MARDIANI</v>
      </c>
      <c r="D28" s="409" t="s">
        <v>2336</v>
      </c>
      <c r="E28" s="410" t="s">
        <v>648</v>
      </c>
      <c r="F28" s="411" t="s">
        <v>18</v>
      </c>
      <c r="G28" s="411" t="str">
        <f>VLOOKUP(B28,MASTER!$B$8:$H$1435,6,FALSE)</f>
        <v>K</v>
      </c>
      <c r="H28" s="411">
        <f>VLOOKUP(B28,MASTER!$B$8:$H$1435,7,FALSE)</f>
        <v>3</v>
      </c>
      <c r="I28" s="411">
        <f>VLOOKUP(B28,MASTER!$B$8:$V$1435,8,FALSE)</f>
        <v>3</v>
      </c>
      <c r="J28" s="411" t="str">
        <f>VLOOKUP(B28,MASTER!$B$8:$V$1435,9,FALSE)</f>
        <v>P</v>
      </c>
      <c r="K28" s="413">
        <f>VLOOKUP(B28,MASTER!$B$8:$V$1435,11,FALSE)</f>
        <v>24734</v>
      </c>
      <c r="L28" s="422" t="str">
        <f t="shared" ca="1" si="8"/>
        <v>50.7</v>
      </c>
      <c r="M28" s="789" t="s">
        <v>751</v>
      </c>
      <c r="N28" s="413">
        <f>VLOOKUP(B28,MASTER!$B$8:$V$1435,14,FALSE)</f>
        <v>32025</v>
      </c>
      <c r="O28" s="422" t="str">
        <f t="shared" ca="1" si="9"/>
        <v>30.7</v>
      </c>
      <c r="P28" s="413">
        <f>VLOOKUP(B28,MASTER!$B$8:$V$1435,16,FALSE)</f>
        <v>45188</v>
      </c>
      <c r="Q28" s="414" t="str">
        <f>VLOOKUP(B28,MASTER!$B$8:$V$1435,17,FALSE)</f>
        <v>I</v>
      </c>
      <c r="R28" s="411" t="str">
        <f>VLOOKUP(B28,MASTER!$B$8:$V$1435,18,FALSE)</f>
        <v>SMA</v>
      </c>
      <c r="S28" s="411" t="str">
        <f>VLOOKUP(B28,MASTER!$B$8:$V$1435,19,FALSE)</f>
        <v>S1</v>
      </c>
      <c r="T28" s="418" t="str">
        <f>VLOOKUP(B28,MASTER!$B$8:$V$1435,20,FALSE)</f>
        <v>A</v>
      </c>
      <c r="U28" s="415" t="str">
        <f>VLOOKUP($B28,ALAMAT!$A$1:E270,4)</f>
        <v>Jl Albesia No 43/961 Rt03 Rw 08 Plamongansari Pedurungan Smg</v>
      </c>
      <c r="X28" s="407">
        <f t="shared" ca="1" si="2"/>
        <v>50</v>
      </c>
      <c r="Y28" s="407">
        <f t="shared" ca="1" si="4"/>
        <v>30</v>
      </c>
    </row>
    <row r="29" spans="1:25" s="407" customFormat="1" ht="12.95" customHeight="1">
      <c r="A29" s="421">
        <v>24</v>
      </c>
      <c r="B29" s="821">
        <v>4776</v>
      </c>
      <c r="C29" s="412" t="str">
        <f>VLOOKUP(B29,MASTER!$B$8:$C$137,2,FALSE)</f>
        <v>EDI HASTAYOGA</v>
      </c>
      <c r="D29" s="409" t="s">
        <v>2336</v>
      </c>
      <c r="E29" s="410" t="s">
        <v>642</v>
      </c>
      <c r="F29" s="411" t="s">
        <v>18</v>
      </c>
      <c r="G29" s="411" t="str">
        <f>VLOOKUP(B29,MASTER!$B$8:$H$1435,6,FALSE)</f>
        <v>K</v>
      </c>
      <c r="H29" s="411">
        <f>VLOOKUP(B29,MASTER!$B$8:$H$1435,7,FALSE)</f>
        <v>3</v>
      </c>
      <c r="I29" s="411">
        <f>VLOOKUP(B29,MASTER!$B$8:$V$1435,8,FALSE)</f>
        <v>1</v>
      </c>
      <c r="J29" s="411" t="str">
        <f>VLOOKUP(B29,MASTER!$B$8:$V$1435,9,FALSE)</f>
        <v>L</v>
      </c>
      <c r="K29" s="413">
        <f>VLOOKUP(B29,MASTER!$B$8:$V$1435,11,FALSE)</f>
        <v>23698</v>
      </c>
      <c r="L29" s="422" t="str">
        <f t="shared" ca="1" si="8"/>
        <v>53.5</v>
      </c>
      <c r="M29" s="789" t="s">
        <v>753</v>
      </c>
      <c r="N29" s="413">
        <f>VLOOKUP(B29,MASTER!$B$8:$V$1435,14,FALSE)</f>
        <v>32112</v>
      </c>
      <c r="O29" s="422" t="str">
        <f t="shared" ca="1" si="9"/>
        <v>30.4</v>
      </c>
      <c r="P29" s="413">
        <f>VLOOKUP(B29,MASTER!$B$8:$V$1435,16,FALSE)</f>
        <v>44152</v>
      </c>
      <c r="Q29" s="414" t="str">
        <f>VLOOKUP(B29,MASTER!$B$8:$V$1435,17,FALSE)</f>
        <v>I</v>
      </c>
      <c r="R29" s="411" t="str">
        <f>VLOOKUP(B29,MASTER!$B$8:$V$1435,18,FALSE)</f>
        <v>SPK</v>
      </c>
      <c r="S29" s="411" t="str">
        <f>VLOOKUP(B29,MASTER!$B$8:$V$1435,19,FALSE)</f>
        <v>S1</v>
      </c>
      <c r="T29" s="418" t="str">
        <f>VLOOKUP(B29,MASTER!$B$8:$V$1435,20,FALSE)</f>
        <v>A</v>
      </c>
      <c r="U29" s="415" t="str">
        <f>VLOOKUP($B29,ALAMAT!$A$1:E271,4)</f>
        <v>Jln.Candi Pawon VI/25 RT.001RW.003 Kalipancur, Ngaliyan, Semarang</v>
      </c>
      <c r="X29" s="407">
        <f t="shared" ca="1" si="2"/>
        <v>53</v>
      </c>
      <c r="Y29" s="407">
        <f t="shared" ca="1" si="4"/>
        <v>30</v>
      </c>
    </row>
    <row r="30" spans="1:25" s="407" customFormat="1" ht="12.95" customHeight="1">
      <c r="A30" s="408">
        <v>25</v>
      </c>
      <c r="B30" s="823">
        <v>9540</v>
      </c>
      <c r="C30" s="412" t="str">
        <f>VLOOKUP(B30,MASTER!$B$8:$C$137,2,FALSE)</f>
        <v>WAHYU EKO PURNOMO</v>
      </c>
      <c r="D30" s="434">
        <v>5</v>
      </c>
      <c r="E30" s="410" t="s">
        <v>638</v>
      </c>
      <c r="F30" s="411" t="s">
        <v>18</v>
      </c>
      <c r="G30" s="411" t="str">
        <f>VLOOKUP(B30,MASTER!$B$8:$H$1435,6,FALSE)</f>
        <v>K</v>
      </c>
      <c r="H30" s="411">
        <f>VLOOKUP(B30,MASTER!$B$8:$H$1435,7,FALSE)</f>
        <v>2</v>
      </c>
      <c r="I30" s="411">
        <f>VLOOKUP(B30,MASTER!$B$8:$V$1435,8,FALSE)</f>
        <v>2</v>
      </c>
      <c r="J30" s="411" t="str">
        <f>VLOOKUP(B30,MASTER!$B$8:$V$1435,9,FALSE)</f>
        <v>L</v>
      </c>
      <c r="K30" s="413">
        <f>VLOOKUP(B30,MASTER!$B$8:$V$1435,11,FALSE)</f>
        <v>27283</v>
      </c>
      <c r="L30" s="422" t="str">
        <f t="shared" ca="1" si="8"/>
        <v>43.7</v>
      </c>
      <c r="M30" s="789" t="s">
        <v>744</v>
      </c>
      <c r="N30" s="413">
        <f>VLOOKUP(B30,MASTER!$B$8:$V$1435,14,FALSE)</f>
        <v>35807</v>
      </c>
      <c r="O30" s="422" t="str">
        <f t="shared" ca="1" si="9"/>
        <v>20.3</v>
      </c>
      <c r="P30" s="413">
        <f>VLOOKUP(B30,MASTER!$B$8:$V$1435,16,FALSE)</f>
        <v>47737</v>
      </c>
      <c r="Q30" s="414" t="str">
        <f>VLOOKUP(B30,MASTER!$B$8:$V$1435,17,FALSE)</f>
        <v>I</v>
      </c>
      <c r="R30" s="411" t="str">
        <f>VLOOKUP(B30,MASTER!$B$8:$V$1435,18,FALSE)</f>
        <v>SMA</v>
      </c>
      <c r="S30" s="411" t="str">
        <f>VLOOKUP(B30,MASTER!$B$8:$V$1435,19,FALSE)</f>
        <v>SLTA</v>
      </c>
      <c r="T30" s="418" t="str">
        <f>VLOOKUP(B30,MASTER!$B$8:$V$1435,20,FALSE)</f>
        <v xml:space="preserve">A </v>
      </c>
      <c r="U30" s="415" t="str">
        <f>VLOOKUP($B30,ALAMAT!$A$1:E272,4)</f>
        <v>Jl.Kruwing Barat Dalam II/59 RT.002 RW.003 Srondol Wetan Banyumanik Semarang</v>
      </c>
      <c r="X30" s="407">
        <f t="shared" ca="1" si="2"/>
        <v>43</v>
      </c>
      <c r="Y30" s="407">
        <f t="shared" ca="1" si="4"/>
        <v>20</v>
      </c>
    </row>
    <row r="31" spans="1:25" s="407" customFormat="1" ht="12.95" customHeight="1">
      <c r="A31" s="421">
        <v>26</v>
      </c>
      <c r="B31" s="823">
        <v>9902</v>
      </c>
      <c r="C31" s="412" t="str">
        <f>VLOOKUP(B31,MASTER!$B$8:$C$137,2,FALSE)</f>
        <v>SAAT DUDIN TAFTAYANI</v>
      </c>
      <c r="D31" s="434">
        <v>5</v>
      </c>
      <c r="E31" s="410" t="s">
        <v>638</v>
      </c>
      <c r="F31" s="411" t="s">
        <v>18</v>
      </c>
      <c r="G31" s="411" t="str">
        <f>VLOOKUP(B31,MASTER!$B$8:$H$1435,6,FALSE)</f>
        <v>K</v>
      </c>
      <c r="H31" s="411">
        <f>VLOOKUP(B31,MASTER!$B$8:$H$1435,7,FALSE)</f>
        <v>2</v>
      </c>
      <c r="I31" s="411">
        <f>VLOOKUP(B31,MASTER!$B$8:$V$1435,8,FALSE)</f>
        <v>2</v>
      </c>
      <c r="J31" s="411" t="str">
        <f>VLOOKUP(B31,MASTER!$B$8:$V$1435,9,FALSE)</f>
        <v>L</v>
      </c>
      <c r="K31" s="413">
        <f>VLOOKUP(B31,MASTER!$B$8:$V$1435,11,FALSE)</f>
        <v>28323</v>
      </c>
      <c r="L31" s="422" t="str">
        <f t="shared" ca="1" si="8"/>
        <v>40.9</v>
      </c>
      <c r="M31" s="789" t="s">
        <v>741</v>
      </c>
      <c r="N31" s="413">
        <f>VLOOKUP(B31,MASTER!$B$8:$V$1435,14,FALSE)</f>
        <v>36514</v>
      </c>
      <c r="O31" s="422" t="str">
        <f t="shared" ca="1" si="9"/>
        <v>18.4</v>
      </c>
      <c r="P31" s="413">
        <f>VLOOKUP(B31,MASTER!$B$8:$V$1435,16,FALSE)</f>
        <v>48777</v>
      </c>
      <c r="Q31" s="414" t="str">
        <f>VLOOKUP(B31,MASTER!$B$8:$V$1435,17,FALSE)</f>
        <v>I</v>
      </c>
      <c r="R31" s="411" t="str">
        <f>VLOOKUP(B31,MASTER!$B$8:$V$1435,18,FALSE)</f>
        <v>SMA</v>
      </c>
      <c r="S31" s="411" t="str">
        <f>VLOOKUP(B31,MASTER!$B$8:$V$1435,19,FALSE)</f>
        <v>SLTA</v>
      </c>
      <c r="T31" s="418" t="str">
        <f>VLOOKUP(B31,MASTER!$B$8:$V$1435,20,FALSE)</f>
        <v>-</v>
      </c>
      <c r="U31" s="415" t="str">
        <f>VLOOKUP($B31,ALAMAT!$A$1:E273,4)</f>
        <v>Kalisari Kidul RT04 RW06 Kelurahan Langensari  Kec. Ungaran Barat</v>
      </c>
      <c r="X31" s="407">
        <f t="shared" ca="1" si="2"/>
        <v>40</v>
      </c>
      <c r="Y31" s="407">
        <f t="shared" ca="1" si="4"/>
        <v>18</v>
      </c>
    </row>
    <row r="32" spans="1:25" s="407" customFormat="1" ht="12.95" customHeight="1">
      <c r="A32" s="408">
        <v>27</v>
      </c>
      <c r="B32" s="823">
        <v>9521</v>
      </c>
      <c r="C32" s="412" t="str">
        <f>VLOOKUP(B32,MASTER!$B$8:$C$137,2,FALSE)</f>
        <v>DUGI LESTARI</v>
      </c>
      <c r="D32" s="434">
        <v>5</v>
      </c>
      <c r="E32" s="410" t="s">
        <v>638</v>
      </c>
      <c r="F32" s="411" t="s">
        <v>18</v>
      </c>
      <c r="G32" s="411" t="str">
        <f>VLOOKUP(B32,MASTER!$B$8:$H$1435,6,FALSE)</f>
        <v>K</v>
      </c>
      <c r="H32" s="411">
        <f>VLOOKUP(B32,MASTER!$B$8:$H$1435,7,FALSE)</f>
        <v>0</v>
      </c>
      <c r="I32" s="411">
        <f>VLOOKUP(B32,MASTER!$B$8:$V$1435,8,FALSE)</f>
        <v>0</v>
      </c>
      <c r="J32" s="411" t="str">
        <f>VLOOKUP(B32,MASTER!$B$8:$V$1435,9,FALSE)</f>
        <v>P</v>
      </c>
      <c r="K32" s="413">
        <f>VLOOKUP(B32,MASTER!$B$8:$V$1435,11,FALSE)</f>
        <v>27707</v>
      </c>
      <c r="L32" s="422" t="str">
        <f t="shared" ca="1" si="8"/>
        <v>42.5</v>
      </c>
      <c r="M32" s="789" t="s">
        <v>743</v>
      </c>
      <c r="N32" s="413">
        <f>VLOOKUP(B32,MASTER!$B$8:$V$1435,14,FALSE)</f>
        <v>35807</v>
      </c>
      <c r="O32" s="422" t="str">
        <f t="shared" ca="1" si="9"/>
        <v>20.3</v>
      </c>
      <c r="P32" s="413">
        <f>VLOOKUP(B32,MASTER!$B$8:$V$1435,16,FALSE)</f>
        <v>48161</v>
      </c>
      <c r="Q32" s="414" t="str">
        <f>VLOOKUP(B32,MASTER!$B$8:$V$1435,17,FALSE)</f>
        <v>I</v>
      </c>
      <c r="R32" s="411" t="str">
        <f>VLOOKUP(B32,MASTER!$B$8:$V$1435,18,FALSE)</f>
        <v>SMEA</v>
      </c>
      <c r="S32" s="411" t="str">
        <f>VLOOKUP(B32,MASTER!$B$8:$V$1435,19,FALSE)</f>
        <v>SLTA</v>
      </c>
      <c r="T32" s="418" t="str">
        <f>VLOOKUP(B32,MASTER!$B$8:$V$1435,20,FALSE)</f>
        <v>O</v>
      </c>
      <c r="U32" s="415" t="str">
        <f>VLOOKUP($B32,ALAMAT!$A$1:E274,4)</f>
        <v>Jl Ngesrep Timur III No 32 Rt 09 Rw 01 Sumurboto Banyumanik Semarang</v>
      </c>
      <c r="X32" s="407">
        <f t="shared" ca="1" si="2"/>
        <v>42</v>
      </c>
      <c r="Y32" s="407">
        <f t="shared" ca="1" si="4"/>
        <v>20</v>
      </c>
    </row>
    <row r="33" spans="1:25" s="407" customFormat="1" ht="12.95" customHeight="1">
      <c r="A33" s="421">
        <v>28</v>
      </c>
      <c r="B33" s="817">
        <v>6527</v>
      </c>
      <c r="C33" s="412" t="str">
        <f>VLOOKUP(B33,MASTER!$B$8:$C$137,2,FALSE)</f>
        <v>AGUS PRIYANTO</v>
      </c>
      <c r="D33" s="409" t="s">
        <v>2334</v>
      </c>
      <c r="E33" s="410" t="s">
        <v>647</v>
      </c>
      <c r="F33" s="411" t="s">
        <v>18</v>
      </c>
      <c r="G33" s="411" t="str">
        <f>VLOOKUP(B33,MASTER!$B$8:$H$1435,6,FALSE)</f>
        <v>K</v>
      </c>
      <c r="H33" s="411">
        <f>VLOOKUP(B33,MASTER!$B$8:$H$1435,7,FALSE)</f>
        <v>3</v>
      </c>
      <c r="I33" s="411">
        <f>VLOOKUP(B33,MASTER!$B$8:$V$1435,8,FALSE)</f>
        <v>3</v>
      </c>
      <c r="J33" s="411" t="str">
        <f>VLOOKUP(B33,MASTER!$B$8:$V$1435,9,FALSE)</f>
        <v>L</v>
      </c>
      <c r="K33" s="413">
        <f>VLOOKUP(B33,MASTER!$B$8:$V$1435,11,FALSE)</f>
        <v>26158</v>
      </c>
      <c r="L33" s="422" t="str">
        <f t="shared" ref="L33:L38" ca="1" si="10">DATEDIF(K33,TODAY(),"Y") &amp; "." &amp;DATEDIF(K33,TODAY(),"YM")</f>
        <v>46.8</v>
      </c>
      <c r="M33" s="789" t="s">
        <v>747</v>
      </c>
      <c r="N33" s="413">
        <f>VLOOKUP(B33,MASTER!$B$8:$V$1435,14,FALSE)</f>
        <v>33289</v>
      </c>
      <c r="O33" s="422" t="str">
        <f t="shared" ref="O33:O38" ca="1" si="11">DATEDIF(N33,TODAY(),"Y") &amp; "." &amp;DATEDIF(N33,TODAY(),"YM")</f>
        <v>27.2</v>
      </c>
      <c r="P33" s="413">
        <f>VLOOKUP(B33,MASTER!$B$8:$V$1435,16,FALSE)</f>
        <v>46612</v>
      </c>
      <c r="Q33" s="414" t="str">
        <f>VLOOKUP(B33,MASTER!$B$8:$V$1435,17,FALSE)</f>
        <v>I</v>
      </c>
      <c r="R33" s="411" t="str">
        <f>VLOOKUP(B33,MASTER!$B$8:$V$1435,18,FALSE)</f>
        <v>S1</v>
      </c>
      <c r="S33" s="411" t="str">
        <f>VLOOKUP(B33,MASTER!$B$8:$V$1435,19,FALSE)</f>
        <v>S1</v>
      </c>
      <c r="T33" s="418" t="str">
        <f>VLOOKUP(B33,MASTER!$B$8:$V$1435,20,FALSE)</f>
        <v>O</v>
      </c>
      <c r="U33" s="415" t="str">
        <f>VLOOKUP($B33,ALAMAT!$A$1:E266,4)</f>
        <v>Jl. Mawar Merah VI/6 No 12 RT 007 RW 007 Malaka Jaya Duren Sawit Jakarta Timur</v>
      </c>
      <c r="X33" s="407">
        <f t="shared" ca="1" si="2"/>
        <v>46</v>
      </c>
      <c r="Y33" s="407">
        <f t="shared" ca="1" si="4"/>
        <v>27</v>
      </c>
    </row>
    <row r="34" spans="1:25" s="407" customFormat="1" ht="12.95" customHeight="1">
      <c r="A34" s="408">
        <v>29</v>
      </c>
      <c r="B34" s="817">
        <v>4190</v>
      </c>
      <c r="C34" s="412" t="str">
        <f>VLOOKUP(B34,MASTER!$B$8:$C$137,2,FALSE)</f>
        <v>TRI MULYANI</v>
      </c>
      <c r="D34" s="409" t="s">
        <v>2335</v>
      </c>
      <c r="E34" s="410" t="s">
        <v>643</v>
      </c>
      <c r="F34" s="411" t="s">
        <v>18</v>
      </c>
      <c r="G34" s="411" t="str">
        <f>VLOOKUP(B34,MASTER!$B$8:$H$1435,6,FALSE)</f>
        <v>J</v>
      </c>
      <c r="H34" s="411">
        <f>VLOOKUP(B34,MASTER!$B$8:$H$1435,7,FALSE)</f>
        <v>2</v>
      </c>
      <c r="I34" s="411">
        <f>VLOOKUP(B34,MASTER!$B$8:$V$1435,8,FALSE)</f>
        <v>2</v>
      </c>
      <c r="J34" s="411" t="str">
        <f>VLOOKUP(B34,MASTER!$B$8:$V$1435,9,FALSE)</f>
        <v>P</v>
      </c>
      <c r="K34" s="413">
        <f>VLOOKUP(B34,MASTER!$B$8:$V$1435,11,FALSE)</f>
        <v>24825</v>
      </c>
      <c r="L34" s="422" t="str">
        <f t="shared" ca="1" si="10"/>
        <v>50.4</v>
      </c>
      <c r="M34" s="789" t="s">
        <v>750</v>
      </c>
      <c r="N34" s="413">
        <f>VLOOKUP(B34,MASTER!$B$8:$V$1435,14,FALSE)</f>
        <v>31880</v>
      </c>
      <c r="O34" s="422" t="str">
        <f t="shared" ca="1" si="11"/>
        <v>31.0</v>
      </c>
      <c r="P34" s="413">
        <f>VLOOKUP(B34,MASTER!$B$8:$V$1435,16,FALSE)</f>
        <v>45279</v>
      </c>
      <c r="Q34" s="414" t="str">
        <f>VLOOKUP(B34,MASTER!$B$8:$V$1435,17,FALSE)</f>
        <v>I</v>
      </c>
      <c r="R34" s="411" t="str">
        <f>VLOOKUP(B34,MASTER!$B$8:$V$1435,18,FALSE)</f>
        <v>S1</v>
      </c>
      <c r="S34" s="411" t="str">
        <f>VLOOKUP(B34,MASTER!$B$8:$V$1435,19,FALSE)</f>
        <v>S1</v>
      </c>
      <c r="T34" s="418" t="str">
        <f>VLOOKUP(B34,MASTER!$B$8:$V$1435,20,FALSE)</f>
        <v>AB</v>
      </c>
      <c r="U34" s="415" t="str">
        <f>VLOOKUP($B34,ALAMAT!$A$1:E267,4)</f>
        <v>Jl. Abd. Rahman Saleh 268 RT.006 RW.010 Manyaran Semarang Barat</v>
      </c>
      <c r="X34" s="407">
        <f t="shared" ca="1" si="2"/>
        <v>50</v>
      </c>
      <c r="Y34" s="407">
        <f t="shared" ca="1" si="4"/>
        <v>31</v>
      </c>
    </row>
    <row r="35" spans="1:25" s="407" customFormat="1" ht="12.95" customHeight="1">
      <c r="A35" s="421">
        <v>30</v>
      </c>
      <c r="B35" s="821">
        <v>2231</v>
      </c>
      <c r="C35" s="412" t="str">
        <f>VLOOKUP(B35,MASTER!$B$8:$C$137,2,FALSE)</f>
        <v>CECILIA KUSMIYATI</v>
      </c>
      <c r="D35" s="409" t="s">
        <v>2336</v>
      </c>
      <c r="E35" s="410" t="s">
        <v>649</v>
      </c>
      <c r="F35" s="411" t="s">
        <v>18</v>
      </c>
      <c r="G35" s="411" t="str">
        <f>VLOOKUP(B35,MASTER!$B$8:$H$1435,6,FALSE)</f>
        <v>J</v>
      </c>
      <c r="H35" s="411">
        <f>VLOOKUP(B35,MASTER!$B$8:$H$1435,7,FALSE)</f>
        <v>3</v>
      </c>
      <c r="I35" s="411">
        <f>VLOOKUP(B35,MASTER!$B$8:$V$1435,8,FALSE)</f>
        <v>3</v>
      </c>
      <c r="J35" s="411" t="str">
        <f>VLOOKUP(B35,MASTER!$B$8:$V$1435,9,FALSE)</f>
        <v>P</v>
      </c>
      <c r="K35" s="413">
        <f>VLOOKUP(B35,MASTER!$B$8:$V$1435,11,FALSE)</f>
        <v>23038</v>
      </c>
      <c r="L35" s="422" t="str">
        <f t="shared" ca="1" si="10"/>
        <v>55.3</v>
      </c>
      <c r="M35" s="789" t="s">
        <v>755</v>
      </c>
      <c r="N35" s="413">
        <f>VLOOKUP(B35,MASTER!$B$8:$V$1435,14,FALSE)</f>
        <v>30501</v>
      </c>
      <c r="O35" s="422" t="str">
        <f t="shared" ca="1" si="11"/>
        <v>34.9</v>
      </c>
      <c r="P35" s="413">
        <f>VLOOKUP(B35,MASTER!$B$8:$V$1435,16,FALSE)</f>
        <v>43492</v>
      </c>
      <c r="Q35" s="414" t="str">
        <f>VLOOKUP(B35,MASTER!$B$8:$V$1435,17,FALSE)</f>
        <v>K</v>
      </c>
      <c r="R35" s="411" t="str">
        <f>VLOOKUP(B35,MASTER!$B$8:$V$1435,18,FALSE)</f>
        <v>SMEA</v>
      </c>
      <c r="S35" s="411" t="str">
        <f>VLOOKUP(B35,MASTER!$B$8:$V$1435,19,FALSE)</f>
        <v>SLTA</v>
      </c>
      <c r="T35" s="418" t="str">
        <f>VLOOKUP(B35,MASTER!$B$8:$V$1435,20,FALSE)</f>
        <v>O</v>
      </c>
      <c r="U35" s="415" t="str">
        <f>VLOOKUP($B35,ALAMAT!$A$1:E272,4)</f>
        <v>Jl.Kawung VII No.28 RT.005 RW.014. Tlogosari Kulon.  Pedurungan, Semarang</v>
      </c>
      <c r="X35" s="407">
        <f t="shared" ca="1" si="2"/>
        <v>55</v>
      </c>
      <c r="Y35" s="407">
        <f t="shared" ca="1" si="4"/>
        <v>34</v>
      </c>
    </row>
    <row r="36" spans="1:25" s="407" customFormat="1" ht="12.95" customHeight="1">
      <c r="A36" s="408">
        <v>31</v>
      </c>
      <c r="B36" s="821">
        <v>3388</v>
      </c>
      <c r="C36" s="412" t="str">
        <f>VLOOKUP(B36,MASTER!$B$8:$C$137,2,FALSE)</f>
        <v>AMINAH</v>
      </c>
      <c r="D36" s="409" t="s">
        <v>2336</v>
      </c>
      <c r="E36" s="410" t="s">
        <v>2363</v>
      </c>
      <c r="F36" s="411" t="s">
        <v>18</v>
      </c>
      <c r="G36" s="411" t="str">
        <f>VLOOKUP(B36,MASTER!$B$8:$H$1435,6,FALSE)</f>
        <v>K</v>
      </c>
      <c r="H36" s="411">
        <f>VLOOKUP(B36,MASTER!$B$8:$H$1435,7,FALSE)</f>
        <v>3</v>
      </c>
      <c r="I36" s="411">
        <f>VLOOKUP(B36,MASTER!$B$8:$V$1435,8,FALSE)</f>
        <v>3</v>
      </c>
      <c r="J36" s="411" t="str">
        <f>VLOOKUP(B36,MASTER!$B$8:$V$1435,9,FALSE)</f>
        <v>P</v>
      </c>
      <c r="K36" s="413">
        <f>VLOOKUP(B36,MASTER!$B$8:$V$1435,11,FALSE)</f>
        <v>23149</v>
      </c>
      <c r="L36" s="422" t="str">
        <f t="shared" ca="1" si="10"/>
        <v>54.11</v>
      </c>
      <c r="M36" s="789" t="s">
        <v>755</v>
      </c>
      <c r="N36" s="413">
        <f>VLOOKUP(B36,MASTER!$B$8:$V$1435,14,FALSE)</f>
        <v>31472</v>
      </c>
      <c r="O36" s="422" t="str">
        <f t="shared" ca="1" si="11"/>
        <v>32.1</v>
      </c>
      <c r="P36" s="413">
        <f>VLOOKUP(B36,MASTER!$B$8:$V$1435,16,FALSE)</f>
        <v>43603</v>
      </c>
      <c r="Q36" s="414" t="str">
        <f>VLOOKUP(B36,MASTER!$B$8:$V$1435,17,FALSE)</f>
        <v>I</v>
      </c>
      <c r="R36" s="411" t="str">
        <f>VLOOKUP(B36,MASTER!$B$8:$V$1435,18,FALSE)</f>
        <v>SMA</v>
      </c>
      <c r="S36" s="411" t="str">
        <f>VLOOKUP(B36,MASTER!$B$8:$V$1435,19,FALSE)</f>
        <v>S1</v>
      </c>
      <c r="T36" s="418" t="str">
        <f>VLOOKUP(B36,MASTER!$B$8:$V$1435,20,FALSE)</f>
        <v>B</v>
      </c>
      <c r="U36" s="415" t="str">
        <f>VLOOKUP($B36,ALAMAT!$A$1:E272,4)</f>
        <v>Karangrejo IV/3 RT.005 RW.007  Srondol Wetan Banyumanik, Semarang</v>
      </c>
      <c r="X36" s="407">
        <f t="shared" ca="1" si="2"/>
        <v>54</v>
      </c>
      <c r="Y36" s="407">
        <f t="shared" ca="1" si="4"/>
        <v>32</v>
      </c>
    </row>
    <row r="37" spans="1:25" s="407" customFormat="1" ht="12.95" customHeight="1">
      <c r="A37" s="421">
        <v>32</v>
      </c>
      <c r="B37" s="818">
        <v>7622</v>
      </c>
      <c r="C37" s="412" t="str">
        <f>VLOOKUP(B37,MASTER!$B$8:$C$137,2,FALSE)</f>
        <v>R.HUSNI AGUS DRAJAT R</v>
      </c>
      <c r="D37" s="409" t="s">
        <v>2336</v>
      </c>
      <c r="E37" s="410" t="s">
        <v>2564</v>
      </c>
      <c r="F37" s="436" t="s">
        <v>18</v>
      </c>
      <c r="G37" s="411" t="str">
        <f>VLOOKUP(B37,MASTER!$B$8:$H$1435,6,FALSE)</f>
        <v>K</v>
      </c>
      <c r="H37" s="411">
        <f>VLOOKUP(B37,MASTER!$B$8:$H$1435,7,FALSE)</f>
        <v>2</v>
      </c>
      <c r="I37" s="411">
        <f>VLOOKUP(B37,MASTER!$B$8:$V$1435,8,FALSE)</f>
        <v>2</v>
      </c>
      <c r="J37" s="411" t="str">
        <f>VLOOKUP(B37,MASTER!$B$8:$V$1435,9,FALSE)</f>
        <v>L</v>
      </c>
      <c r="K37" s="413">
        <f>VLOOKUP(B37,MASTER!$B$8:$V$1435,11,FALSE)</f>
        <v>27615</v>
      </c>
      <c r="L37" s="422" t="str">
        <f t="shared" ca="1" si="10"/>
        <v>42.8</v>
      </c>
      <c r="M37" s="789" t="s">
        <v>743</v>
      </c>
      <c r="N37" s="413">
        <f>VLOOKUP(B37,MASTER!$B$8:$V$1435,14,FALSE)</f>
        <v>34648</v>
      </c>
      <c r="O37" s="422" t="str">
        <f t="shared" ca="1" si="11"/>
        <v>23.5</v>
      </c>
      <c r="P37" s="413">
        <f>VLOOKUP(B37,MASTER!$B$8:$V$1435,16,FALSE)</f>
        <v>48069</v>
      </c>
      <c r="Q37" s="414" t="str">
        <f>VLOOKUP(B37,MASTER!$B$8:$V$1435,17,FALSE)</f>
        <v>I</v>
      </c>
      <c r="R37" s="411" t="str">
        <f>VLOOKUP(B37,MASTER!$B$8:$V$1435,18,FALSE)</f>
        <v>SMA</v>
      </c>
      <c r="S37" s="411" t="str">
        <f>VLOOKUP(B37,MASTER!$B$8:$V$1435,19,FALSE)</f>
        <v>S1</v>
      </c>
      <c r="T37" s="418" t="str">
        <f>VLOOKUP(B37,MASTER!$B$8:$V$1435,20,FALSE)</f>
        <v>O</v>
      </c>
      <c r="U37" s="415" t="str">
        <f>VLOOKUP($B37,ALAMAT!$A$1:E273,4)</f>
        <v>Jln.Darmo Indah Sel 1/MM-11 RT.001 RW.005 Tandes</v>
      </c>
      <c r="X37" s="407">
        <f t="shared" ca="1" si="2"/>
        <v>42</v>
      </c>
      <c r="Y37" s="407">
        <f t="shared" ca="1" si="4"/>
        <v>23</v>
      </c>
    </row>
    <row r="38" spans="1:25" s="407" customFormat="1" ht="12.95" customHeight="1">
      <c r="A38" s="408">
        <v>33</v>
      </c>
      <c r="B38" s="821">
        <v>9516</v>
      </c>
      <c r="C38" s="412" t="str">
        <f>VLOOKUP(B38,MASTER!$B$8:$C$137,2,FALSE)</f>
        <v>CHATARINA CAHYANING T</v>
      </c>
      <c r="D38" s="434">
        <v>5</v>
      </c>
      <c r="E38" s="410" t="s">
        <v>638</v>
      </c>
      <c r="F38" s="411" t="s">
        <v>18</v>
      </c>
      <c r="G38" s="411" t="str">
        <f>VLOOKUP(B38,MASTER!$B$8:$H$1435,6,FALSE)</f>
        <v>TK</v>
      </c>
      <c r="H38" s="411">
        <f>VLOOKUP(B38,MASTER!$B$8:$H$1435,7,FALSE)</f>
        <v>0</v>
      </c>
      <c r="I38" s="411">
        <f>VLOOKUP(B38,MASTER!$B$8:$V$1435,8,FALSE)</f>
        <v>0</v>
      </c>
      <c r="J38" s="411" t="str">
        <f>VLOOKUP(B38,MASTER!$B$8:$V$1435,9,FALSE)</f>
        <v>P</v>
      </c>
      <c r="K38" s="413">
        <f>VLOOKUP(B38,MASTER!$B$8:$V$1435,11,FALSE)</f>
        <v>28072</v>
      </c>
      <c r="L38" s="422" t="str">
        <f t="shared" ca="1" si="10"/>
        <v>41.5</v>
      </c>
      <c r="M38" s="789" t="s">
        <v>742</v>
      </c>
      <c r="N38" s="413">
        <f>VLOOKUP(B38,MASTER!$B$8:$V$1435,14,FALSE)</f>
        <v>35807</v>
      </c>
      <c r="O38" s="422" t="str">
        <f t="shared" ca="1" si="11"/>
        <v>20.3</v>
      </c>
      <c r="P38" s="413">
        <f>VLOOKUP(B38,MASTER!$B$8:$V$1435,16,FALSE)</f>
        <v>48526</v>
      </c>
      <c r="Q38" s="414" t="str">
        <f>VLOOKUP(B38,MASTER!$B$8:$V$1435,17,FALSE)</f>
        <v>I</v>
      </c>
      <c r="R38" s="411" t="str">
        <f>VLOOKUP(B38,MASTER!$B$8:$V$1435,18,FALSE)</f>
        <v>SLTA</v>
      </c>
      <c r="S38" s="411" t="str">
        <f>VLOOKUP(B38,MASTER!$B$8:$V$1435,19,FALSE)</f>
        <v>S1</v>
      </c>
      <c r="T38" s="418" t="str">
        <f>VLOOKUP(B38,MASTER!$B$8:$V$1435,20,FALSE)</f>
        <v>O</v>
      </c>
      <c r="U38" s="415" t="str">
        <f>VLOOKUP($B38,ALAMAT!$A$1:E274,4)</f>
        <v>Jl. Erowati Raya No. 60 RT 004 RW 003 Bulu Lor Semarang</v>
      </c>
      <c r="X38" s="407">
        <f t="shared" ref="X38:X69" ca="1" si="12">DATEDIF(K38,TODAY(),"y")</f>
        <v>41</v>
      </c>
      <c r="Y38" s="407">
        <f t="shared" ca="1" si="4"/>
        <v>20</v>
      </c>
    </row>
    <row r="39" spans="1:25" s="407" customFormat="1" ht="12.75">
      <c r="A39" s="421">
        <v>34</v>
      </c>
      <c r="B39" s="821">
        <v>5039</v>
      </c>
      <c r="C39" s="412" t="str">
        <f>VLOOKUP(B39,MASTER!$B$8:$C$137,2,FALSE)</f>
        <v>HADI MAKMURARTO</v>
      </c>
      <c r="D39" s="409" t="s">
        <v>2335</v>
      </c>
      <c r="E39" s="410" t="s">
        <v>777</v>
      </c>
      <c r="F39" s="411" t="s">
        <v>18</v>
      </c>
      <c r="G39" s="411" t="str">
        <f>VLOOKUP(B39,MASTER!$B$8:$H$1435,6,FALSE)</f>
        <v>K</v>
      </c>
      <c r="H39" s="411">
        <f>VLOOKUP(B39,MASTER!$B$8:$H$1435,7,FALSE)</f>
        <v>2</v>
      </c>
      <c r="I39" s="411">
        <f>VLOOKUP(B39,MASTER!$B$8:$V$1435,8,FALSE)</f>
        <v>2</v>
      </c>
      <c r="J39" s="411" t="str">
        <f>VLOOKUP(B39,MASTER!$B$8:$V$1435,9,FALSE)</f>
        <v>L</v>
      </c>
      <c r="K39" s="413">
        <f>VLOOKUP(B39,MASTER!$B$8:$V$1435,11,FALSE)</f>
        <v>23884</v>
      </c>
      <c r="L39" s="422" t="str">
        <f t="shared" ref="L39:L42" ca="1" si="13">DATEDIF(K39,TODAY(),"Y") &amp; "." &amp;DATEDIF(K39,TODAY(),"YM")</f>
        <v>52.11</v>
      </c>
      <c r="M39" s="789" t="s">
        <v>753</v>
      </c>
      <c r="N39" s="413">
        <f>VLOOKUP(B39,MASTER!$B$8:$V$1435,14,FALSE)</f>
        <v>32387</v>
      </c>
      <c r="O39" s="422" t="str">
        <f t="shared" ref="O39:O42" ca="1" si="14">DATEDIF(N39,TODAY(),"Y") &amp; "." &amp;DATEDIF(N39,TODAY(),"YM")</f>
        <v>29.7</v>
      </c>
      <c r="P39" s="413">
        <f>VLOOKUP(B39,MASTER!$B$8:$V$1435,16,FALSE)</f>
        <v>44338</v>
      </c>
      <c r="Q39" s="414" t="str">
        <f>VLOOKUP(B39,MASTER!$B$8:$V$1435,17,FALSE)</f>
        <v>I</v>
      </c>
      <c r="R39" s="411" t="str">
        <f>VLOOKUP(B39,MASTER!$B$8:$V$1435,18,FALSE)</f>
        <v>S1</v>
      </c>
      <c r="S39" s="411" t="str">
        <f>VLOOKUP(B39,MASTER!$B$8:$V$1435,19,FALSE)</f>
        <v>S1</v>
      </c>
      <c r="T39" s="418" t="str">
        <f>VLOOKUP(B39,MASTER!$B$8:$V$1435,20,FALSE)</f>
        <v>-</v>
      </c>
      <c r="U39" s="415" t="str">
        <f>VLOOKUP($B39,ALAMAT!$A$1:E277,4)</f>
        <v>Perum Puri Babatan Asri Rt04 Rw04 Beji Ungaran Semarang</v>
      </c>
      <c r="X39" s="407">
        <f t="shared" ca="1" si="12"/>
        <v>52</v>
      </c>
      <c r="Y39" s="407">
        <f t="shared" ca="1" si="4"/>
        <v>29</v>
      </c>
    </row>
    <row r="40" spans="1:25" s="407" customFormat="1" ht="12.95" customHeight="1">
      <c r="A40" s="408">
        <v>35</v>
      </c>
      <c r="B40" s="821">
        <v>3382</v>
      </c>
      <c r="C40" s="412" t="str">
        <f>VLOOKUP(B40,MASTER!$B$8:$C$137,2,FALSE)</f>
        <v>MURDIYATI</v>
      </c>
      <c r="D40" s="409" t="s">
        <v>2336</v>
      </c>
      <c r="E40" s="410" t="s">
        <v>644</v>
      </c>
      <c r="F40" s="411" t="s">
        <v>18</v>
      </c>
      <c r="G40" s="411" t="str">
        <f>VLOOKUP(B40,MASTER!$B$8:$H$1435,6,FALSE)</f>
        <v>K</v>
      </c>
      <c r="H40" s="411">
        <f>VLOOKUP(B40,MASTER!$B$8:$H$1435,7,FALSE)</f>
        <v>1</v>
      </c>
      <c r="I40" s="411">
        <f>VLOOKUP(B40,MASTER!$B$8:$V$1435,8,FALSE)</f>
        <v>1</v>
      </c>
      <c r="J40" s="411" t="str">
        <f>VLOOKUP(B40,MASTER!$B$8:$V$1435,9,FALSE)</f>
        <v>P</v>
      </c>
      <c r="K40" s="413">
        <f>VLOOKUP(B40,MASTER!$B$8:$V$1435,11,FALSE)</f>
        <v>24380</v>
      </c>
      <c r="L40" s="422" t="str">
        <f t="shared" ca="1" si="13"/>
        <v>51.7</v>
      </c>
      <c r="M40" s="789" t="s">
        <v>752</v>
      </c>
      <c r="N40" s="413">
        <f>VLOOKUP(B40,MASTER!$B$8:$V$1435,14,FALSE)</f>
        <v>31439</v>
      </c>
      <c r="O40" s="422" t="str">
        <f t="shared" ca="1" si="14"/>
        <v>32.3</v>
      </c>
      <c r="P40" s="413">
        <f>VLOOKUP(B40,MASTER!$B$8:$V$1435,16,FALSE)</f>
        <v>44834</v>
      </c>
      <c r="Q40" s="414" t="str">
        <f>VLOOKUP(B40,MASTER!$B$8:$V$1435,17,FALSE)</f>
        <v>I</v>
      </c>
      <c r="R40" s="411" t="str">
        <f>VLOOKUP(B40,MASTER!$B$8:$V$1435,18,FALSE)</f>
        <v>SMEA</v>
      </c>
      <c r="S40" s="411" t="str">
        <f>VLOOKUP(B40,MASTER!$B$8:$V$1435,19,FALSE)</f>
        <v>SLTA</v>
      </c>
      <c r="T40" s="418" t="str">
        <f>VLOOKUP(B40,MASTER!$B$8:$V$1435,20,FALSE)</f>
        <v>A</v>
      </c>
      <c r="U40" s="415" t="str">
        <f>VLOOKUP($B40,ALAMAT!$A$1:E278,4)</f>
        <v>Jl.Teuku Umar 106B RT.001 RW.004 Tinjomulyo Banyumanik Semarang</v>
      </c>
      <c r="X40" s="407">
        <f t="shared" ca="1" si="12"/>
        <v>51</v>
      </c>
      <c r="Y40" s="407">
        <f t="shared" ca="1" si="4"/>
        <v>32</v>
      </c>
    </row>
    <row r="41" spans="1:25" s="407" customFormat="1" ht="12.95" customHeight="1">
      <c r="A41" s="421">
        <v>36</v>
      </c>
      <c r="B41" s="821">
        <v>7447</v>
      </c>
      <c r="C41" s="412" t="str">
        <f>VLOOKUP(B41,MASTER!$B$8:$C$137,2,FALSE)</f>
        <v>SLAMET RIADI</v>
      </c>
      <c r="D41" s="409" t="s">
        <v>2336</v>
      </c>
      <c r="E41" s="410" t="s">
        <v>2324</v>
      </c>
      <c r="F41" s="411" t="s">
        <v>18</v>
      </c>
      <c r="G41" s="411" t="str">
        <f>VLOOKUP(B41,MASTER!$B$8:$H$1435,6,FALSE)</f>
        <v>K</v>
      </c>
      <c r="H41" s="411">
        <f>VLOOKUP(B41,MASTER!$B$8:$H$1435,7,FALSE)</f>
        <v>2</v>
      </c>
      <c r="I41" s="411">
        <f>VLOOKUP(B41,MASTER!$B$8:$V$1435,8,FALSE)</f>
        <v>2</v>
      </c>
      <c r="J41" s="411" t="str">
        <f>VLOOKUP(B41,MASTER!$B$8:$V$1435,9,FALSE)</f>
        <v>L</v>
      </c>
      <c r="K41" s="413">
        <f>VLOOKUP(B41,MASTER!$B$8:$V$1435,11,FALSE)</f>
        <v>26068</v>
      </c>
      <c r="L41" s="422" t="str">
        <f t="shared" ca="1" si="13"/>
        <v>46.11</v>
      </c>
      <c r="M41" s="789" t="s">
        <v>747</v>
      </c>
      <c r="N41" s="413">
        <f>VLOOKUP(B41,MASTER!$B$8:$V$1435,14,FALSE)</f>
        <v>34533</v>
      </c>
      <c r="O41" s="422" t="str">
        <f t="shared" ca="1" si="14"/>
        <v>23.9</v>
      </c>
      <c r="P41" s="413">
        <f>VLOOKUP(B41,MASTER!$B$8:$V$1435,16,FALSE)</f>
        <v>46522</v>
      </c>
      <c r="Q41" s="414" t="str">
        <f>VLOOKUP(B41,MASTER!$B$8:$V$1435,17,FALSE)</f>
        <v>I</v>
      </c>
      <c r="R41" s="411" t="str">
        <f>VLOOKUP(B41,MASTER!$B$8:$V$1435,18,FALSE)</f>
        <v>SMA</v>
      </c>
      <c r="S41" s="411" t="str">
        <f>VLOOKUP(B41,MASTER!$B$8:$V$1435,19,FALSE)</f>
        <v>S1</v>
      </c>
      <c r="T41" s="418" t="str">
        <f>VLOOKUP(B41,MASTER!$B$8:$V$1435,20,FALSE)</f>
        <v>O</v>
      </c>
      <c r="U41" s="415" t="str">
        <f>VLOOKUP($B41,ALAMAT!$A$1:E279,4)</f>
        <v>Jl.Toras III Perum P4A Blok B1/21 RT.006 RW.011 Pudakpayung, Banyumanik</v>
      </c>
      <c r="X41" s="407">
        <f t="shared" ca="1" si="12"/>
        <v>46</v>
      </c>
      <c r="Y41" s="407">
        <f t="shared" ca="1" si="4"/>
        <v>23</v>
      </c>
    </row>
    <row r="42" spans="1:25" s="407" customFormat="1" ht="12.95" customHeight="1">
      <c r="A42" s="408">
        <v>37</v>
      </c>
      <c r="B42" s="817">
        <v>8674</v>
      </c>
      <c r="C42" s="412" t="str">
        <f>VLOOKUP(B42,MASTER!$B$8:$C$137,2,FALSE)</f>
        <v>BUDI SANTOSO</v>
      </c>
      <c r="D42" s="409">
        <v>5</v>
      </c>
      <c r="E42" s="410" t="s">
        <v>638</v>
      </c>
      <c r="F42" s="411" t="s">
        <v>18</v>
      </c>
      <c r="G42" s="411" t="str">
        <f>VLOOKUP(B42,MASTER!$B$8:$H$1435,6,FALSE)</f>
        <v>K</v>
      </c>
      <c r="H42" s="411">
        <f>VLOOKUP(B42,MASTER!$B$8:$H$1435,7,FALSE)</f>
        <v>2</v>
      </c>
      <c r="I42" s="411">
        <f>VLOOKUP(B42,MASTER!$B$8:$V$1435,8,FALSE)</f>
        <v>2</v>
      </c>
      <c r="J42" s="411" t="str">
        <f>VLOOKUP(B42,MASTER!$B$8:$V$1435,9,FALSE)</f>
        <v>L</v>
      </c>
      <c r="K42" s="413">
        <f>VLOOKUP(B42,MASTER!$B$8:$V$1435,11,FALSE)</f>
        <v>26858</v>
      </c>
      <c r="L42" s="422" t="str">
        <f t="shared" ca="1" si="13"/>
        <v>44.9</v>
      </c>
      <c r="M42" s="789" t="s">
        <v>745</v>
      </c>
      <c r="N42" s="413">
        <f>VLOOKUP(B42,MASTER!$B$8:$V$1435,14,FALSE)</f>
        <v>35228</v>
      </c>
      <c r="O42" s="422" t="str">
        <f t="shared" ca="1" si="14"/>
        <v>21.10</v>
      </c>
      <c r="P42" s="413">
        <f>VLOOKUP(B42,MASTER!$B$8:$V$1435,16,FALSE)</f>
        <v>47312</v>
      </c>
      <c r="Q42" s="414" t="str">
        <f>VLOOKUP(B42,MASTER!$B$8:$V$1435,17,FALSE)</f>
        <v>I</v>
      </c>
      <c r="R42" s="411" t="str">
        <f>VLOOKUP(B42,MASTER!$B$8:$V$1435,18,FALSE)</f>
        <v>SMEA</v>
      </c>
      <c r="S42" s="411" t="str">
        <f>VLOOKUP(B42,MASTER!$B$8:$V$1435,19,FALSE)</f>
        <v>S1</v>
      </c>
      <c r="T42" s="418" t="str">
        <f>VLOOKUP(B42,MASTER!$B$8:$V$1435,20,FALSE)</f>
        <v>B</v>
      </c>
      <c r="U42" s="415" t="str">
        <f>VLOOKUP($B42,ALAMAT!$A$1:E280,4)</f>
        <v>Mantren RT.009 RW.003 Mantren Karangrejo Kab.Magetan</v>
      </c>
      <c r="X42" s="407">
        <f t="shared" ca="1" si="12"/>
        <v>44</v>
      </c>
      <c r="Y42" s="407">
        <f t="shared" ca="1" si="4"/>
        <v>21</v>
      </c>
    </row>
    <row r="43" spans="1:25" s="8" customFormat="1" ht="12.95" customHeight="1">
      <c r="A43" s="421">
        <v>38</v>
      </c>
      <c r="B43" s="818">
        <v>10428</v>
      </c>
      <c r="C43" s="412" t="str">
        <f>VLOOKUP(B43,MASTER!$B$8:$C$137,2,FALSE)</f>
        <v>RIFKA ARYANSYACH PARAMITA</v>
      </c>
      <c r="D43" s="409" t="s">
        <v>2335</v>
      </c>
      <c r="E43" s="410" t="s">
        <v>661</v>
      </c>
      <c r="F43" s="436" t="s">
        <v>18</v>
      </c>
      <c r="G43" s="411" t="str">
        <f>VLOOKUP(B43,MASTER!$B$8:$H$1435,6,FALSE)</f>
        <v>K</v>
      </c>
      <c r="H43" s="411">
        <f>VLOOKUP(B43,MASTER!$B$8:$H$1435,7,FALSE)</f>
        <v>1</v>
      </c>
      <c r="I43" s="411">
        <f>VLOOKUP(B43,MASTER!$B$8:$V$1435,8,FALSE)</f>
        <v>1</v>
      </c>
      <c r="J43" s="411" t="str">
        <f>VLOOKUP(B43,MASTER!$B$8:$V$1435,9,FALSE)</f>
        <v>P</v>
      </c>
      <c r="K43" s="413">
        <f>VLOOKUP(B43,MASTER!$B$8:$V$1435,11,FALSE)</f>
        <v>32353</v>
      </c>
      <c r="L43" s="422" t="str">
        <f t="shared" ref="L43:L45" ca="1" si="15">DATEDIF(K43,TODAY(),"Y") &amp; "." &amp;DATEDIF(K43,TODAY(),"YM")</f>
        <v>29.9</v>
      </c>
      <c r="M43" s="789" t="s">
        <v>730</v>
      </c>
      <c r="N43" s="413">
        <f>VLOOKUP(B43,MASTER!$B$8:$V$1435,14,FALSE)</f>
        <v>41092</v>
      </c>
      <c r="O43" s="422" t="str">
        <f t="shared" ref="O43:O45" ca="1" si="16">DATEDIF(N43,TODAY(),"Y") &amp; "." &amp;DATEDIF(N43,TODAY(),"YM")</f>
        <v>5.9</v>
      </c>
      <c r="P43" s="413">
        <f>VLOOKUP(B43,MASTER!$B$8:$V$1435,16,FALSE)</f>
        <v>52807</v>
      </c>
      <c r="Q43" s="414" t="str">
        <f>VLOOKUP(B43,MASTER!$B$8:$V$1435,17,FALSE)</f>
        <v>I</v>
      </c>
      <c r="R43" s="411" t="str">
        <f>VLOOKUP(B43,MASTER!$B$8:$V$1435,18,FALSE)</f>
        <v>S1</v>
      </c>
      <c r="S43" s="411" t="str">
        <f>VLOOKUP(B43,MASTER!$B$8:$V$1435,19,FALSE)</f>
        <v>S1</v>
      </c>
      <c r="T43" s="418">
        <f>VLOOKUP(B43,MASTER!$B$8:$V$1435,20,FALSE)</f>
        <v>0</v>
      </c>
      <c r="U43" s="415" t="str">
        <f>VLOOKUP($B43,ALAMAT!$A$1:E284,4)</f>
        <v>JL. Gaharu Utara III/52 Banyumanik Semarang</v>
      </c>
      <c r="V43" s="407"/>
      <c r="W43" s="407"/>
      <c r="X43" s="407">
        <f t="shared" ca="1" si="12"/>
        <v>29</v>
      </c>
      <c r="Y43" s="407">
        <f t="shared" ca="1" si="4"/>
        <v>5</v>
      </c>
    </row>
    <row r="44" spans="1:25" s="407" customFormat="1" ht="12.95" customHeight="1">
      <c r="A44" s="408">
        <v>39</v>
      </c>
      <c r="B44" s="819">
        <v>7692</v>
      </c>
      <c r="C44" s="412" t="str">
        <f>VLOOKUP(B44,MASTER!$B$8:$C$137,2,FALSE)</f>
        <v>MOHAMAD HADI SUPENO</v>
      </c>
      <c r="D44" s="734" t="s">
        <v>2336</v>
      </c>
      <c r="E44" s="410" t="s">
        <v>707</v>
      </c>
      <c r="F44" s="736" t="s">
        <v>18</v>
      </c>
      <c r="G44" s="411" t="str">
        <f>VLOOKUP(B44,MASTER!$B$8:$H$1435,6,FALSE)</f>
        <v>K</v>
      </c>
      <c r="H44" s="411">
        <f>VLOOKUP(B44,MASTER!$B$8:$H$1435,7,FALSE)</f>
        <v>2</v>
      </c>
      <c r="I44" s="411">
        <f>VLOOKUP(B44,MASTER!$B$8:$V$1435,8,FALSE)</f>
        <v>2</v>
      </c>
      <c r="J44" s="411" t="str">
        <f>VLOOKUP(B44,MASTER!$B$8:$V$1435,9,FALSE)</f>
        <v>L</v>
      </c>
      <c r="K44" s="413">
        <f>VLOOKUP(B44,MASTER!$B$8:$V$1435,11,FALSE)</f>
        <v>27393</v>
      </c>
      <c r="L44" s="422" t="str">
        <f t="shared" ca="1" si="15"/>
        <v>43.4</v>
      </c>
      <c r="M44" s="789" t="s">
        <v>743</v>
      </c>
      <c r="N44" s="413">
        <f>VLOOKUP(B44,MASTER!$B$8:$V$1435,14,FALSE)</f>
        <v>34648</v>
      </c>
      <c r="O44" s="422" t="str">
        <f t="shared" ca="1" si="16"/>
        <v>23.5</v>
      </c>
      <c r="P44" s="413">
        <f>VLOOKUP(B44,MASTER!$B$8:$V$1435,16,FALSE)</f>
        <v>47847</v>
      </c>
      <c r="Q44" s="414" t="str">
        <f>VLOOKUP(B44,MASTER!$B$8:$V$1435,17,FALSE)</f>
        <v>I</v>
      </c>
      <c r="R44" s="411" t="str">
        <f>VLOOKUP(B44,MASTER!$B$8:$V$1435,18,FALSE)</f>
        <v>STM</v>
      </c>
      <c r="S44" s="411" t="str">
        <f>VLOOKUP(B44,MASTER!$B$8:$V$1435,19,FALSE)</f>
        <v>S1</v>
      </c>
      <c r="T44" s="418" t="str">
        <f>VLOOKUP(B44,MASTER!$B$8:$V$1435,20,FALSE)</f>
        <v>O</v>
      </c>
      <c r="U44" s="415" t="str">
        <f>VLOOKUP($B44,ALAMAT!$A$1:E285,4)</f>
        <v>Jl.Panasan V/3 RT.003 RW.003 Beji Ungaran Timur</v>
      </c>
      <c r="X44" s="407">
        <f t="shared" ca="1" si="12"/>
        <v>43</v>
      </c>
      <c r="Y44" s="407">
        <f t="shared" ca="1" si="4"/>
        <v>23</v>
      </c>
    </row>
    <row r="45" spans="1:25" s="407" customFormat="1" ht="12.95" customHeight="1">
      <c r="A45" s="421">
        <v>40</v>
      </c>
      <c r="B45" s="820">
        <v>9538</v>
      </c>
      <c r="C45" s="412" t="str">
        <f>VLOOKUP(B45,MASTER!$B$8:$C$137,2,FALSE)</f>
        <v>NYOMAN WINAYA</v>
      </c>
      <c r="D45" s="409">
        <v>5</v>
      </c>
      <c r="E45" s="410" t="s">
        <v>638</v>
      </c>
      <c r="F45" s="736" t="s">
        <v>18</v>
      </c>
      <c r="G45" s="411" t="str">
        <f>VLOOKUP(B45,MASTER!$B$8:$H$1435,6,FALSE)</f>
        <v>K</v>
      </c>
      <c r="H45" s="411">
        <f>VLOOKUP(B45,MASTER!$B$8:$H$1435,7,FALSE)</f>
        <v>2</v>
      </c>
      <c r="I45" s="411">
        <f>VLOOKUP(B45,MASTER!$B$8:$V$1435,8,FALSE)</f>
        <v>2</v>
      </c>
      <c r="J45" s="411" t="str">
        <f>VLOOKUP(B45,MASTER!$B$8:$V$1435,9,FALSE)</f>
        <v>L</v>
      </c>
      <c r="K45" s="413">
        <f>VLOOKUP(B45,MASTER!$B$8:$V$1435,11,FALSE)</f>
        <v>27799</v>
      </c>
      <c r="L45" s="422" t="str">
        <f t="shared" ca="1" si="15"/>
        <v>42.2</v>
      </c>
      <c r="M45" s="789" t="s">
        <v>743</v>
      </c>
      <c r="N45" s="413">
        <f>VLOOKUP(B45,MASTER!$B$8:$V$1435,14,FALSE)</f>
        <v>35807</v>
      </c>
      <c r="O45" s="422" t="str">
        <f t="shared" ca="1" si="16"/>
        <v>20.3</v>
      </c>
      <c r="P45" s="413">
        <f>VLOOKUP(B45,MASTER!$B$8:$V$1435,16,FALSE)</f>
        <v>48253</v>
      </c>
      <c r="Q45" s="414" t="str">
        <f>VLOOKUP(B45,MASTER!$B$8:$V$1435,17,FALSE)</f>
        <v>H</v>
      </c>
      <c r="R45" s="411" t="str">
        <f>VLOOKUP(B45,MASTER!$B$8:$V$1435,18,FALSE)</f>
        <v>SMA</v>
      </c>
      <c r="S45" s="411" t="str">
        <f>VLOOKUP(B45,MASTER!$B$8:$V$1435,19,FALSE)</f>
        <v>S1</v>
      </c>
      <c r="T45" s="418" t="str">
        <f>VLOOKUP(B45,MASTER!$B$8:$V$1435,20,FALSE)</f>
        <v xml:space="preserve">O </v>
      </c>
      <c r="U45" s="415" t="str">
        <f>VLOOKUP($B45,ALAMAT!$A$1:E286,4)</f>
        <v>Perum Griya Payung Asri Kav.37 RT.001 RW.016 Pudak Payung Banyumanik Semarang</v>
      </c>
      <c r="X45" s="407">
        <f t="shared" ca="1" si="12"/>
        <v>42</v>
      </c>
      <c r="Y45" s="407">
        <f t="shared" ca="1" si="4"/>
        <v>20</v>
      </c>
    </row>
    <row r="46" spans="1:25" s="743" customFormat="1" ht="12.95" customHeight="1">
      <c r="A46" s="408">
        <v>41</v>
      </c>
      <c r="B46" s="822">
        <v>9024</v>
      </c>
      <c r="C46" s="412" t="str">
        <f>VLOOKUP(B46,MASTER!$B$8:$C$137,2,FALSE)</f>
        <v>BUDI IDRIAL</v>
      </c>
      <c r="D46" s="734" t="s">
        <v>2337</v>
      </c>
      <c r="E46" s="735" t="s">
        <v>2491</v>
      </c>
      <c r="F46" s="736" t="s">
        <v>18</v>
      </c>
      <c r="G46" s="411" t="str">
        <f>VLOOKUP(B46,MASTER!$B$8:$H$1435,6,FALSE)</f>
        <v>K</v>
      </c>
      <c r="H46" s="411">
        <f>VLOOKUP(B46,MASTER!$B$8:$H$1435,7,FALSE)</f>
        <v>2</v>
      </c>
      <c r="I46" s="411">
        <f>VLOOKUP(B46,MASTER!$B$8:$V$1435,8,FALSE)</f>
        <v>2</v>
      </c>
      <c r="J46" s="411" t="str">
        <f>VLOOKUP(B46,MASTER!$B$8:$V$1435,9,FALSE)</f>
        <v>L</v>
      </c>
      <c r="K46" s="413">
        <f>VLOOKUP(B46,MASTER!$B$8:$V$1435,11,FALSE)</f>
        <v>27595</v>
      </c>
      <c r="L46" s="422" t="str">
        <f t="shared" ref="L46:L50" ca="1" si="17">DATEDIF(K46,TODAY(),"Y") &amp; "." &amp;DATEDIF(K46,TODAY(),"YM")</f>
        <v>42.9</v>
      </c>
      <c r="M46" s="789" t="s">
        <v>743</v>
      </c>
      <c r="N46" s="413">
        <f>VLOOKUP(B46,MASTER!$B$8:$V$1435,14,FALSE)</f>
        <v>35325</v>
      </c>
      <c r="O46" s="422" t="str">
        <f t="shared" ref="O46:O50" ca="1" si="18">DATEDIF(N46,TODAY(),"Y") &amp; "." &amp;DATEDIF(N46,TODAY(),"YM")</f>
        <v>21.7</v>
      </c>
      <c r="P46" s="413">
        <f>VLOOKUP(B46,MASTER!$B$8:$V$1435,16,FALSE)</f>
        <v>48049</v>
      </c>
      <c r="Q46" s="414" t="str">
        <f>VLOOKUP(B46,MASTER!$B$8:$V$1435,17,FALSE)</f>
        <v>I</v>
      </c>
      <c r="R46" s="411" t="str">
        <f>VLOOKUP(B46,MASTER!$B$8:$V$1435,18,FALSE)</f>
        <v>S1</v>
      </c>
      <c r="S46" s="411" t="str">
        <f>VLOOKUP(B46,MASTER!$B$8:$V$1435,19,FALSE)</f>
        <v>S1</v>
      </c>
      <c r="T46" s="418" t="str">
        <f>VLOOKUP(B46,MASTER!$B$8:$V$1435,20,FALSE)</f>
        <v>O</v>
      </c>
      <c r="U46" s="415" t="str">
        <f>VLOOKUP($B46,ALAMAT!$A$1:E289,4)</f>
        <v>KP. Baru RT 006 / 005 Sukabumi  Selatan Kebon Jeruk Jakarta Barat</v>
      </c>
      <c r="V46" s="407"/>
      <c r="W46" s="407"/>
      <c r="X46" s="407">
        <f t="shared" ca="1" si="12"/>
        <v>42</v>
      </c>
      <c r="Y46" s="407">
        <f t="shared" ca="1" si="4"/>
        <v>21</v>
      </c>
    </row>
    <row r="47" spans="1:25" s="743" customFormat="1" ht="12.95" customHeight="1">
      <c r="A47" s="421">
        <v>42</v>
      </c>
      <c r="B47" s="817">
        <v>8205</v>
      </c>
      <c r="C47" s="412" t="str">
        <f>VLOOKUP(B47,MASTER!$B$8:$C$137,2,FALSE)</f>
        <v>SURYO SUBONO</v>
      </c>
      <c r="D47" s="409" t="s">
        <v>2336</v>
      </c>
      <c r="E47" s="735" t="s">
        <v>662</v>
      </c>
      <c r="F47" s="736" t="s">
        <v>18</v>
      </c>
      <c r="G47" s="411" t="str">
        <f>VLOOKUP(B47,MASTER!$B$8:$H$1435,6,FALSE)</f>
        <v>K</v>
      </c>
      <c r="H47" s="411">
        <f>VLOOKUP(B47,MASTER!$B$8:$H$1435,7,FALSE)</f>
        <v>3</v>
      </c>
      <c r="I47" s="411">
        <f>VLOOKUP(B47,MASTER!$B$8:$V$1435,8,FALSE)</f>
        <v>3</v>
      </c>
      <c r="J47" s="411" t="str">
        <f>VLOOKUP(B47,MASTER!$B$8:$V$1435,9,FALSE)</f>
        <v>L</v>
      </c>
      <c r="K47" s="413">
        <f>VLOOKUP(B47,MASTER!$B$8:$V$1435,11,FALSE)</f>
        <v>26087</v>
      </c>
      <c r="L47" s="422" t="str">
        <f t="shared" ca="1" si="17"/>
        <v>46.10</v>
      </c>
      <c r="M47" s="789" t="s">
        <v>747</v>
      </c>
      <c r="N47" s="413">
        <f>VLOOKUP(B47,MASTER!$B$8:$V$1435,14,FALSE)</f>
        <v>34957</v>
      </c>
      <c r="O47" s="422" t="str">
        <f t="shared" ca="1" si="18"/>
        <v>22.7</v>
      </c>
      <c r="P47" s="413">
        <f>VLOOKUP(B47,MASTER!$B$8:$V$1435,16,FALSE)</f>
        <v>46541</v>
      </c>
      <c r="Q47" s="414" t="str">
        <f>VLOOKUP(B47,MASTER!$B$8:$V$1435,17,FALSE)</f>
        <v>I</v>
      </c>
      <c r="R47" s="411" t="str">
        <f>VLOOKUP(B47,MASTER!$B$8:$V$1435,18,FALSE)</f>
        <v>SMA</v>
      </c>
      <c r="S47" s="411" t="str">
        <f>VLOOKUP(B47,MASTER!$B$8:$V$1435,19,FALSE)</f>
        <v>S1</v>
      </c>
      <c r="T47" s="418" t="str">
        <f>VLOOKUP(B47,MASTER!$B$8:$V$1435,20,FALSE)</f>
        <v xml:space="preserve">A </v>
      </c>
      <c r="U47" s="415" t="str">
        <f>VLOOKUP($B47,ALAMAT!$A$1:E290,4)</f>
        <v>Perum.Dinar Mas Utara I/68 RT.001 RW.019 Meteseh Tembalang Semarang</v>
      </c>
      <c r="V47" s="407"/>
      <c r="W47" s="407"/>
      <c r="X47" s="407">
        <f t="shared" ca="1" si="12"/>
        <v>46</v>
      </c>
      <c r="Y47" s="407">
        <f t="shared" ca="1" si="4"/>
        <v>22</v>
      </c>
    </row>
    <row r="48" spans="1:25" s="407" customFormat="1" ht="12.95" customHeight="1">
      <c r="A48" s="408">
        <v>43</v>
      </c>
      <c r="B48" s="821">
        <v>4658</v>
      </c>
      <c r="C48" s="412" t="str">
        <f>VLOOKUP(B48,MASTER!$B$8:$C$137,2,FALSE)</f>
        <v>BAMBANG SUTIYONO</v>
      </c>
      <c r="D48" s="409" t="s">
        <v>2336</v>
      </c>
      <c r="E48" s="410" t="s">
        <v>653</v>
      </c>
      <c r="F48" s="736" t="s">
        <v>18</v>
      </c>
      <c r="G48" s="411" t="str">
        <f>VLOOKUP(B48,MASTER!$B$8:$H$1435,6,FALSE)</f>
        <v>K</v>
      </c>
      <c r="H48" s="411">
        <f>VLOOKUP(B48,MASTER!$B$8:$H$1435,7,FALSE)</f>
        <v>2</v>
      </c>
      <c r="I48" s="411">
        <f>VLOOKUP(B48,MASTER!$B$8:$V$1435,8,FALSE)</f>
        <v>2</v>
      </c>
      <c r="J48" s="411" t="str">
        <f>VLOOKUP(B48,MASTER!$B$8:$V$1435,9,FALSE)</f>
        <v>L</v>
      </c>
      <c r="K48" s="413">
        <f>VLOOKUP(B48,MASTER!$B$8:$V$1435,11,FALSE)</f>
        <v>23075</v>
      </c>
      <c r="L48" s="422" t="str">
        <f t="shared" ca="1" si="17"/>
        <v>55.1</v>
      </c>
      <c r="M48" s="789" t="s">
        <v>755</v>
      </c>
      <c r="N48" s="413">
        <f>VLOOKUP(B48,MASTER!$B$8:$V$1435,14,FALSE)</f>
        <v>32025</v>
      </c>
      <c r="O48" s="422" t="str">
        <f t="shared" ca="1" si="18"/>
        <v>30.7</v>
      </c>
      <c r="P48" s="413">
        <f>VLOOKUP(B48,MASTER!$B$8:$V$1435,16,FALSE)</f>
        <v>43529</v>
      </c>
      <c r="Q48" s="414" t="str">
        <f>VLOOKUP(B48,MASTER!$B$8:$V$1435,17,FALSE)</f>
        <v>I</v>
      </c>
      <c r="R48" s="411" t="str">
        <f>VLOOKUP(B48,MASTER!$B$8:$V$1435,18,FALSE)</f>
        <v>STM</v>
      </c>
      <c r="S48" s="411" t="str">
        <f>VLOOKUP(B48,MASTER!$B$8:$V$1435,19,FALSE)</f>
        <v>S1</v>
      </c>
      <c r="T48" s="418" t="str">
        <f>VLOOKUP(B48,MASTER!$B$8:$V$1435,20,FALSE)</f>
        <v>B</v>
      </c>
      <c r="U48" s="415" t="str">
        <f>VLOOKUP($B48,ALAMAT!$A$1:E291,4)</f>
        <v>Jl.Panasan VI/15 RT.003 RW.013 Beji Ungaran Kab.Semarang</v>
      </c>
      <c r="X48" s="407">
        <f t="shared" ca="1" si="12"/>
        <v>55</v>
      </c>
      <c r="Y48" s="407">
        <f t="shared" ca="1" si="4"/>
        <v>30</v>
      </c>
    </row>
    <row r="49" spans="1:25" s="407" customFormat="1" ht="12.95" customHeight="1">
      <c r="A49" s="421">
        <v>44</v>
      </c>
      <c r="B49" s="823">
        <v>5159</v>
      </c>
      <c r="C49" s="412" t="str">
        <f>VLOOKUP(B49,MASTER!$B$8:$C$137,2,FALSE)</f>
        <v>NINIK SURYAWATI</v>
      </c>
      <c r="D49" s="409" t="s">
        <v>2336</v>
      </c>
      <c r="E49" s="410" t="s">
        <v>652</v>
      </c>
      <c r="F49" s="736" t="s">
        <v>18</v>
      </c>
      <c r="G49" s="411" t="str">
        <f>VLOOKUP(B49,MASTER!$B$8:$H$1435,6,FALSE)</f>
        <v>J</v>
      </c>
      <c r="H49" s="411">
        <f>VLOOKUP(B49,MASTER!$B$8:$H$1435,7,FALSE)</f>
        <v>2</v>
      </c>
      <c r="I49" s="411">
        <f>VLOOKUP(B49,MASTER!$B$8:$V$1435,8,FALSE)</f>
        <v>2</v>
      </c>
      <c r="J49" s="411" t="str">
        <f>VLOOKUP(B49,MASTER!$B$8:$V$1435,9,FALSE)</f>
        <v>P</v>
      </c>
      <c r="K49" s="413">
        <f>VLOOKUP(B49,MASTER!$B$8:$V$1435,11,FALSE)</f>
        <v>24675</v>
      </c>
      <c r="L49" s="422" t="str">
        <f t="shared" ca="1" si="17"/>
        <v>50.9</v>
      </c>
      <c r="M49" s="789" t="s">
        <v>751</v>
      </c>
      <c r="N49" s="413">
        <f>VLOOKUP(B49,MASTER!$B$8:$V$1435,14,FALSE)</f>
        <v>32387</v>
      </c>
      <c r="O49" s="422" t="str">
        <f t="shared" ca="1" si="18"/>
        <v>29.7</v>
      </c>
      <c r="P49" s="413">
        <f>VLOOKUP(B49,MASTER!$B$8:$V$1435,16,FALSE)</f>
        <v>45129</v>
      </c>
      <c r="Q49" s="414" t="str">
        <f>VLOOKUP(B49,MASTER!$B$8:$V$1435,17,FALSE)</f>
        <v>I</v>
      </c>
      <c r="R49" s="411" t="str">
        <f>VLOOKUP(B49,MASTER!$B$8:$V$1435,18,FALSE)</f>
        <v>SMEA</v>
      </c>
      <c r="S49" s="411" t="str">
        <f>VLOOKUP(B49,MASTER!$B$8:$V$1435,19,FALSE)</f>
        <v>SLTA</v>
      </c>
      <c r="T49" s="418" t="str">
        <f>VLOOKUP(B49,MASTER!$B$8:$V$1435,20,FALSE)</f>
        <v>B</v>
      </c>
      <c r="U49" s="415" t="str">
        <f>VLOOKUP($B49,ALAMAT!$A$1:E292,4)</f>
        <v>Jl Megaraya No 220 Rt03 Rw07 Bringin Ngalian Semarang</v>
      </c>
      <c r="X49" s="407">
        <f t="shared" ca="1" si="12"/>
        <v>50</v>
      </c>
      <c r="Y49" s="407">
        <f t="shared" ca="1" si="4"/>
        <v>29</v>
      </c>
    </row>
    <row r="50" spans="1:25" s="407" customFormat="1" ht="12.95" customHeight="1">
      <c r="A50" s="408">
        <v>45</v>
      </c>
      <c r="B50" s="823">
        <v>7489</v>
      </c>
      <c r="C50" s="412" t="str">
        <f>VLOOKUP(B50,MASTER!$B$8:$C$137,2,FALSE)</f>
        <v>ABDOEL MOEIS BOEDIJONO</v>
      </c>
      <c r="D50" s="409">
        <v>5</v>
      </c>
      <c r="E50" s="410" t="s">
        <v>638</v>
      </c>
      <c r="F50" s="736" t="s">
        <v>18</v>
      </c>
      <c r="G50" s="411" t="str">
        <f>VLOOKUP(B50,MASTER!$B$8:$H$1435,6,FALSE)</f>
        <v>K</v>
      </c>
      <c r="H50" s="411">
        <f>VLOOKUP(B50,MASTER!$B$8:$H$1435,7,FALSE)</f>
        <v>2</v>
      </c>
      <c r="I50" s="411">
        <f>VLOOKUP(B50,MASTER!$B$8:$V$1435,8,FALSE)</f>
        <v>2</v>
      </c>
      <c r="J50" s="411" t="str">
        <f>VLOOKUP(B50,MASTER!$B$8:$V$1435,9,FALSE)</f>
        <v>L</v>
      </c>
      <c r="K50" s="413">
        <f>VLOOKUP(B50,MASTER!$B$8:$V$1435,11,FALSE)</f>
        <v>25203</v>
      </c>
      <c r="L50" s="422" t="str">
        <f t="shared" ca="1" si="17"/>
        <v>49.3</v>
      </c>
      <c r="M50" s="789" t="s">
        <v>749</v>
      </c>
      <c r="N50" s="413">
        <f>VLOOKUP(B50,MASTER!$B$8:$V$1435,14,FALSE)</f>
        <v>34608</v>
      </c>
      <c r="O50" s="422" t="str">
        <f t="shared" ca="1" si="18"/>
        <v>23.6</v>
      </c>
      <c r="P50" s="413">
        <f>VLOOKUP(B50,MASTER!$B$8:$V$1435,16,FALSE)</f>
        <v>45657</v>
      </c>
      <c r="Q50" s="414" t="str">
        <f>VLOOKUP(B50,MASTER!$B$8:$V$1435,17,FALSE)</f>
        <v>I</v>
      </c>
      <c r="R50" s="411" t="str">
        <f>VLOOKUP(B50,MASTER!$B$8:$V$1435,18,FALSE)</f>
        <v>STM</v>
      </c>
      <c r="S50" s="411" t="str">
        <f>VLOOKUP(B50,MASTER!$B$8:$V$1435,19,FALSE)</f>
        <v>S1</v>
      </c>
      <c r="T50" s="418" t="str">
        <f>VLOOKUP(B50,MASTER!$B$8:$V$1435,20,FALSE)</f>
        <v>O</v>
      </c>
      <c r="U50" s="415" t="str">
        <f>VLOOKUP($B50,ALAMAT!$A$1:E293,4)</f>
        <v>Jl.Parikesit Raya RT.010 RW.002 Banyumanik Semarang</v>
      </c>
      <c r="X50" s="407">
        <f t="shared" ca="1" si="12"/>
        <v>49</v>
      </c>
      <c r="Y50" s="407">
        <f t="shared" ca="1" si="4"/>
        <v>23</v>
      </c>
    </row>
    <row r="51" spans="1:25" s="611" customFormat="1" ht="12.95" customHeight="1">
      <c r="A51" s="421">
        <v>46</v>
      </c>
      <c r="B51" s="817">
        <v>10453</v>
      </c>
      <c r="C51" s="412" t="str">
        <f>VLOOKUP(B51,MASTER!$B$8:$C$137,2,FALSE)</f>
        <v>ALVIN ANDITUAHTA SINGARIMBUN</v>
      </c>
      <c r="D51" s="409" t="s">
        <v>2335</v>
      </c>
      <c r="E51" s="410" t="s">
        <v>664</v>
      </c>
      <c r="F51" s="736" t="s">
        <v>18</v>
      </c>
      <c r="G51" s="411" t="str">
        <f>VLOOKUP(B51,MASTER!$B$8:$H$1435,6,FALSE)</f>
        <v>K</v>
      </c>
      <c r="H51" s="411">
        <f>VLOOKUP(B51,MASTER!$B$8:$H$1435,7,FALSE)</f>
        <v>0</v>
      </c>
      <c r="I51" s="411">
        <f>VLOOKUP(B51,MASTER!$B$8:$V$1435,8,FALSE)</f>
        <v>0</v>
      </c>
      <c r="J51" s="411" t="str">
        <f>VLOOKUP(B51,MASTER!$B$8:$V$1435,9,FALSE)</f>
        <v>L</v>
      </c>
      <c r="K51" s="413">
        <f>VLOOKUP(B51,MASTER!$B$8:$V$1435,11,FALSE)</f>
        <v>32383</v>
      </c>
      <c r="L51" s="422" t="str">
        <f t="shared" ref="L51:L52" ca="1" si="19">DATEDIF(K51,TODAY(),"Y") &amp; "." &amp;DATEDIF(K51,TODAY(),"YM")</f>
        <v>29.8</v>
      </c>
      <c r="M51" s="789" t="s">
        <v>730</v>
      </c>
      <c r="N51" s="413">
        <f>VLOOKUP(B51,MASTER!$B$8:$V$1435,14,FALSE)</f>
        <v>41092</v>
      </c>
      <c r="O51" s="422" t="str">
        <f t="shared" ref="O51:O56" ca="1" si="20">DATEDIF(N51,TODAY(),"Y") &amp; "." &amp;DATEDIF(N51,TODAY(),"YM")</f>
        <v>5.9</v>
      </c>
      <c r="P51" s="413">
        <f>VLOOKUP(B51,MASTER!$B$8:$V$1435,16,FALSE)</f>
        <v>52837</v>
      </c>
      <c r="Q51" s="414" t="str">
        <f>VLOOKUP(B51,MASTER!$B$8:$V$1435,17,FALSE)</f>
        <v>P</v>
      </c>
      <c r="R51" s="411" t="str">
        <f>VLOOKUP(B51,MASTER!$B$8:$V$1435,18,FALSE)</f>
        <v>S1</v>
      </c>
      <c r="S51" s="411" t="str">
        <f>VLOOKUP(B51,MASTER!$B$8:$V$1435,19,FALSE)</f>
        <v>S1</v>
      </c>
      <c r="T51" s="418" t="str">
        <f>VLOOKUP(B51,MASTER!$B$8:$V$1435,20,FALSE)</f>
        <v>-</v>
      </c>
      <c r="U51" s="415" t="str">
        <f>VLOOKUP($B51,ALAMAT!$A$1:E297,4)</f>
        <v>Jl. HM. Rafi'i No.8, RT. 023 RW. 005 Madurejo, Kotawaringin Barat, KALIMANTAN TENGAH</v>
      </c>
      <c r="V51" s="407"/>
      <c r="W51" s="407"/>
      <c r="X51" s="407">
        <f t="shared" ca="1" si="12"/>
        <v>29</v>
      </c>
      <c r="Y51" s="407">
        <f t="shared" ca="1" si="4"/>
        <v>5</v>
      </c>
    </row>
    <row r="52" spans="1:25" s="407" customFormat="1" ht="12.95" customHeight="1">
      <c r="A52" s="408">
        <v>47</v>
      </c>
      <c r="B52" s="821">
        <v>4413</v>
      </c>
      <c r="C52" s="412" t="str">
        <f>VLOOKUP(B52,MASTER!$B$8:$C$137,2,FALSE)</f>
        <v>ERMAWATI</v>
      </c>
      <c r="D52" s="409" t="s">
        <v>2336</v>
      </c>
      <c r="E52" s="410" t="s">
        <v>666</v>
      </c>
      <c r="F52" s="736" t="s">
        <v>18</v>
      </c>
      <c r="G52" s="411" t="str">
        <f>VLOOKUP(B52,MASTER!$B$8:$H$1435,6,FALSE)</f>
        <v>K</v>
      </c>
      <c r="H52" s="411">
        <f>VLOOKUP(B52,MASTER!$B$8:$H$1435,7,FALSE)</f>
        <v>2</v>
      </c>
      <c r="I52" s="411">
        <f>VLOOKUP(B52,MASTER!$B$8:$V$1435,8,FALSE)</f>
        <v>2</v>
      </c>
      <c r="J52" s="411" t="str">
        <f>VLOOKUP(B52,MASTER!$B$8:$V$1435,9,FALSE)</f>
        <v>P</v>
      </c>
      <c r="K52" s="413">
        <f>VLOOKUP(B52,MASTER!$B$8:$V$1435,11,FALSE)</f>
        <v>24442</v>
      </c>
      <c r="L52" s="422" t="str">
        <f t="shared" ca="1" si="19"/>
        <v>51.4</v>
      </c>
      <c r="M52" s="789" t="s">
        <v>751</v>
      </c>
      <c r="N52" s="413">
        <f>VLOOKUP(B52,MASTER!$B$8:$V$1435,14,FALSE)</f>
        <v>31876</v>
      </c>
      <c r="O52" s="422" t="str">
        <f t="shared" ca="1" si="20"/>
        <v>31.0</v>
      </c>
      <c r="P52" s="413">
        <f>VLOOKUP(B52,MASTER!$B$8:$V$1435,16,FALSE)</f>
        <v>44896</v>
      </c>
      <c r="Q52" s="414" t="str">
        <f>VLOOKUP(B52,MASTER!$B$8:$V$1435,17,FALSE)</f>
        <v>I</v>
      </c>
      <c r="R52" s="411" t="str">
        <f>VLOOKUP(B52,MASTER!$B$8:$V$1435,18,FALSE)</f>
        <v>SMA</v>
      </c>
      <c r="S52" s="411" t="str">
        <f>VLOOKUP(B52,MASTER!$B$8:$V$1435,19,FALSE)</f>
        <v>S1</v>
      </c>
      <c r="T52" s="418" t="str">
        <f>VLOOKUP(B52,MASTER!$B$8:$V$1435,20,FALSE)</f>
        <v>AB</v>
      </c>
      <c r="U52" s="415" t="str">
        <f>VLOOKUP($B52,ALAMAT!$A$1:E298,4)</f>
        <v>Jl. Rasamala Barat I No. 168 RT.001 RW.004, Srondol Wetan, Banyumanik, Semarang</v>
      </c>
      <c r="X52" s="407">
        <f t="shared" ca="1" si="12"/>
        <v>51</v>
      </c>
      <c r="Y52" s="407">
        <f t="shared" ca="1" si="4"/>
        <v>31</v>
      </c>
    </row>
    <row r="53" spans="1:25" s="407" customFormat="1" ht="12.95" customHeight="1">
      <c r="A53" s="421">
        <v>48</v>
      </c>
      <c r="B53" s="821">
        <v>4572</v>
      </c>
      <c r="C53" s="412" t="str">
        <f>VLOOKUP(B53,MASTER!$B$8:$C$137,2,FALSE)</f>
        <v>MARGONO</v>
      </c>
      <c r="D53" s="409" t="s">
        <v>2336</v>
      </c>
      <c r="E53" s="410" t="s">
        <v>704</v>
      </c>
      <c r="F53" s="736" t="s">
        <v>18</v>
      </c>
      <c r="G53" s="411" t="str">
        <f>VLOOKUP(B53,MASTER!$B$8:$H$1435,6,FALSE)</f>
        <v>D</v>
      </c>
      <c r="H53" s="411">
        <f>VLOOKUP(B53,MASTER!$B$8:$H$1435,7,FALSE)</f>
        <v>3</v>
      </c>
      <c r="I53" s="411">
        <f>VLOOKUP(B53,MASTER!$B$8:$V$1435,8,FALSE)</f>
        <v>1</v>
      </c>
      <c r="J53" s="411" t="str">
        <f>VLOOKUP(B53,MASTER!$B$8:$V$1435,9,FALSE)</f>
        <v>L</v>
      </c>
      <c r="K53" s="413">
        <f>VLOOKUP(B53,MASTER!$B$8:$V$1435,11,FALSE)</f>
        <v>24451</v>
      </c>
      <c r="L53" s="422" t="str">
        <f ca="1">DATEDIF(K53,TODAY(),"Y") &amp; "." &amp;DATEDIF(K53,TODAY(),"YM")</f>
        <v>51.4</v>
      </c>
      <c r="M53" s="789" t="s">
        <v>751</v>
      </c>
      <c r="N53" s="413">
        <f>VLOOKUP(B53,MASTER!$B$8:$V$1435,14,FALSE)</f>
        <v>31992</v>
      </c>
      <c r="O53" s="422" t="str">
        <f t="shared" ca="1" si="20"/>
        <v>30.8</v>
      </c>
      <c r="P53" s="413">
        <f>VLOOKUP(B53,MASTER!$B$8:$V$1435,16,FALSE)</f>
        <v>44905</v>
      </c>
      <c r="Q53" s="414" t="str">
        <f>VLOOKUP(B53,MASTER!$B$8:$V$1435,17,FALSE)</f>
        <v>I</v>
      </c>
      <c r="R53" s="411" t="str">
        <f>VLOOKUP(B53,MASTER!$B$8:$V$1435,18,FALSE)</f>
        <v>SMA</v>
      </c>
      <c r="S53" s="411" t="str">
        <f>VLOOKUP(B53,MASTER!$B$8:$V$1435,19,FALSE)</f>
        <v>S1</v>
      </c>
      <c r="T53" s="418" t="str">
        <f>VLOOKUP(B53,MASTER!$B$8:$V$1435,20,FALSE)</f>
        <v>B</v>
      </c>
      <c r="U53" s="415" t="str">
        <f>VLOOKUP($B53,ALAMAT!$A$1:E299,4)</f>
        <v>Pedukuhan VIII RT.032 RW.016  Gotakan, Panjatan, Kulon Progo</v>
      </c>
      <c r="X53" s="407">
        <f t="shared" ca="1" si="12"/>
        <v>51</v>
      </c>
      <c r="Y53" s="407">
        <f t="shared" ca="1" si="4"/>
        <v>30</v>
      </c>
    </row>
    <row r="54" spans="1:25" s="407" customFormat="1" ht="12.95" customHeight="1">
      <c r="A54" s="408">
        <v>49</v>
      </c>
      <c r="B54" s="821">
        <v>9530</v>
      </c>
      <c r="C54" s="412" t="str">
        <f>VLOOKUP(B54,MASTER!$B$8:$C$137,2,FALSE)</f>
        <v>BUDI HERMAWAN</v>
      </c>
      <c r="D54" s="409" t="s">
        <v>2336</v>
      </c>
      <c r="E54" s="410" t="s">
        <v>2783</v>
      </c>
      <c r="F54" s="411" t="s">
        <v>18</v>
      </c>
      <c r="G54" s="411" t="str">
        <f>VLOOKUP(B54,MASTER!$B$8:$H$1435,6,FALSE)</f>
        <v>K</v>
      </c>
      <c r="H54" s="411">
        <f>VLOOKUP(B54,MASTER!$B$8:$H$1435,7,FALSE)</f>
        <v>3</v>
      </c>
      <c r="I54" s="411">
        <f>VLOOKUP(B54,MASTER!$B$8:$V$1435,8,FALSE)</f>
        <v>3</v>
      </c>
      <c r="J54" s="411" t="str">
        <f>VLOOKUP(B54,MASTER!$B$8:$V$1435,9,FALSE)</f>
        <v>L</v>
      </c>
      <c r="K54" s="413">
        <f>VLOOKUP(B54,MASTER!$B$8:$V$1435,11,FALSE)</f>
        <v>27432</v>
      </c>
      <c r="L54" s="422" t="str">
        <f ca="1">DATEDIF(K54,TODAY(),"Y") &amp; "." &amp;DATEDIF(K54,TODAY(),"YM")</f>
        <v>43.2</v>
      </c>
      <c r="M54" s="789" t="s">
        <v>743</v>
      </c>
      <c r="N54" s="413">
        <f>VLOOKUP(B54,MASTER!$B$8:$V$1435,14,FALSE)</f>
        <v>35807</v>
      </c>
      <c r="O54" s="422" t="str">
        <f t="shared" ca="1" si="20"/>
        <v>20.3</v>
      </c>
      <c r="P54" s="413">
        <f>VLOOKUP(B54,MASTER!$B$8:$V$1435,16,FALSE)</f>
        <v>47886</v>
      </c>
      <c r="Q54" s="414" t="str">
        <f>VLOOKUP(B54,MASTER!$B$8:$V$1435,17,FALSE)</f>
        <v>I</v>
      </c>
      <c r="R54" s="411" t="str">
        <f>VLOOKUP(B54,MASTER!$B$8:$V$1435,18,FALSE)</f>
        <v>SMA</v>
      </c>
      <c r="S54" s="411" t="str">
        <f>VLOOKUP(B54,MASTER!$B$8:$V$1435,19,FALSE)</f>
        <v>S1</v>
      </c>
      <c r="T54" s="418" t="str">
        <f>VLOOKUP(B54,MASTER!$B$8:$V$1435,20,FALSE)</f>
        <v>B</v>
      </c>
      <c r="U54" s="415" t="str">
        <f>VLOOKUP($B54,ALAMAT!$A$1:E300,4)</f>
        <v>Jl.Rorojonggrang Timur X RT.008 RW.010 Manyaran Semarang Barat</v>
      </c>
      <c r="X54" s="407">
        <f t="shared" ca="1" si="12"/>
        <v>43</v>
      </c>
      <c r="Y54" s="407">
        <f t="shared" ref="Y54:Y111" ca="1" si="21">DATEDIF(N54,TODAY(),"y")</f>
        <v>20</v>
      </c>
    </row>
    <row r="55" spans="1:25" s="407" customFormat="1" ht="12.95" customHeight="1">
      <c r="A55" s="421">
        <v>50</v>
      </c>
      <c r="B55" s="821">
        <v>7578</v>
      </c>
      <c r="C55" s="412" t="str">
        <f>VLOOKUP(B55,MASTER!$B$8:$C$137,2,FALSE)</f>
        <v>JUWADI</v>
      </c>
      <c r="D55" s="409">
        <v>5</v>
      </c>
      <c r="E55" s="410" t="s">
        <v>61</v>
      </c>
      <c r="F55" s="736" t="s">
        <v>18</v>
      </c>
      <c r="G55" s="411" t="str">
        <f>VLOOKUP(B55,MASTER!$B$8:$H$1435,6,FALSE)</f>
        <v>K</v>
      </c>
      <c r="H55" s="411">
        <f>VLOOKUP(B55,MASTER!$B$8:$H$1435,7,FALSE)</f>
        <v>2</v>
      </c>
      <c r="I55" s="411">
        <f>VLOOKUP(B55,MASTER!$B$8:$V$1435,8,FALSE)</f>
        <v>2</v>
      </c>
      <c r="J55" s="411" t="str">
        <f>VLOOKUP(B55,MASTER!$B$8:$V$1435,9,FALSE)</f>
        <v>L</v>
      </c>
      <c r="K55" s="413">
        <f>VLOOKUP(B55,MASTER!$B$8:$V$1435,11,FALSE)</f>
        <v>25758</v>
      </c>
      <c r="L55" s="422" t="str">
        <f t="shared" ref="L55:L56" ca="1" si="22">DATEDIF(K55,TODAY(),"Y") &amp; "." &amp;DATEDIF(K55,TODAY(),"YM")</f>
        <v>47.9</v>
      </c>
      <c r="M55" s="789" t="s">
        <v>748</v>
      </c>
      <c r="N55" s="413">
        <f>VLOOKUP(B55,MASTER!$B$8:$V$1435,14,FALSE)</f>
        <v>34610</v>
      </c>
      <c r="O55" s="422" t="str">
        <f t="shared" ca="1" si="20"/>
        <v>23.6</v>
      </c>
      <c r="P55" s="413">
        <f>VLOOKUP(B55,MASTER!$B$8:$V$1435,16,FALSE)</f>
        <v>46212</v>
      </c>
      <c r="Q55" s="414" t="str">
        <f>VLOOKUP(B55,MASTER!$B$8:$V$1435,17,FALSE)</f>
        <v>I</v>
      </c>
      <c r="R55" s="411" t="str">
        <f>VLOOKUP(B55,MASTER!$B$8:$V$1435,18,FALSE)</f>
        <v>STM</v>
      </c>
      <c r="S55" s="411" t="str">
        <f>VLOOKUP(B55,MASTER!$B$8:$V$1435,19,FALSE)</f>
        <v>SLTA</v>
      </c>
      <c r="T55" s="418" t="str">
        <f>VLOOKUP(B55,MASTER!$B$8:$V$1435,20,FALSE)</f>
        <v>B</v>
      </c>
      <c r="U55" s="415" t="str">
        <f>VLOOKUP($B55,ALAMAT!$A$1:E301,4)</f>
        <v xml:space="preserve">DK.Kecubung DS Gondang RT.006 RW.002 Gondang-Subah </v>
      </c>
      <c r="X55" s="407">
        <f t="shared" ca="1" si="12"/>
        <v>47</v>
      </c>
      <c r="Y55" s="407">
        <f t="shared" ca="1" si="21"/>
        <v>23</v>
      </c>
    </row>
    <row r="56" spans="1:25" s="407" customFormat="1" ht="12.95" customHeight="1">
      <c r="A56" s="408">
        <v>51</v>
      </c>
      <c r="B56" s="821">
        <v>9514</v>
      </c>
      <c r="C56" s="412" t="str">
        <f>VLOOKUP(B56,MASTER!$B$8:$C$137,2,FALSE)</f>
        <v>TITIK AMBARWATI</v>
      </c>
      <c r="D56" s="409">
        <v>5</v>
      </c>
      <c r="E56" s="410" t="s">
        <v>2594</v>
      </c>
      <c r="F56" s="736" t="s">
        <v>18</v>
      </c>
      <c r="G56" s="411" t="str">
        <f>VLOOKUP(B56,MASTER!$B$8:$H$1435,6,FALSE)</f>
        <v>K</v>
      </c>
      <c r="H56" s="411">
        <f>VLOOKUP(B56,MASTER!$B$8:$H$1435,7,FALSE)</f>
        <v>3</v>
      </c>
      <c r="I56" s="411">
        <f>VLOOKUP(B56,MASTER!$B$8:$V$1435,8,FALSE)</f>
        <v>3</v>
      </c>
      <c r="J56" s="411" t="str">
        <f>VLOOKUP(B56,MASTER!$B$8:$V$1435,9,FALSE)</f>
        <v>P</v>
      </c>
      <c r="K56" s="413">
        <f>VLOOKUP(B56,MASTER!$B$8:$V$1435,11,FALSE)</f>
        <v>28026</v>
      </c>
      <c r="L56" s="422" t="str">
        <f t="shared" ca="1" si="22"/>
        <v>41.7</v>
      </c>
      <c r="M56" s="789" t="s">
        <v>742</v>
      </c>
      <c r="N56" s="413">
        <f>VLOOKUP(B56,MASTER!$B$8:$V$1435,14,FALSE)</f>
        <v>35807</v>
      </c>
      <c r="O56" s="422" t="str">
        <f t="shared" ca="1" si="20"/>
        <v>20.3</v>
      </c>
      <c r="P56" s="413">
        <f>VLOOKUP(B56,MASTER!$B$8:$V$1435,16,FALSE)</f>
        <v>48480</v>
      </c>
      <c r="Q56" s="414" t="str">
        <f>VLOOKUP(B56,MASTER!$B$8:$V$1435,17,FALSE)</f>
        <v>I</v>
      </c>
      <c r="R56" s="411" t="str">
        <f>VLOOKUP(B56,MASTER!$B$8:$V$1435,18,FALSE)</f>
        <v>SMA</v>
      </c>
      <c r="S56" s="411" t="str">
        <f>VLOOKUP(B56,MASTER!$B$8:$V$1435,19,FALSE)</f>
        <v>S1</v>
      </c>
      <c r="T56" s="418" t="str">
        <f>VLOOKUP(B56,MASTER!$B$8:$V$1435,20,FALSE)</f>
        <v>-</v>
      </c>
      <c r="U56" s="415" t="str">
        <f>VLOOKUP($B56,ALAMAT!$A$1:E302,4)</f>
        <v>Jl Wonodri Krajan Rt 04./01 Wonodri semarang</v>
      </c>
      <c r="X56" s="407">
        <f t="shared" ca="1" si="12"/>
        <v>41</v>
      </c>
      <c r="Y56" s="407">
        <f t="shared" ca="1" si="21"/>
        <v>20</v>
      </c>
    </row>
    <row r="57" spans="1:25" s="407" customFormat="1" ht="12.95" customHeight="1">
      <c r="A57" s="421">
        <v>52</v>
      </c>
      <c r="B57" s="817">
        <v>7667</v>
      </c>
      <c r="C57" s="410" t="str">
        <f>VLOOKUP(B57,MASTER!$B$8:$C$137,2,FALSE)</f>
        <v>MANYUK IRWAN DANUS</v>
      </c>
      <c r="D57" s="409" t="s">
        <v>2335</v>
      </c>
      <c r="E57" s="410" t="s">
        <v>2400</v>
      </c>
      <c r="F57" s="736" t="s">
        <v>18</v>
      </c>
      <c r="G57" s="411" t="str">
        <f>VLOOKUP(B57,MASTER!$B$8:$H$1435,6,FALSE)</f>
        <v>K</v>
      </c>
      <c r="H57" s="411">
        <f>VLOOKUP(B57,MASTER!$B$8:$H$1435,7,FALSE)</f>
        <v>2</v>
      </c>
      <c r="I57" s="411">
        <f>VLOOKUP(B57,MASTER!$B$8:$V$1435,8,FALSE)</f>
        <v>2</v>
      </c>
      <c r="J57" s="411" t="str">
        <f>VLOOKUP(B57,MASTER!$B$8:$V$1435,9,FALSE)</f>
        <v>L</v>
      </c>
      <c r="K57" s="413">
        <f>VLOOKUP(B57,MASTER!$B$8:$V$1435,11,FALSE)</f>
        <v>25616</v>
      </c>
      <c r="L57" s="422" t="str">
        <f t="shared" ref="L57:L82" ca="1" si="23">DATEDIF(K57,TODAY(),"Y") &amp; "." &amp;DATEDIF(K57,TODAY(),"YM")</f>
        <v>48.2</v>
      </c>
      <c r="M57" s="789" t="s">
        <v>748</v>
      </c>
      <c r="N57" s="413">
        <f>VLOOKUP(B57,MASTER!$B$8:$V$1435,14,FALSE)</f>
        <v>34648</v>
      </c>
      <c r="O57" s="422" t="str">
        <f t="shared" ref="O57:O82" ca="1" si="24">DATEDIF(N57,TODAY(),"Y") &amp; "." &amp;DATEDIF(N57,TODAY(),"YM")</f>
        <v>23.5</v>
      </c>
      <c r="P57" s="413">
        <f>VLOOKUP(B57,MASTER!$B$8:$V$1435,16,FALSE)</f>
        <v>46070</v>
      </c>
      <c r="Q57" s="414" t="str">
        <f>VLOOKUP(B57,MASTER!$B$8:$V$1435,17,FALSE)</f>
        <v>I</v>
      </c>
      <c r="R57" s="411" t="str">
        <f>VLOOKUP(B57,MASTER!$B$8:$V$1435,18,FALSE)</f>
        <v>S1</v>
      </c>
      <c r="S57" s="411" t="str">
        <f>VLOOKUP(B57,MASTER!$B$8:$V$1435,19,FALSE)</f>
        <v>S1</v>
      </c>
      <c r="T57" s="418" t="str">
        <f>VLOOKUP(B57,MASTER!$B$8:$V$1435,20,FALSE)</f>
        <v>O</v>
      </c>
      <c r="U57" s="415" t="str">
        <f>VLOOKUP($B57,ALAMAT!$A$1:E305,4)</f>
        <v>Jl. Pang Hidayat 12 RT 7 RW 2 Bulu sidokare Sidoarjo - Jawa Timur</v>
      </c>
      <c r="X57" s="407">
        <f t="shared" ca="1" si="12"/>
        <v>48</v>
      </c>
      <c r="Y57" s="407">
        <f t="shared" ca="1" si="21"/>
        <v>23</v>
      </c>
    </row>
    <row r="58" spans="1:25" s="407" customFormat="1" ht="12.95" customHeight="1">
      <c r="A58" s="408">
        <v>53</v>
      </c>
      <c r="B58" s="821">
        <v>4652</v>
      </c>
      <c r="C58" s="410" t="str">
        <f>VLOOKUP(B58,MASTER!$B$8:$C$137,2,FALSE)</f>
        <v>EKO JUNAEDI MARYANTO</v>
      </c>
      <c r="D58" s="409" t="s">
        <v>2336</v>
      </c>
      <c r="E58" s="410" t="s">
        <v>675</v>
      </c>
      <c r="F58" s="736" t="s">
        <v>18</v>
      </c>
      <c r="G58" s="411" t="str">
        <f>VLOOKUP(B58,MASTER!$B$8:$H$1435,6,FALSE)</f>
        <v>K</v>
      </c>
      <c r="H58" s="411">
        <f>VLOOKUP(B58,MASTER!$B$8:$H$1435,7,FALSE)</f>
        <v>4</v>
      </c>
      <c r="I58" s="411">
        <f>VLOOKUP(B58,MASTER!$B$8:$V$1435,8,FALSE)</f>
        <v>3</v>
      </c>
      <c r="J58" s="411" t="str">
        <f>VLOOKUP(B58,MASTER!$B$8:$V$1435,9,FALSE)</f>
        <v>L</v>
      </c>
      <c r="K58" s="413">
        <f>VLOOKUP(B58,MASTER!$B$8:$V$1435,11,FALSE)</f>
        <v>23551</v>
      </c>
      <c r="L58" s="422" t="str">
        <f t="shared" ca="1" si="23"/>
        <v>53.10</v>
      </c>
      <c r="M58" s="789" t="s">
        <v>754</v>
      </c>
      <c r="N58" s="413">
        <f>VLOOKUP(B58,MASTER!$B$8:$V$1435,14,FALSE)</f>
        <v>32025</v>
      </c>
      <c r="O58" s="422" t="str">
        <f t="shared" ca="1" si="24"/>
        <v>30.7</v>
      </c>
      <c r="P58" s="413">
        <f>VLOOKUP(B58,MASTER!$B$8:$V$1435,16,FALSE)</f>
        <v>44005</v>
      </c>
      <c r="Q58" s="414" t="str">
        <f>VLOOKUP(B58,MASTER!$B$8:$V$1435,17,FALSE)</f>
        <v>I</v>
      </c>
      <c r="R58" s="411" t="str">
        <f>VLOOKUP(B58,MASTER!$B$8:$V$1435,18,FALSE)</f>
        <v>STM</v>
      </c>
      <c r="S58" s="411" t="str">
        <f>VLOOKUP(B58,MASTER!$B$8:$V$1435,19,FALSE)</f>
        <v>S1</v>
      </c>
      <c r="T58" s="418" t="str">
        <f>VLOOKUP(B58,MASTER!$B$8:$V$1435,20,FALSE)</f>
        <v>-</v>
      </c>
      <c r="U58" s="415" t="str">
        <f>VLOOKUP($B58,ALAMAT!$A$1:E307,4)</f>
        <v>Jl Candi Penataran I Rt 08. Rw 03 Kalipancur Ngalian Smg</v>
      </c>
      <c r="X58" s="407">
        <f t="shared" ca="1" si="12"/>
        <v>53</v>
      </c>
      <c r="Y58" s="407">
        <f t="shared" ca="1" si="21"/>
        <v>30</v>
      </c>
    </row>
    <row r="59" spans="1:25" s="407" customFormat="1" ht="12.95" customHeight="1">
      <c r="A59" s="421">
        <v>54</v>
      </c>
      <c r="B59" s="817">
        <v>8256</v>
      </c>
      <c r="C59" s="410" t="str">
        <f>VLOOKUP(B59,MASTER!$B$8:$C$137,2,FALSE)</f>
        <v>YOSEPH TUAHNA RASKITA</v>
      </c>
      <c r="D59" s="409" t="s">
        <v>2336</v>
      </c>
      <c r="E59" s="410" t="s">
        <v>669</v>
      </c>
      <c r="F59" s="736" t="s">
        <v>18</v>
      </c>
      <c r="G59" s="411" t="str">
        <f>VLOOKUP(B59,MASTER!$B$8:$H$1435,6,FALSE)</f>
        <v>K</v>
      </c>
      <c r="H59" s="411">
        <f>VLOOKUP(B59,MASTER!$B$8:$H$1435,7,FALSE)</f>
        <v>1</v>
      </c>
      <c r="I59" s="411">
        <f>VLOOKUP(B59,MASTER!$B$8:$V$1435,8,FALSE)</f>
        <v>1</v>
      </c>
      <c r="J59" s="411" t="str">
        <f>VLOOKUP(B59,MASTER!$B$8:$V$1435,9,FALSE)</f>
        <v>L</v>
      </c>
      <c r="K59" s="413">
        <f>VLOOKUP(B59,MASTER!$B$8:$V$1435,11,FALSE)</f>
        <v>26738</v>
      </c>
      <c r="L59" s="422" t="str">
        <f t="shared" ca="1" si="23"/>
        <v>45.1</v>
      </c>
      <c r="M59" s="789" t="s">
        <v>745</v>
      </c>
      <c r="N59" s="413">
        <f>VLOOKUP(B59,MASTER!$B$8:$V$1435,14,FALSE)</f>
        <v>35023</v>
      </c>
      <c r="O59" s="422" t="str">
        <f t="shared" ca="1" si="24"/>
        <v>22.5</v>
      </c>
      <c r="P59" s="413">
        <f>VLOOKUP(B59,MASTER!$B$8:$V$1435,16,FALSE)</f>
        <v>47192</v>
      </c>
      <c r="Q59" s="414" t="str">
        <f>VLOOKUP(B59,MASTER!$B$8:$V$1435,17,FALSE)</f>
        <v>P</v>
      </c>
      <c r="R59" s="411" t="str">
        <f>VLOOKUP(B59,MASTER!$B$8:$V$1435,18,FALSE)</f>
        <v>SMA</v>
      </c>
      <c r="S59" s="411" t="str">
        <f>VLOOKUP(B59,MASTER!$B$8:$V$1435,19,FALSE)</f>
        <v>D3</v>
      </c>
      <c r="T59" s="418" t="str">
        <f>VLOOKUP(B59,MASTER!$B$8:$V$1435,20,FALSE)</f>
        <v>B</v>
      </c>
      <c r="U59" s="415" t="str">
        <f>VLOOKUP($B59,ALAMAT!$A$1:E308,4)</f>
        <v xml:space="preserve">Jurangombo Utara Magelang </v>
      </c>
      <c r="X59" s="407">
        <f t="shared" ca="1" si="12"/>
        <v>45</v>
      </c>
      <c r="Y59" s="407">
        <f t="shared" ca="1" si="21"/>
        <v>22</v>
      </c>
    </row>
    <row r="60" spans="1:25" s="407" customFormat="1" ht="12.95" customHeight="1">
      <c r="A60" s="408">
        <v>55</v>
      </c>
      <c r="B60" s="821">
        <v>7688</v>
      </c>
      <c r="C60" s="410" t="str">
        <f>VLOOKUP(B60,MASTER!$B$8:$C$137,2,FALSE)</f>
        <v>YOSEP RUSWITO</v>
      </c>
      <c r="D60" s="409" t="s">
        <v>2336</v>
      </c>
      <c r="E60" s="410" t="s">
        <v>668</v>
      </c>
      <c r="F60" s="736" t="s">
        <v>18</v>
      </c>
      <c r="G60" s="411" t="str">
        <f>VLOOKUP(B60,MASTER!$B$8:$H$1435,6,FALSE)</f>
        <v>K</v>
      </c>
      <c r="H60" s="411">
        <f>VLOOKUP(B60,MASTER!$B$8:$H$1435,7,FALSE)</f>
        <v>2</v>
      </c>
      <c r="I60" s="411">
        <f>VLOOKUP(B60,MASTER!$B$8:$V$1435,8,FALSE)</f>
        <v>2</v>
      </c>
      <c r="J60" s="411" t="str">
        <f>VLOOKUP(B60,MASTER!$B$8:$V$1435,9,FALSE)</f>
        <v>L</v>
      </c>
      <c r="K60" s="413">
        <f>VLOOKUP(B60,MASTER!$B$8:$V$1435,11,FALSE)</f>
        <v>27115</v>
      </c>
      <c r="L60" s="422" t="str">
        <f t="shared" ca="1" si="23"/>
        <v>44.1</v>
      </c>
      <c r="M60" s="789" t="s">
        <v>744</v>
      </c>
      <c r="N60" s="413">
        <f>VLOOKUP(B60,MASTER!$B$8:$V$1435,14,FALSE)</f>
        <v>34648</v>
      </c>
      <c r="O60" s="422" t="str">
        <f t="shared" ca="1" si="24"/>
        <v>23.5</v>
      </c>
      <c r="P60" s="413">
        <f>VLOOKUP(B60,MASTER!$B$8:$V$1435,16,FALSE)</f>
        <v>47569</v>
      </c>
      <c r="Q60" s="414" t="str">
        <f>VLOOKUP(B60,MASTER!$B$8:$V$1435,17,FALSE)</f>
        <v>K</v>
      </c>
      <c r="R60" s="411" t="str">
        <f>VLOOKUP(B60,MASTER!$B$8:$V$1435,18,FALSE)</f>
        <v>STM</v>
      </c>
      <c r="S60" s="411" t="str">
        <f>VLOOKUP(B60,MASTER!$B$8:$V$1435,19,FALSE)</f>
        <v>S1</v>
      </c>
      <c r="T60" s="418" t="str">
        <f>VLOOKUP(B60,MASTER!$B$8:$V$1435,20,FALSE)</f>
        <v>B</v>
      </c>
      <c r="U60" s="415" t="str">
        <f>VLOOKUP($B60,ALAMAT!$A$1:E309,4)</f>
        <v>Jl.Sinar Mas IV/972C RT.012  RW.001 Kedungmundu Tembalang</v>
      </c>
      <c r="X60" s="407">
        <f t="shared" ca="1" si="12"/>
        <v>44</v>
      </c>
      <c r="Y60" s="407">
        <f t="shared" ca="1" si="21"/>
        <v>23</v>
      </c>
    </row>
    <row r="61" spans="1:25" s="407" customFormat="1" ht="12.95" customHeight="1">
      <c r="A61" s="421">
        <v>56</v>
      </c>
      <c r="B61" s="821">
        <v>8973</v>
      </c>
      <c r="C61" s="410" t="str">
        <f>VLOOKUP(B61,MASTER!$B$8:$C$137,2,FALSE)</f>
        <v>HERI KARTONO</v>
      </c>
      <c r="D61" s="409">
        <v>5</v>
      </c>
      <c r="E61" s="410" t="s">
        <v>638</v>
      </c>
      <c r="F61" s="736" t="s">
        <v>18</v>
      </c>
      <c r="G61" s="411" t="str">
        <f>VLOOKUP(B61,MASTER!$B$8:$H$1435,6,FALSE)</f>
        <v>K</v>
      </c>
      <c r="H61" s="411">
        <f>VLOOKUP(B61,MASTER!$B$8:$H$1435,7,FALSE)</f>
        <v>1</v>
      </c>
      <c r="I61" s="411">
        <f>VLOOKUP(B61,MASTER!$B$8:$V$1435,8,FALSE)</f>
        <v>1</v>
      </c>
      <c r="J61" s="411" t="str">
        <f>VLOOKUP(B61,MASTER!$B$8:$V$1435,9,FALSE)</f>
        <v>L</v>
      </c>
      <c r="K61" s="413">
        <f>VLOOKUP(B61,MASTER!$B$8:$V$1435,11,FALSE)</f>
        <v>26410</v>
      </c>
      <c r="L61" s="422" t="str">
        <f t="shared" ca="1" si="23"/>
        <v>46.0</v>
      </c>
      <c r="M61" s="789" t="s">
        <v>746</v>
      </c>
      <c r="N61" s="413">
        <f>VLOOKUP(B61,MASTER!$B$8:$V$1435,14,FALSE)</f>
        <v>35325</v>
      </c>
      <c r="O61" s="422" t="str">
        <f t="shared" ca="1" si="24"/>
        <v>21.7</v>
      </c>
      <c r="P61" s="413">
        <f>VLOOKUP(B61,MASTER!$B$8:$V$1435,16,FALSE)</f>
        <v>46864</v>
      </c>
      <c r="Q61" s="414" t="str">
        <f>VLOOKUP(B61,MASTER!$B$8:$V$1435,17,FALSE)</f>
        <v>I</v>
      </c>
      <c r="R61" s="411" t="str">
        <f>VLOOKUP(B61,MASTER!$B$8:$V$1435,18,FALSE)</f>
        <v>SMA</v>
      </c>
      <c r="S61" s="411" t="str">
        <f>VLOOKUP(B61,MASTER!$B$8:$V$1435,19,FALSE)</f>
        <v>S1</v>
      </c>
      <c r="T61" s="418" t="str">
        <f>VLOOKUP(B61,MASTER!$B$8:$V$1435,20,FALSE)</f>
        <v>-</v>
      </c>
      <c r="U61" s="415" t="str">
        <f>VLOOKUP($B61,ALAMAT!$A$1:E310,4)</f>
        <v>Perum Kutilang Sari 3 RT.008 RW.004 Susukan Ungaran Timur</v>
      </c>
      <c r="X61" s="407">
        <f t="shared" ca="1" si="12"/>
        <v>46</v>
      </c>
      <c r="Y61" s="407">
        <f t="shared" ca="1" si="21"/>
        <v>21</v>
      </c>
    </row>
    <row r="62" spans="1:25" s="407" customFormat="1" ht="12.95" customHeight="1">
      <c r="A62" s="408">
        <v>57</v>
      </c>
      <c r="B62" s="821">
        <v>4625</v>
      </c>
      <c r="C62" s="410" t="str">
        <f>VLOOKUP(B62,MASTER!$B$8:$C$137,2,FALSE)</f>
        <v>SUPRIYO</v>
      </c>
      <c r="D62" s="409" t="s">
        <v>2339</v>
      </c>
      <c r="E62" s="410" t="s">
        <v>159</v>
      </c>
      <c r="F62" s="736" t="s">
        <v>18</v>
      </c>
      <c r="G62" s="411" t="str">
        <f>VLOOKUP(B62,MASTER!$B$8:$H$1435,6,FALSE)</f>
        <v>K</v>
      </c>
      <c r="H62" s="411">
        <f>VLOOKUP(B62,MASTER!$B$8:$H$1435,7,FALSE)</f>
        <v>2</v>
      </c>
      <c r="I62" s="411">
        <f>VLOOKUP(B62,MASTER!$B$8:$V$1435,8,FALSE)</f>
        <v>2</v>
      </c>
      <c r="J62" s="411" t="str">
        <f>VLOOKUP(B62,MASTER!$B$8:$V$1435,9,FALSE)</f>
        <v>L</v>
      </c>
      <c r="K62" s="413">
        <f>VLOOKUP(B62,MASTER!$B$8:$V$1435,11,FALSE)</f>
        <v>23561</v>
      </c>
      <c r="L62" s="422" t="str">
        <f t="shared" ca="1" si="23"/>
        <v>53.9</v>
      </c>
      <c r="M62" s="789" t="s">
        <v>754</v>
      </c>
      <c r="N62" s="413">
        <f>VLOOKUP(B62,MASTER!$B$8:$V$1435,14,FALSE)</f>
        <v>32025</v>
      </c>
      <c r="O62" s="422" t="str">
        <f t="shared" ca="1" si="24"/>
        <v>30.7</v>
      </c>
      <c r="P62" s="413">
        <f>VLOOKUP(B62,MASTER!$B$8:$V$1435,16,FALSE)</f>
        <v>44015</v>
      </c>
      <c r="Q62" s="414" t="str">
        <f>VLOOKUP(B62,MASTER!$B$8:$V$1435,17,FALSE)</f>
        <v>I</v>
      </c>
      <c r="R62" s="411" t="str">
        <f>VLOOKUP(B62,MASTER!$B$8:$V$1435,18,FALSE)</f>
        <v>SMA</v>
      </c>
      <c r="S62" s="411" t="str">
        <f>VLOOKUP(B62,MASTER!$B$8:$V$1435,19,FALSE)</f>
        <v>SLTA</v>
      </c>
      <c r="T62" s="418" t="str">
        <f>VLOOKUP(B62,MASTER!$B$8:$V$1435,20,FALSE)</f>
        <v>O</v>
      </c>
      <c r="U62" s="415" t="str">
        <f>VLOOKUP($B62,ALAMAT!$A$1:E310,4)</f>
        <v>Pakintelan RT.003 RW.002  Pakintelan, Gunungpati Semarang</v>
      </c>
      <c r="X62" s="407">
        <f t="shared" ca="1" si="12"/>
        <v>53</v>
      </c>
      <c r="Y62" s="407">
        <f t="shared" ca="1" si="21"/>
        <v>30</v>
      </c>
    </row>
    <row r="63" spans="1:25" s="407" customFormat="1" ht="12.95" customHeight="1">
      <c r="A63" s="421">
        <v>58</v>
      </c>
      <c r="B63" s="821">
        <v>4673</v>
      </c>
      <c r="C63" s="410" t="str">
        <f>VLOOKUP(B63,MASTER!$B$8:$C$137,2,FALSE)</f>
        <v>MURTIONO</v>
      </c>
      <c r="D63" s="409" t="s">
        <v>2339</v>
      </c>
      <c r="E63" s="410" t="s">
        <v>159</v>
      </c>
      <c r="F63" s="736" t="s">
        <v>18</v>
      </c>
      <c r="G63" s="411" t="str">
        <f>VLOOKUP(B63,MASTER!$B$8:$H$1435,6,FALSE)</f>
        <v>K</v>
      </c>
      <c r="H63" s="411">
        <f>VLOOKUP(B63,MASTER!$B$8:$H$1435,7,FALSE)</f>
        <v>3</v>
      </c>
      <c r="I63" s="411">
        <f>VLOOKUP(B63,MASTER!$B$8:$V$1435,8,FALSE)</f>
        <v>2</v>
      </c>
      <c r="J63" s="411" t="str">
        <f>VLOOKUP(B63,MASTER!$B$8:$V$1435,9,FALSE)</f>
        <v>L</v>
      </c>
      <c r="K63" s="413">
        <f>VLOOKUP(B63,MASTER!$B$8:$V$1435,11,FALSE)</f>
        <v>23069</v>
      </c>
      <c r="L63" s="422" t="str">
        <f t="shared" ca="1" si="23"/>
        <v>55.2</v>
      </c>
      <c r="M63" s="789" t="s">
        <v>755</v>
      </c>
      <c r="N63" s="413">
        <f>VLOOKUP(B63,MASTER!$B$8:$V$1435,14,FALSE)</f>
        <v>32025</v>
      </c>
      <c r="O63" s="422" t="str">
        <f t="shared" ca="1" si="24"/>
        <v>30.7</v>
      </c>
      <c r="P63" s="413">
        <f>VLOOKUP(B63,MASTER!$B$8:$V$1435,16,FALSE)</f>
        <v>43523</v>
      </c>
      <c r="Q63" s="414" t="str">
        <f>VLOOKUP(B63,MASTER!$B$8:$V$1435,17,FALSE)</f>
        <v>I</v>
      </c>
      <c r="R63" s="411" t="str">
        <f>VLOOKUP(B63,MASTER!$B$8:$V$1435,18,FALSE)</f>
        <v>SMA</v>
      </c>
      <c r="S63" s="411" t="str">
        <f>VLOOKUP(B63,MASTER!$B$8:$V$1435,19,FALSE)</f>
        <v>SLTA</v>
      </c>
      <c r="T63" s="418" t="str">
        <f>VLOOKUP(B63,MASTER!$B$8:$V$1435,20,FALSE)</f>
        <v>B</v>
      </c>
      <c r="U63" s="415" t="str">
        <f>VLOOKUP($B63,ALAMAT!$A$1:E311,4)</f>
        <v>Gemahsari V No.178 RT.001 RW.004 Kedungmundu, Tembalang, Semarang</v>
      </c>
      <c r="X63" s="407">
        <f t="shared" ca="1" si="12"/>
        <v>55</v>
      </c>
      <c r="Y63" s="407">
        <f t="shared" ca="1" si="21"/>
        <v>30</v>
      </c>
    </row>
    <row r="64" spans="1:25" s="407" customFormat="1" ht="12.95" customHeight="1">
      <c r="A64" s="408">
        <v>59</v>
      </c>
      <c r="B64" s="821">
        <v>8261</v>
      </c>
      <c r="C64" s="410" t="str">
        <f>VLOOKUP(B64,MASTER!$B$8:$C$137,2,FALSE)</f>
        <v>DIDIK WAHYUDI</v>
      </c>
      <c r="D64" s="409" t="s">
        <v>2339</v>
      </c>
      <c r="E64" s="410" t="s">
        <v>159</v>
      </c>
      <c r="F64" s="736" t="s">
        <v>18</v>
      </c>
      <c r="G64" s="411" t="str">
        <f>VLOOKUP(B64,MASTER!$B$8:$H$1435,6,FALSE)</f>
        <v>K</v>
      </c>
      <c r="H64" s="411">
        <f>VLOOKUP(B64,MASTER!$B$8:$H$1435,7,FALSE)</f>
        <v>2</v>
      </c>
      <c r="I64" s="411">
        <f>VLOOKUP(B64,MASTER!$B$8:$V$1435,8,FALSE)</f>
        <v>2</v>
      </c>
      <c r="J64" s="411" t="str">
        <f>VLOOKUP(B64,MASTER!$B$8:$V$1435,9,FALSE)</f>
        <v>L</v>
      </c>
      <c r="K64" s="413">
        <f>VLOOKUP(B64,MASTER!$B$8:$V$1435,11,FALSE)</f>
        <v>26561</v>
      </c>
      <c r="L64" s="422" t="str">
        <f t="shared" ca="1" si="23"/>
        <v>45.7</v>
      </c>
      <c r="M64" s="789" t="s">
        <v>746</v>
      </c>
      <c r="N64" s="413">
        <f>VLOOKUP(B64,MASTER!$B$8:$V$1435,14,FALSE)</f>
        <v>34922</v>
      </c>
      <c r="O64" s="422" t="str">
        <f t="shared" ca="1" si="24"/>
        <v>22.8</v>
      </c>
      <c r="P64" s="413">
        <f>VLOOKUP(B64,MASTER!$B$8:$V$1435,16,FALSE)</f>
        <v>47015</v>
      </c>
      <c r="Q64" s="414" t="str">
        <f>VLOOKUP(B64,MASTER!$B$8:$V$1435,17,FALSE)</f>
        <v>I</v>
      </c>
      <c r="R64" s="411" t="str">
        <f>VLOOKUP(B64,MASTER!$B$8:$V$1435,18,FALSE)</f>
        <v>STM</v>
      </c>
      <c r="S64" s="411" t="str">
        <f>VLOOKUP(B64,MASTER!$B$8:$V$1435,19,FALSE)</f>
        <v>S1</v>
      </c>
      <c r="T64" s="418" t="str">
        <f>VLOOKUP(B64,MASTER!$B$8:$V$1435,20,FALSE)</f>
        <v>O</v>
      </c>
      <c r="U64" s="415" t="str">
        <f>VLOOKUP($B64,ALAMAT!$A$1:E312,4)</f>
        <v>Jl. Rorojonggrang XIX RT.004 RW.010 Manyaran ,  Semarang Barat</v>
      </c>
      <c r="X64" s="407">
        <f t="shared" ca="1" si="12"/>
        <v>45</v>
      </c>
      <c r="Y64" s="407">
        <f t="shared" ca="1" si="21"/>
        <v>22</v>
      </c>
    </row>
    <row r="65" spans="1:25" s="407" customFormat="1" ht="12.95" customHeight="1">
      <c r="A65" s="421">
        <v>60</v>
      </c>
      <c r="B65" s="821">
        <v>7606</v>
      </c>
      <c r="C65" s="410" t="str">
        <f>VLOOKUP(B65,MASTER!$B$8:$C$137,2,FALSE)</f>
        <v>TITO CHRISDIAN ANDRIANTO</v>
      </c>
      <c r="D65" s="409" t="s">
        <v>2339</v>
      </c>
      <c r="E65" s="410" t="s">
        <v>159</v>
      </c>
      <c r="F65" s="736" t="s">
        <v>18</v>
      </c>
      <c r="G65" s="411" t="str">
        <f>VLOOKUP(B65,MASTER!$B$8:$H$1435,6,FALSE)</f>
        <v>K</v>
      </c>
      <c r="H65" s="411">
        <f>VLOOKUP(B65,MASTER!$B$8:$H$1435,7,FALSE)</f>
        <v>2</v>
      </c>
      <c r="I65" s="411">
        <f>VLOOKUP(B65,MASTER!$B$8:$V$1435,8,FALSE)</f>
        <v>2</v>
      </c>
      <c r="J65" s="411" t="str">
        <f>VLOOKUP(B65,MASTER!$B$8:$V$1435,9,FALSE)</f>
        <v>L</v>
      </c>
      <c r="K65" s="413">
        <f>VLOOKUP(B65,MASTER!$B$8:$V$1435,11,FALSE)</f>
        <v>26644</v>
      </c>
      <c r="L65" s="422" t="str">
        <f t="shared" ca="1" si="23"/>
        <v>45.4</v>
      </c>
      <c r="M65" s="789" t="s">
        <v>745</v>
      </c>
      <c r="N65" s="413">
        <f>VLOOKUP(B65,MASTER!$B$8:$V$1435,14,FALSE)</f>
        <v>34648</v>
      </c>
      <c r="O65" s="422" t="str">
        <f t="shared" ca="1" si="24"/>
        <v>23.5</v>
      </c>
      <c r="P65" s="413">
        <f>VLOOKUP(B65,MASTER!$B$8:$V$1435,16,FALSE)</f>
        <v>47098</v>
      </c>
      <c r="Q65" s="414" t="str">
        <f>VLOOKUP(B65,MASTER!$B$8:$V$1435,17,FALSE)</f>
        <v>P</v>
      </c>
      <c r="R65" s="411" t="str">
        <f>VLOOKUP(B65,MASTER!$B$8:$V$1435,18,FALSE)</f>
        <v>SMA</v>
      </c>
      <c r="S65" s="411" t="str">
        <f>VLOOKUP(B65,MASTER!$B$8:$V$1435,19,FALSE)</f>
        <v>S1</v>
      </c>
      <c r="T65" s="418" t="str">
        <f>VLOOKUP(B65,MASTER!$B$8:$V$1435,20,FALSE)</f>
        <v>O</v>
      </c>
      <c r="U65" s="415" t="str">
        <f>VLOOKUP($B65,ALAMAT!$A$1:E313,4)</f>
        <v xml:space="preserve">Jl.Argo Mulyo Mukti III/D-137 RT.001 RW.010 Tlogomulyo, Pedurungan </v>
      </c>
      <c r="X65" s="407">
        <f t="shared" ca="1" si="12"/>
        <v>45</v>
      </c>
      <c r="Y65" s="407">
        <f t="shared" ca="1" si="21"/>
        <v>23</v>
      </c>
    </row>
    <row r="66" spans="1:25" s="407" customFormat="1" ht="11.25" customHeight="1">
      <c r="A66" s="408">
        <v>61</v>
      </c>
      <c r="B66" s="821">
        <v>7614</v>
      </c>
      <c r="C66" s="410" t="str">
        <f>VLOOKUP(B66,MASTER!$B$8:$C$137,2,FALSE)</f>
        <v>MOCH.LUTFI</v>
      </c>
      <c r="D66" s="409" t="s">
        <v>2339</v>
      </c>
      <c r="E66" s="410" t="s">
        <v>159</v>
      </c>
      <c r="F66" s="736" t="s">
        <v>18</v>
      </c>
      <c r="G66" s="411" t="str">
        <f>VLOOKUP(B66,MASTER!$B$8:$H$1435,6,FALSE)</f>
        <v>K</v>
      </c>
      <c r="H66" s="411">
        <f>VLOOKUP(B66,MASTER!$B$8:$H$1435,7,FALSE)</f>
        <v>1</v>
      </c>
      <c r="I66" s="411">
        <f>VLOOKUP(B66,MASTER!$B$8:$V$1435,8,FALSE)</f>
        <v>1</v>
      </c>
      <c r="J66" s="411" t="str">
        <f>VLOOKUP(B66,MASTER!$B$8:$V$1435,9,FALSE)</f>
        <v>L</v>
      </c>
      <c r="K66" s="413">
        <f>VLOOKUP(B66,MASTER!$B$8:$V$1435,11,FALSE)</f>
        <v>25630</v>
      </c>
      <c r="L66" s="422" t="str">
        <f t="shared" ca="1" si="23"/>
        <v>48.1</v>
      </c>
      <c r="M66" s="789" t="s">
        <v>748</v>
      </c>
      <c r="N66" s="413">
        <f>VLOOKUP(B66,MASTER!$B$8:$V$1435,14,FALSE)</f>
        <v>34648</v>
      </c>
      <c r="O66" s="422" t="str">
        <f t="shared" ca="1" si="24"/>
        <v>23.5</v>
      </c>
      <c r="P66" s="413">
        <f>VLOOKUP(B66,MASTER!$B$8:$V$1435,16,FALSE)</f>
        <v>46084</v>
      </c>
      <c r="Q66" s="414" t="str">
        <f>VLOOKUP(B66,MASTER!$B$8:$V$1435,17,FALSE)</f>
        <v>I</v>
      </c>
      <c r="R66" s="411" t="str">
        <f>VLOOKUP(B66,MASTER!$B$8:$V$1435,18,FALSE)</f>
        <v>SMA</v>
      </c>
      <c r="S66" s="411" t="str">
        <f>VLOOKUP(B66,MASTER!$B$8:$V$1435,19,FALSE)</f>
        <v>SLTA</v>
      </c>
      <c r="T66" s="418" t="str">
        <f>VLOOKUP(B66,MASTER!$B$8:$V$1435,20,FALSE)</f>
        <v>O</v>
      </c>
      <c r="U66" s="415" t="str">
        <f>VLOOKUP($B66,ALAMAT!$A$1:E314,4)</f>
        <v>Jl.Kalimantan 325 RT.007 Rw.009 Gedang Anak Ungaran</v>
      </c>
      <c r="X66" s="407">
        <f t="shared" ca="1" si="12"/>
        <v>48</v>
      </c>
      <c r="Y66" s="407">
        <f t="shared" ca="1" si="21"/>
        <v>23</v>
      </c>
    </row>
    <row r="67" spans="1:25" s="407" customFormat="1" ht="12.95" customHeight="1">
      <c r="A67" s="421">
        <v>62</v>
      </c>
      <c r="B67" s="821">
        <v>4624</v>
      </c>
      <c r="C67" s="410" t="str">
        <f>VLOOKUP(B67,MASTER!$B$8:$C$137,2,FALSE)</f>
        <v>TRISNO PURWANTO</v>
      </c>
      <c r="D67" s="409" t="s">
        <v>2340</v>
      </c>
      <c r="E67" s="410" t="s">
        <v>183</v>
      </c>
      <c r="F67" s="736" t="s">
        <v>18</v>
      </c>
      <c r="G67" s="411" t="str">
        <f>VLOOKUP(B67,MASTER!$B$8:$H$1435,6,FALSE)</f>
        <v>K</v>
      </c>
      <c r="H67" s="411">
        <f>VLOOKUP(B67,MASTER!$B$8:$H$1435,7,FALSE)</f>
        <v>3</v>
      </c>
      <c r="I67" s="411">
        <f>VLOOKUP(B67,MASTER!$B$8:$V$1435,8,FALSE)</f>
        <v>2</v>
      </c>
      <c r="J67" s="411" t="str">
        <f>VLOOKUP(B67,MASTER!$B$8:$V$1435,9,FALSE)</f>
        <v>L</v>
      </c>
      <c r="K67" s="413">
        <f>VLOOKUP(B67,MASTER!$B$8:$V$1435,11,FALSE)</f>
        <v>23529</v>
      </c>
      <c r="L67" s="422" t="str">
        <f t="shared" ca="1" si="23"/>
        <v>53.10</v>
      </c>
      <c r="M67" s="789" t="s">
        <v>753</v>
      </c>
      <c r="N67" s="413">
        <f>VLOOKUP(B67,MASTER!$B$8:$V$1435,14,FALSE)</f>
        <v>32025</v>
      </c>
      <c r="O67" s="422" t="str">
        <f t="shared" ca="1" si="24"/>
        <v>30.7</v>
      </c>
      <c r="P67" s="413">
        <f>VLOOKUP(B67,MASTER!$B$8:$V$1435,16,FALSE)</f>
        <v>43983</v>
      </c>
      <c r="Q67" s="414" t="str">
        <f>VLOOKUP(B67,MASTER!$B$8:$V$1435,17,FALSE)</f>
        <v>I</v>
      </c>
      <c r="R67" s="411" t="str">
        <f>VLOOKUP(B67,MASTER!$B$8:$V$1435,18,FALSE)</f>
        <v>SMA</v>
      </c>
      <c r="S67" s="411" t="str">
        <f>VLOOKUP(B67,MASTER!$B$8:$V$1435,19,FALSE)</f>
        <v>S1</v>
      </c>
      <c r="T67" s="418" t="str">
        <f>VLOOKUP(B67,MASTER!$B$8:$V$1435,20,FALSE)</f>
        <v>B</v>
      </c>
      <c r="U67" s="415" t="str">
        <f>VLOOKUP($B67,ALAMAT!$A$1:E315,4)</f>
        <v>Jl. Panasan V/14 RT.003 RW.013  Beji Ungaran</v>
      </c>
      <c r="X67" s="407">
        <f t="shared" ca="1" si="12"/>
        <v>53</v>
      </c>
      <c r="Y67" s="407">
        <f t="shared" ca="1" si="21"/>
        <v>30</v>
      </c>
    </row>
    <row r="68" spans="1:25" s="407" customFormat="1" ht="12.95" customHeight="1">
      <c r="A68" s="408">
        <v>63</v>
      </c>
      <c r="B68" s="821">
        <v>4661</v>
      </c>
      <c r="C68" s="410" t="str">
        <f>VLOOKUP(B68,MASTER!$B$8:$C$137,2,FALSE)</f>
        <v>PUTUT WAHYUDI</v>
      </c>
      <c r="D68" s="409" t="s">
        <v>2340</v>
      </c>
      <c r="E68" s="410" t="s">
        <v>183</v>
      </c>
      <c r="F68" s="736" t="s">
        <v>18</v>
      </c>
      <c r="G68" s="411" t="str">
        <f>VLOOKUP(B68,MASTER!$B$8:$H$1435,6,FALSE)</f>
        <v>K</v>
      </c>
      <c r="H68" s="411">
        <f>VLOOKUP(B68,MASTER!$B$8:$H$1435,7,FALSE)</f>
        <v>2</v>
      </c>
      <c r="I68" s="411">
        <f>VLOOKUP(B68,MASTER!$B$8:$V$1435,8,FALSE)</f>
        <v>2</v>
      </c>
      <c r="J68" s="411" t="str">
        <f>VLOOKUP(B68,MASTER!$B$8:$V$1435,9,FALSE)</f>
        <v>L</v>
      </c>
      <c r="K68" s="413">
        <f>VLOOKUP(B68,MASTER!$B$8:$V$1435,11,FALSE)</f>
        <v>23469</v>
      </c>
      <c r="L68" s="422" t="str">
        <f t="shared" ca="1" si="23"/>
        <v>54.0</v>
      </c>
      <c r="M68" s="789" t="s">
        <v>754</v>
      </c>
      <c r="N68" s="413">
        <f>VLOOKUP(B68,MASTER!$B$8:$V$1435,14,FALSE)</f>
        <v>32025</v>
      </c>
      <c r="O68" s="422" t="str">
        <f t="shared" ca="1" si="24"/>
        <v>30.7</v>
      </c>
      <c r="P68" s="413">
        <f>VLOOKUP(B68,MASTER!$B$8:$V$1435,16,FALSE)</f>
        <v>43923</v>
      </c>
      <c r="Q68" s="414" t="str">
        <f>VLOOKUP(B68,MASTER!$B$8:$V$1435,17,FALSE)</f>
        <v>I</v>
      </c>
      <c r="R68" s="411" t="str">
        <f>VLOOKUP(B68,MASTER!$B$8:$V$1435,18,FALSE)</f>
        <v>STM</v>
      </c>
      <c r="S68" s="411" t="str">
        <f>VLOOKUP(B68,MASTER!$B$8:$V$1435,19,FALSE)</f>
        <v>SLTA</v>
      </c>
      <c r="T68" s="418" t="str">
        <f>VLOOKUP(B68,MASTER!$B$8:$V$1435,20,FALSE)</f>
        <v>A</v>
      </c>
      <c r="U68" s="415" t="str">
        <f>VLOOKUP($B68,ALAMAT!$A$1:E316,4)</f>
        <v>Pringsari RT.001 RW.002 Pringsari Pringapus/Klepu Kab.Semarang</v>
      </c>
      <c r="X68" s="407">
        <f t="shared" ca="1" si="12"/>
        <v>54</v>
      </c>
      <c r="Y68" s="407">
        <f t="shared" ca="1" si="21"/>
        <v>30</v>
      </c>
    </row>
    <row r="69" spans="1:25" s="407" customFormat="1" ht="12.95" customHeight="1">
      <c r="A69" s="421">
        <v>64</v>
      </c>
      <c r="B69" s="817">
        <v>7438</v>
      </c>
      <c r="C69" s="410" t="str">
        <f>VLOOKUP(B69,MASTER!$B$8:$C$137,2,FALSE)</f>
        <v>SLAMET WIBOWO</v>
      </c>
      <c r="D69" s="409" t="s">
        <v>2340</v>
      </c>
      <c r="E69" s="410" t="s">
        <v>183</v>
      </c>
      <c r="F69" s="736" t="s">
        <v>18</v>
      </c>
      <c r="G69" s="411" t="str">
        <f>VLOOKUP(B69,MASTER!$B$8:$H$1435,6,FALSE)</f>
        <v>K</v>
      </c>
      <c r="H69" s="411">
        <f>VLOOKUP(B69,MASTER!$B$8:$H$1435,7,FALSE)</f>
        <v>3</v>
      </c>
      <c r="I69" s="411">
        <f>VLOOKUP(B69,MASTER!$B$8:$V$1435,8,FALSE)</f>
        <v>3</v>
      </c>
      <c r="J69" s="411" t="str">
        <f>VLOOKUP(B69,MASTER!$B$8:$V$1435,9,FALSE)</f>
        <v>L</v>
      </c>
      <c r="K69" s="413">
        <f>VLOOKUP(B69,MASTER!$B$8:$V$1435,11,FALSE)</f>
        <v>25215</v>
      </c>
      <c r="L69" s="422" t="str">
        <f t="shared" ca="1" si="23"/>
        <v>49.3</v>
      </c>
      <c r="M69" s="789" t="s">
        <v>749</v>
      </c>
      <c r="N69" s="413">
        <f>VLOOKUP(B69,MASTER!$B$8:$V$1435,14,FALSE)</f>
        <v>34500</v>
      </c>
      <c r="O69" s="422" t="str">
        <f t="shared" ca="1" si="24"/>
        <v>23.10</v>
      </c>
      <c r="P69" s="413">
        <f>VLOOKUP(B69,MASTER!$B$8:$V$1435,16,FALSE)</f>
        <v>45669</v>
      </c>
      <c r="Q69" s="414" t="str">
        <f>VLOOKUP(B69,MASTER!$B$8:$V$1435,17,FALSE)</f>
        <v>I</v>
      </c>
      <c r="R69" s="411" t="str">
        <f>VLOOKUP(B69,MASTER!$B$8:$V$1435,18,FALSE)</f>
        <v>SMA</v>
      </c>
      <c r="S69" s="411" t="str">
        <f>VLOOKUP(B69,MASTER!$B$8:$V$1435,19,FALSE)</f>
        <v>SLTA</v>
      </c>
      <c r="T69" s="418" t="str">
        <f>VLOOKUP(B69,MASTER!$B$8:$V$1435,20,FALSE)</f>
        <v>-</v>
      </c>
      <c r="U69" s="415" t="str">
        <f>VLOOKUP($B69,ALAMAT!$A$1:E318,4)</f>
        <v>Komp.Jaka Kencana A/86 RT.002  RW.004 Jaka Setya Bekasi Selatan</v>
      </c>
      <c r="X69" s="407">
        <f t="shared" ca="1" si="12"/>
        <v>49</v>
      </c>
      <c r="Y69" s="407">
        <f t="shared" ca="1" si="21"/>
        <v>23</v>
      </c>
    </row>
    <row r="70" spans="1:25" s="407" customFormat="1" ht="12.75" customHeight="1">
      <c r="A70" s="408">
        <v>65</v>
      </c>
      <c r="B70" s="821">
        <v>8415</v>
      </c>
      <c r="C70" s="410" t="str">
        <f>VLOOKUP(B70,MASTER!$B$8:$C$137,2,FALSE)</f>
        <v>AGUS BUDI SETIYO PRIYONO</v>
      </c>
      <c r="D70" s="409" t="s">
        <v>2340</v>
      </c>
      <c r="E70" s="410" t="s">
        <v>183</v>
      </c>
      <c r="F70" s="736" t="s">
        <v>18</v>
      </c>
      <c r="G70" s="411" t="str">
        <f>VLOOKUP(B70,MASTER!$B$8:$H$1435,6,FALSE)</f>
        <v>K</v>
      </c>
      <c r="H70" s="411">
        <f>VLOOKUP(B70,MASTER!$B$8:$H$1435,7,FALSE)</f>
        <v>1</v>
      </c>
      <c r="I70" s="411">
        <f>VLOOKUP(B70,MASTER!$B$8:$V$1435,8,FALSE)</f>
        <v>1</v>
      </c>
      <c r="J70" s="411" t="str">
        <f>VLOOKUP(B70,MASTER!$B$8:$V$1435,9,FALSE)</f>
        <v>L</v>
      </c>
      <c r="K70" s="413">
        <f>VLOOKUP(B70,MASTER!$B$8:$V$1435,11,FALSE)</f>
        <v>27766</v>
      </c>
      <c r="L70" s="422" t="str">
        <f t="shared" ca="1" si="23"/>
        <v>42.3</v>
      </c>
      <c r="M70" s="789" t="s">
        <v>742</v>
      </c>
      <c r="N70" s="413">
        <f>VLOOKUP(B70,MASTER!$B$8:$V$1435,14,FALSE)</f>
        <v>35096</v>
      </c>
      <c r="O70" s="422" t="str">
        <f t="shared" ca="1" si="24"/>
        <v>22.2</v>
      </c>
      <c r="P70" s="413">
        <f>VLOOKUP(B70,MASTER!$B$8:$V$1435,16,FALSE)</f>
        <v>48220</v>
      </c>
      <c r="Q70" s="414" t="str">
        <f>VLOOKUP(B70,MASTER!$B$8:$V$1435,17,FALSE)</f>
        <v>I</v>
      </c>
      <c r="R70" s="411" t="str">
        <f>VLOOKUP(B70,MASTER!$B$8:$V$1435,18,FALSE)</f>
        <v>SMA</v>
      </c>
      <c r="S70" s="411" t="str">
        <f>VLOOKUP(B70,MASTER!$B$8:$V$1435,19,FALSE)</f>
        <v>SLTA</v>
      </c>
      <c r="T70" s="418" t="str">
        <f>VLOOKUP(B70,MASTER!$B$8:$V$1435,20,FALSE)</f>
        <v>B</v>
      </c>
      <c r="U70" s="415" t="str">
        <f>VLOOKUP($B70,ALAMAT!$A$1:E319,4)</f>
        <v>Puri Asri Jl.Merdeka III No.16  RT.004 RW.004 Beji Ungaran Timur</v>
      </c>
      <c r="X70" s="407">
        <f t="shared" ref="X70:X101" ca="1" si="25">DATEDIF(K70,TODAY(),"y")</f>
        <v>42</v>
      </c>
      <c r="Y70" s="407">
        <f t="shared" ca="1" si="21"/>
        <v>22</v>
      </c>
    </row>
    <row r="71" spans="1:25" s="407" customFormat="1" ht="12.95" customHeight="1">
      <c r="A71" s="421">
        <v>66</v>
      </c>
      <c r="B71" s="821">
        <v>2227</v>
      </c>
      <c r="C71" s="410" t="str">
        <f>VLOOKUP(B71,MASTER!$B$8:$C$137,2,FALSE)</f>
        <v>DARYANTO (MPP)</v>
      </c>
      <c r="D71" s="409" t="s">
        <v>2340</v>
      </c>
      <c r="E71" s="410" t="s">
        <v>183</v>
      </c>
      <c r="F71" s="736" t="s">
        <v>18</v>
      </c>
      <c r="G71" s="411" t="str">
        <f>VLOOKUP(B71,MASTER!$B$8:$H$1435,6,FALSE)</f>
        <v>K</v>
      </c>
      <c r="H71" s="411">
        <f>VLOOKUP(B71,MASTER!$B$8:$H$1435,7,FALSE)</f>
        <v>3</v>
      </c>
      <c r="I71" s="411">
        <f>VLOOKUP(B71,MASTER!$B$8:$V$1435,8,FALSE)</f>
        <v>1</v>
      </c>
      <c r="J71" s="411" t="str">
        <f>VLOOKUP(B71,MASTER!$B$8:$V$1435,9,FALSE)</f>
        <v>L</v>
      </c>
      <c r="K71" s="413">
        <f>VLOOKUP(B71,MASTER!$B$8:$V$1435,11,FALSE)</f>
        <v>22716</v>
      </c>
      <c r="L71" s="422" t="str">
        <f t="shared" ca="1" si="23"/>
        <v>56.1</v>
      </c>
      <c r="M71" s="789" t="s">
        <v>756</v>
      </c>
      <c r="N71" s="413">
        <f>VLOOKUP(B71,MASTER!$B$8:$V$1435,14,FALSE)</f>
        <v>30501</v>
      </c>
      <c r="O71" s="422" t="str">
        <f t="shared" ca="1" si="24"/>
        <v>34.9</v>
      </c>
      <c r="P71" s="413">
        <f>VLOOKUP(B71,MASTER!$B$8:$V$1435,16,FALSE)</f>
        <v>43170</v>
      </c>
      <c r="Q71" s="414" t="str">
        <f>VLOOKUP(B71,MASTER!$B$8:$V$1435,17,FALSE)</f>
        <v>I</v>
      </c>
      <c r="R71" s="411" t="str">
        <f>VLOOKUP(B71,MASTER!$B$8:$V$1435,18,FALSE)</f>
        <v>SMA</v>
      </c>
      <c r="S71" s="411" t="str">
        <f>VLOOKUP(B71,MASTER!$B$8:$V$1435,19,FALSE)</f>
        <v>S1</v>
      </c>
      <c r="T71" s="418" t="str">
        <f>VLOOKUP(B71,MASTER!$B$8:$V$1435,20,FALSE)</f>
        <v>O</v>
      </c>
      <c r="U71" s="415" t="str">
        <f>VLOOKUP($B71,ALAMAT!$A$1:E320,4)</f>
        <v>JL. Jomblang Barat 520 RT.004 RW.003  Candi,Candisari Semarang</v>
      </c>
      <c r="X71" s="407">
        <f t="shared" ca="1" si="25"/>
        <v>56</v>
      </c>
      <c r="Y71" s="407">
        <f t="shared" ca="1" si="21"/>
        <v>34</v>
      </c>
    </row>
    <row r="72" spans="1:25" s="407" customFormat="1" ht="12.95" customHeight="1">
      <c r="A72" s="408">
        <v>67</v>
      </c>
      <c r="B72" s="821">
        <v>4676</v>
      </c>
      <c r="C72" s="410" t="str">
        <f>VLOOKUP(B72,MASTER!$B$8:$C$137,2,FALSE)</f>
        <v>SUDIRO</v>
      </c>
      <c r="D72" s="409" t="s">
        <v>2341</v>
      </c>
      <c r="E72" s="410" t="s">
        <v>206</v>
      </c>
      <c r="F72" s="736" t="s">
        <v>18</v>
      </c>
      <c r="G72" s="411" t="str">
        <f>VLOOKUP(B72,MASTER!$B$8:$H$1435,6,FALSE)</f>
        <v>K</v>
      </c>
      <c r="H72" s="411">
        <f>VLOOKUP(B72,MASTER!$B$8:$H$1435,7,FALSE)</f>
        <v>2</v>
      </c>
      <c r="I72" s="411">
        <f>VLOOKUP(B72,MASTER!$B$8:$V$1435,8,FALSE)</f>
        <v>1</v>
      </c>
      <c r="J72" s="411" t="str">
        <f>VLOOKUP(B72,MASTER!$B$8:$V$1435,9,FALSE)</f>
        <v>L</v>
      </c>
      <c r="K72" s="413">
        <f>VLOOKUP(B72,MASTER!$B$8:$V$1435,11,FALSE)</f>
        <v>23865</v>
      </c>
      <c r="L72" s="422" t="str">
        <f t="shared" ca="1" si="23"/>
        <v>52.11</v>
      </c>
      <c r="M72" s="789" t="s">
        <v>753</v>
      </c>
      <c r="N72" s="413">
        <f>VLOOKUP(B72,MASTER!$B$8:$V$1435,14,FALSE)</f>
        <v>32025</v>
      </c>
      <c r="O72" s="422" t="str">
        <f t="shared" ca="1" si="24"/>
        <v>30.7</v>
      </c>
      <c r="P72" s="413">
        <f>VLOOKUP(B72,MASTER!$B$8:$V$1435,16,FALSE)</f>
        <v>44319</v>
      </c>
      <c r="Q72" s="414" t="str">
        <f>VLOOKUP(B72,MASTER!$B$8:$V$1435,17,FALSE)</f>
        <v>I</v>
      </c>
      <c r="R72" s="411" t="str">
        <f>VLOOKUP(B72,MASTER!$B$8:$V$1435,18,FALSE)</f>
        <v>SMA</v>
      </c>
      <c r="S72" s="411" t="str">
        <f>VLOOKUP(B72,MASTER!$B$8:$V$1435,19,FALSE)</f>
        <v>S1</v>
      </c>
      <c r="T72" s="418" t="str">
        <f>VLOOKUP(B72,MASTER!$B$8:$V$1435,20,FALSE)</f>
        <v>AB</v>
      </c>
      <c r="U72" s="415" t="str">
        <f>VLOOKUP($B72,ALAMAT!$A$1:E321,4)</f>
        <v>Jl.Kenanga Raya 28 Rejosari RT.005 RW.002 Genuk Ungaran</v>
      </c>
      <c r="X72" s="407">
        <f t="shared" ca="1" si="25"/>
        <v>52</v>
      </c>
      <c r="Y72" s="407">
        <f t="shared" ca="1" si="21"/>
        <v>30</v>
      </c>
    </row>
    <row r="73" spans="1:25" s="407" customFormat="1" ht="12.75">
      <c r="A73" s="421">
        <v>68</v>
      </c>
      <c r="B73" s="821">
        <v>4884</v>
      </c>
      <c r="C73" s="410" t="str">
        <f>VLOOKUP(B73,MASTER!$B$8:$C$137,2,FALSE)</f>
        <v>BUDIYONO</v>
      </c>
      <c r="D73" s="409" t="s">
        <v>2341</v>
      </c>
      <c r="E73" s="410" t="s">
        <v>206</v>
      </c>
      <c r="F73" s="736" t="s">
        <v>18</v>
      </c>
      <c r="G73" s="411" t="str">
        <f>VLOOKUP(B73,MASTER!$B$8:$H$1435,6,FALSE)</f>
        <v>K</v>
      </c>
      <c r="H73" s="411">
        <f>VLOOKUP(B73,MASTER!$B$8:$H$1435,7,FALSE)</f>
        <v>4</v>
      </c>
      <c r="I73" s="411">
        <f>VLOOKUP(B73,MASTER!$B$8:$V$1435,8,FALSE)</f>
        <v>2</v>
      </c>
      <c r="J73" s="411" t="str">
        <f>VLOOKUP(B73,MASTER!$B$8:$V$1435,9,FALSE)</f>
        <v>L</v>
      </c>
      <c r="K73" s="413">
        <f>VLOOKUP(B73,MASTER!$B$8:$V$1435,11,FALSE)</f>
        <v>24630</v>
      </c>
      <c r="L73" s="422" t="str">
        <f t="shared" ca="1" si="23"/>
        <v>50.10</v>
      </c>
      <c r="M73" s="789" t="s">
        <v>751</v>
      </c>
      <c r="N73" s="413">
        <f>VLOOKUP(B73,MASTER!$B$8:$V$1435,14,FALSE)</f>
        <v>32235</v>
      </c>
      <c r="O73" s="422" t="str">
        <f t="shared" ca="1" si="24"/>
        <v>30.0</v>
      </c>
      <c r="P73" s="413">
        <f>VLOOKUP(B73,MASTER!$B$8:$V$1435,16,FALSE)</f>
        <v>45084</v>
      </c>
      <c r="Q73" s="414" t="str">
        <f>VLOOKUP(B73,MASTER!$B$8:$V$1435,17,FALSE)</f>
        <v>I</v>
      </c>
      <c r="R73" s="411" t="str">
        <f>VLOOKUP(B73,MASTER!$B$8:$V$1435,18,FALSE)</f>
        <v>SMA</v>
      </c>
      <c r="S73" s="411" t="str">
        <f>VLOOKUP(B73,MASTER!$B$8:$V$1435,19,FALSE)</f>
        <v>SLTA</v>
      </c>
      <c r="T73" s="418" t="str">
        <f>VLOOKUP(B73,MASTER!$B$8:$V$1435,20,FALSE)</f>
        <v>AB</v>
      </c>
      <c r="U73" s="415" t="str">
        <f>VLOOKUP($B73,ALAMAT!$A$1:E322,4)</f>
        <v>Jl. Waru Timur II RT.009 RW.001Pedalangan Banyumanik, Semarang</v>
      </c>
      <c r="X73" s="407">
        <f t="shared" ca="1" si="25"/>
        <v>50</v>
      </c>
      <c r="Y73" s="407">
        <f t="shared" ca="1" si="21"/>
        <v>30</v>
      </c>
    </row>
    <row r="74" spans="1:25" s="407" customFormat="1" ht="12.95" customHeight="1">
      <c r="A74" s="408">
        <v>69</v>
      </c>
      <c r="B74" s="821">
        <v>5372</v>
      </c>
      <c r="C74" s="410" t="str">
        <f>VLOOKUP(B74,MASTER!$B$8:$C$137,2,FALSE)</f>
        <v>PARIJAN</v>
      </c>
      <c r="D74" s="409" t="s">
        <v>2341</v>
      </c>
      <c r="E74" s="410" t="s">
        <v>206</v>
      </c>
      <c r="F74" s="736" t="s">
        <v>18</v>
      </c>
      <c r="G74" s="411" t="str">
        <f>VLOOKUP(B74,MASTER!$B$8:$H$1435,6,FALSE)</f>
        <v>K</v>
      </c>
      <c r="H74" s="411">
        <f>VLOOKUP(B74,MASTER!$B$8:$H$1435,7,FALSE)</f>
        <v>2</v>
      </c>
      <c r="I74" s="411">
        <f>VLOOKUP(B74,MASTER!$B$8:$V$1435,8,FALSE)</f>
        <v>1</v>
      </c>
      <c r="J74" s="411" t="str">
        <f>VLOOKUP(B74,MASTER!$B$8:$V$1435,9,FALSE)</f>
        <v>L</v>
      </c>
      <c r="K74" s="413">
        <f>VLOOKUP(B74,MASTER!$B$8:$V$1435,11,FALSE)</f>
        <v>23894</v>
      </c>
      <c r="L74" s="422" t="str">
        <f t="shared" ca="1" si="23"/>
        <v>52.10</v>
      </c>
      <c r="M74" s="789" t="s">
        <v>753</v>
      </c>
      <c r="N74" s="413">
        <f>VLOOKUP(B74,MASTER!$B$8:$V$1435,14,FALSE)</f>
        <v>32524</v>
      </c>
      <c r="O74" s="422" t="str">
        <f t="shared" ca="1" si="24"/>
        <v>29.3</v>
      </c>
      <c r="P74" s="413">
        <f>VLOOKUP(B74,MASTER!$B$8:$V$1435,16,FALSE)</f>
        <v>44348</v>
      </c>
      <c r="Q74" s="414" t="str">
        <f>VLOOKUP(B74,MASTER!$B$8:$V$1435,17,FALSE)</f>
        <v>I</v>
      </c>
      <c r="R74" s="411" t="str">
        <f>VLOOKUP(B74,MASTER!$B$8:$V$1435,18,FALSE)</f>
        <v>STM</v>
      </c>
      <c r="S74" s="411" t="str">
        <f>VLOOKUP(B74,MASTER!$B$8:$V$1435,19,FALSE)</f>
        <v>SLTA</v>
      </c>
      <c r="T74" s="418" t="str">
        <f>VLOOKUP(B74,MASTER!$B$8:$V$1435,20,FALSE)</f>
        <v>O</v>
      </c>
      <c r="U74" s="415" t="str">
        <f>VLOOKUP($B74,ALAMAT!$A$1:E323,4)</f>
        <v>Jl.Brantas I No.4 RT.002 RW.013 Beji Ungaran Timur</v>
      </c>
      <c r="X74" s="407">
        <f t="shared" ca="1" si="25"/>
        <v>52</v>
      </c>
      <c r="Y74" s="407">
        <f t="shared" ca="1" si="21"/>
        <v>29</v>
      </c>
    </row>
    <row r="75" spans="1:25" s="407" customFormat="1" ht="12.95" customHeight="1">
      <c r="A75" s="421">
        <v>70</v>
      </c>
      <c r="B75" s="821">
        <v>7404</v>
      </c>
      <c r="C75" s="410" t="str">
        <f>VLOOKUP(B75,MASTER!$B$8:$C$137,2,FALSE)</f>
        <v>DJOKO</v>
      </c>
      <c r="D75" s="409" t="s">
        <v>2341</v>
      </c>
      <c r="E75" s="410" t="s">
        <v>206</v>
      </c>
      <c r="F75" s="736" t="s">
        <v>18</v>
      </c>
      <c r="G75" s="411" t="str">
        <f>VLOOKUP(B75,MASTER!$B$8:$H$1435,6,FALSE)</f>
        <v>K</v>
      </c>
      <c r="H75" s="411">
        <f>VLOOKUP(B75,MASTER!$B$8:$H$1435,7,FALSE)</f>
        <v>1</v>
      </c>
      <c r="I75" s="411">
        <f>VLOOKUP(B75,MASTER!$B$8:$V$1435,8,FALSE)</f>
        <v>1</v>
      </c>
      <c r="J75" s="411" t="str">
        <f>VLOOKUP(B75,MASTER!$B$8:$V$1435,9,FALSE)</f>
        <v>L</v>
      </c>
      <c r="K75" s="413">
        <f>VLOOKUP(B75,MASTER!$B$8:$V$1435,11,FALSE)</f>
        <v>25962</v>
      </c>
      <c r="L75" s="422" t="str">
        <f t="shared" ca="1" si="23"/>
        <v>47.3</v>
      </c>
      <c r="M75" s="789" t="s">
        <v>747</v>
      </c>
      <c r="N75" s="413">
        <f>VLOOKUP(B75,MASTER!$B$8:$V$1435,14,FALSE)</f>
        <v>34379</v>
      </c>
      <c r="O75" s="422" t="str">
        <f t="shared" ca="1" si="24"/>
        <v>24.2</v>
      </c>
      <c r="P75" s="413">
        <f>VLOOKUP(B75,MASTER!$B$8:$V$1435,16,FALSE)</f>
        <v>46416</v>
      </c>
      <c r="Q75" s="414" t="str">
        <f>VLOOKUP(B75,MASTER!$B$8:$V$1435,17,FALSE)</f>
        <v>I</v>
      </c>
      <c r="R75" s="411" t="str">
        <f>VLOOKUP(B75,MASTER!$B$8:$V$1435,18,FALSE)</f>
        <v>SMA</v>
      </c>
      <c r="S75" s="411" t="str">
        <f>VLOOKUP(B75,MASTER!$B$8:$V$1435,19,FALSE)</f>
        <v>SLTA</v>
      </c>
      <c r="T75" s="418" t="str">
        <f>VLOOKUP(B75,MASTER!$B$8:$V$1435,20,FALSE)</f>
        <v>O</v>
      </c>
      <c r="U75" s="415" t="str">
        <f>VLOOKUP($B75,ALAMAT!$A$1:E324,4)</f>
        <v>Jl Mugas DalamVI/14Rt 08 Rw 03 Mugassari Semarang</v>
      </c>
      <c r="X75" s="407">
        <f t="shared" ca="1" si="25"/>
        <v>47</v>
      </c>
      <c r="Y75" s="407">
        <f t="shared" ca="1" si="21"/>
        <v>24</v>
      </c>
    </row>
    <row r="76" spans="1:25" s="407" customFormat="1" ht="12.95" customHeight="1">
      <c r="A76" s="408">
        <v>71</v>
      </c>
      <c r="B76" s="817">
        <v>8259</v>
      </c>
      <c r="C76" s="410" t="str">
        <f>VLOOKUP(B76,MASTER!$B$8:$C$137,2,FALSE)</f>
        <v>SUHARTO</v>
      </c>
      <c r="D76" s="409" t="s">
        <v>2341</v>
      </c>
      <c r="E76" s="410" t="s">
        <v>206</v>
      </c>
      <c r="F76" s="736" t="s">
        <v>18</v>
      </c>
      <c r="G76" s="411" t="str">
        <f>VLOOKUP(B76,MASTER!$B$8:$H$1435,6,FALSE)</f>
        <v>K</v>
      </c>
      <c r="H76" s="411">
        <f>VLOOKUP(B76,MASTER!$B$8:$H$1435,7,FALSE)</f>
        <v>3</v>
      </c>
      <c r="I76" s="411">
        <f>VLOOKUP(B76,MASTER!$B$8:$V$1435,8,FALSE)</f>
        <v>3</v>
      </c>
      <c r="J76" s="411" t="str">
        <f>VLOOKUP(B76,MASTER!$B$8:$V$1435,9,FALSE)</f>
        <v>L</v>
      </c>
      <c r="K76" s="413">
        <f>VLOOKUP(B76,MASTER!$B$8:$V$1435,11,FALSE)</f>
        <v>26453</v>
      </c>
      <c r="L76" s="422" t="str">
        <f t="shared" ca="1" si="23"/>
        <v>45.10</v>
      </c>
      <c r="M76" s="789" t="s">
        <v>746</v>
      </c>
      <c r="N76" s="413">
        <f>VLOOKUP(B76,MASTER!$B$8:$V$1435,14,FALSE)</f>
        <v>33208</v>
      </c>
      <c r="O76" s="422" t="str">
        <f t="shared" ca="1" si="24"/>
        <v>27.4</v>
      </c>
      <c r="P76" s="413">
        <f>VLOOKUP(B76,MASTER!$B$8:$V$1435,16,FALSE)</f>
        <v>47272</v>
      </c>
      <c r="Q76" s="414" t="str">
        <f>VLOOKUP(B76,MASTER!$B$8:$V$1435,17,FALSE)</f>
        <v>I</v>
      </c>
      <c r="R76" s="411" t="str">
        <f>VLOOKUP(B76,MASTER!$B$8:$V$1435,18,FALSE)</f>
        <v>SMA</v>
      </c>
      <c r="S76" s="411" t="str">
        <f>VLOOKUP(B76,MASTER!$B$8:$V$1435,19,FALSE)</f>
        <v>SLTA</v>
      </c>
      <c r="T76" s="418" t="str">
        <f>VLOOKUP(B76,MASTER!$B$8:$V$1435,20,FALSE)</f>
        <v>-</v>
      </c>
      <c r="U76" s="415" t="str">
        <f>VLOOKUP($B76,ALAMAT!$A$1:E328,4)</f>
        <v>jl Jatisari Rt04 Rw 01Jatisari Subah Batang</v>
      </c>
      <c r="X76" s="407">
        <f t="shared" ca="1" si="25"/>
        <v>45</v>
      </c>
      <c r="Y76" s="407">
        <f t="shared" ca="1" si="21"/>
        <v>27</v>
      </c>
    </row>
    <row r="77" spans="1:25" s="407" customFormat="1" ht="12.95" customHeight="1">
      <c r="A77" s="421">
        <v>72</v>
      </c>
      <c r="B77" s="817">
        <v>8617</v>
      </c>
      <c r="C77" s="410" t="str">
        <f>VLOOKUP(B77,MASTER!$B$8:$C$137,2,FALSE)</f>
        <v>HARIYANTO</v>
      </c>
      <c r="D77" s="409" t="s">
        <v>2342</v>
      </c>
      <c r="E77" s="410" t="s">
        <v>224</v>
      </c>
      <c r="F77" s="736" t="s">
        <v>18</v>
      </c>
      <c r="G77" s="411" t="str">
        <f>VLOOKUP(B77,MASTER!$B$8:$H$1435,6,FALSE)</f>
        <v>K</v>
      </c>
      <c r="H77" s="411">
        <f>VLOOKUP(B77,MASTER!$B$8:$H$1435,7,FALSE)</f>
        <v>2</v>
      </c>
      <c r="I77" s="411">
        <f>VLOOKUP(B77,MASTER!$B$8:$V$1435,8,FALSE)</f>
        <v>2</v>
      </c>
      <c r="J77" s="411" t="str">
        <f>VLOOKUP(B77,MASTER!$B$8:$V$1435,9,FALSE)</f>
        <v>L</v>
      </c>
      <c r="K77" s="413">
        <f>VLOOKUP(B77,MASTER!$B$8:$V$1435,11,FALSE)</f>
        <v>28080</v>
      </c>
      <c r="L77" s="422" t="str">
        <f t="shared" ca="1" si="23"/>
        <v>41.5</v>
      </c>
      <c r="M77" s="789" t="s">
        <v>741</v>
      </c>
      <c r="N77" s="413">
        <f>VLOOKUP(B77,MASTER!$B$8:$V$1435,14,FALSE)</f>
        <v>35289</v>
      </c>
      <c r="O77" s="422" t="str">
        <f t="shared" ca="1" si="24"/>
        <v>21.8</v>
      </c>
      <c r="P77" s="413">
        <f>VLOOKUP(B77,MASTER!$B$8:$V$1435,16,FALSE)</f>
        <v>48369</v>
      </c>
      <c r="Q77" s="414" t="str">
        <f>VLOOKUP(B77,MASTER!$B$8:$V$1435,17,FALSE)</f>
        <v>I</v>
      </c>
      <c r="R77" s="411" t="str">
        <f>VLOOKUP(B77,MASTER!$B$8:$V$1435,18,FALSE)</f>
        <v>SMEA</v>
      </c>
      <c r="S77" s="411" t="str">
        <f>VLOOKUP(B77,MASTER!$B$8:$V$1435,19,FALSE)</f>
        <v>SLTA</v>
      </c>
      <c r="T77" s="418" t="str">
        <f>VLOOKUP(B77,MASTER!$B$8:$V$1435,20,FALSE)</f>
        <v>A</v>
      </c>
      <c r="U77" s="415" t="str">
        <f>VLOOKUP($B77,ALAMAT!$A$1:E329,4)</f>
        <v>Puri Dinar Elok F13 No.2 RT.008 RW.021 Meteseh Tembalang Semarang</v>
      </c>
      <c r="X77" s="407">
        <f t="shared" ca="1" si="25"/>
        <v>41</v>
      </c>
      <c r="Y77" s="407">
        <f t="shared" ca="1" si="21"/>
        <v>21</v>
      </c>
    </row>
    <row r="78" spans="1:25" s="407" customFormat="1" ht="12.95" customHeight="1">
      <c r="A78" s="408">
        <v>73</v>
      </c>
      <c r="B78" s="821">
        <v>9539</v>
      </c>
      <c r="C78" s="410" t="str">
        <f>VLOOKUP(B78,MASTER!$B$8:$C$137,2,FALSE)</f>
        <v>HADI PRASTOWO</v>
      </c>
      <c r="D78" s="409" t="s">
        <v>2342</v>
      </c>
      <c r="E78" s="410" t="s">
        <v>224</v>
      </c>
      <c r="F78" s="736" t="s">
        <v>18</v>
      </c>
      <c r="G78" s="411" t="str">
        <f>VLOOKUP(B78,MASTER!$B$8:$H$1435,6,FALSE)</f>
        <v>K</v>
      </c>
      <c r="H78" s="411">
        <f>VLOOKUP(B78,MASTER!$B$8:$H$1435,7,FALSE)</f>
        <v>2</v>
      </c>
      <c r="I78" s="411">
        <f>VLOOKUP(B78,MASTER!$B$8:$V$1435,8,FALSE)</f>
        <v>2</v>
      </c>
      <c r="J78" s="411" t="str">
        <f>VLOOKUP(B78,MASTER!$B$8:$V$1435,9,FALSE)</f>
        <v>L</v>
      </c>
      <c r="K78" s="413">
        <f>VLOOKUP(B78,MASTER!$B$8:$V$1435,11,FALSE)</f>
        <v>27090</v>
      </c>
      <c r="L78" s="422" t="str">
        <f t="shared" ca="1" si="23"/>
        <v>44.1</v>
      </c>
      <c r="M78" s="789" t="s">
        <v>744</v>
      </c>
      <c r="N78" s="413">
        <f>VLOOKUP(B78,MASTER!$B$8:$V$1435,14,FALSE)</f>
        <v>35807</v>
      </c>
      <c r="O78" s="422" t="str">
        <f t="shared" ca="1" si="24"/>
        <v>20.3</v>
      </c>
      <c r="P78" s="413">
        <f>VLOOKUP(B78,MASTER!$B$8:$V$1435,16,FALSE)</f>
        <v>47544</v>
      </c>
      <c r="Q78" s="414" t="str">
        <f>VLOOKUP(B78,MASTER!$B$8:$V$1435,17,FALSE)</f>
        <v>I</v>
      </c>
      <c r="R78" s="411" t="str">
        <f>VLOOKUP(B78,MASTER!$B$8:$V$1435,18,FALSE)</f>
        <v>SMA</v>
      </c>
      <c r="S78" s="411" t="str">
        <f>VLOOKUP(B78,MASTER!$B$8:$V$1435,19,FALSE)</f>
        <v>SLTA</v>
      </c>
      <c r="T78" s="418" t="str">
        <f>VLOOKUP(B78,MASTER!$B$8:$V$1435,20,FALSE)</f>
        <v>-</v>
      </c>
      <c r="U78" s="415" t="str">
        <f>VLOOKUP($B78,ALAMAT!$A$1:E331,4)</f>
        <v>Jl Satria Selatan V Bl H No 362A Rt 08 Rw 04 Plombokan Semarang</v>
      </c>
      <c r="X78" s="407">
        <f t="shared" ca="1" si="25"/>
        <v>44</v>
      </c>
      <c r="Y78" s="407">
        <f t="shared" ca="1" si="21"/>
        <v>20</v>
      </c>
    </row>
    <row r="79" spans="1:25" s="407" customFormat="1" ht="12.95" customHeight="1">
      <c r="A79" s="421">
        <v>74</v>
      </c>
      <c r="B79" s="817">
        <v>9997</v>
      </c>
      <c r="C79" s="410" t="str">
        <f>VLOOKUP(B79,MASTER!$B$8:$C$137,2,FALSE)</f>
        <v>SUGENG ARIYANTO</v>
      </c>
      <c r="D79" s="409" t="s">
        <v>2342</v>
      </c>
      <c r="E79" s="410" t="s">
        <v>224</v>
      </c>
      <c r="F79" s="736" t="s">
        <v>18</v>
      </c>
      <c r="G79" s="411" t="str">
        <f>VLOOKUP(B79,MASTER!$B$8:$H$1435,6,FALSE)</f>
        <v>K</v>
      </c>
      <c r="H79" s="411">
        <f>VLOOKUP(B79,MASTER!$B$8:$H$1435,7,FALSE)</f>
        <v>2</v>
      </c>
      <c r="I79" s="411">
        <f>VLOOKUP(B79,MASTER!$B$8:$V$1435,8,FALSE)</f>
        <v>2</v>
      </c>
      <c r="J79" s="411" t="str">
        <f>VLOOKUP(B79,MASTER!$B$8:$V$1435,9,FALSE)</f>
        <v>L</v>
      </c>
      <c r="K79" s="413">
        <f>VLOOKUP(B79,MASTER!$B$8:$V$1435,11,FALSE)</f>
        <v>29841</v>
      </c>
      <c r="L79" s="422" t="str">
        <f t="shared" ca="1" si="23"/>
        <v>36.7</v>
      </c>
      <c r="M79" s="789" t="s">
        <v>737</v>
      </c>
      <c r="N79" s="413">
        <f>VLOOKUP(B79,MASTER!$B$8:$V$1435,14,FALSE)</f>
        <v>36720</v>
      </c>
      <c r="O79" s="422" t="str">
        <f t="shared" ca="1" si="24"/>
        <v>17.9</v>
      </c>
      <c r="P79" s="413">
        <f>VLOOKUP(B79,MASTER!$B$8:$V$1435,16,FALSE)</f>
        <v>50295</v>
      </c>
      <c r="Q79" s="414" t="str">
        <f>VLOOKUP(B79,MASTER!$B$8:$V$1435,17,FALSE)</f>
        <v>I</v>
      </c>
      <c r="R79" s="411" t="str">
        <f>VLOOKUP(B79,MASTER!$B$8:$V$1435,18,FALSE)</f>
        <v>SMA</v>
      </c>
      <c r="S79" s="411" t="str">
        <f>VLOOKUP(B79,MASTER!$B$8:$V$1435,19,FALSE)</f>
        <v>SLTA</v>
      </c>
      <c r="T79" s="418" t="str">
        <f>VLOOKUP(B79,MASTER!$B$8:$V$1435,20,FALSE)</f>
        <v>-</v>
      </c>
      <c r="U79" s="415" t="str">
        <f>VLOOKUP($B79,ALAMAT!$A$1:E334,4)</f>
        <v>Kintelan Lor RT.003 RW.003 Candi Rejo Tuntang Semarang</v>
      </c>
      <c r="X79" s="407">
        <f t="shared" ca="1" si="25"/>
        <v>36</v>
      </c>
      <c r="Y79" s="407">
        <f t="shared" ca="1" si="21"/>
        <v>17</v>
      </c>
    </row>
    <row r="80" spans="1:25" s="407" customFormat="1" ht="12.95" customHeight="1">
      <c r="A80" s="408">
        <v>75</v>
      </c>
      <c r="B80" s="817">
        <v>10160</v>
      </c>
      <c r="C80" s="410" t="str">
        <f>VLOOKUP(B80,MASTER!$B$8:$C$137,2,FALSE)</f>
        <v>MARYADI</v>
      </c>
      <c r="D80" s="409" t="s">
        <v>2342</v>
      </c>
      <c r="E80" s="410" t="s">
        <v>224</v>
      </c>
      <c r="F80" s="736" t="s">
        <v>18</v>
      </c>
      <c r="G80" s="411" t="str">
        <f>VLOOKUP(B80,MASTER!$B$8:$H$1435,6,FALSE)</f>
        <v>K</v>
      </c>
      <c r="H80" s="411">
        <f>VLOOKUP(B80,MASTER!$B$8:$H$1435,7,FALSE)</f>
        <v>2</v>
      </c>
      <c r="I80" s="411">
        <f>VLOOKUP(B80,MASTER!$B$8:$V$1435,8,FALSE)</f>
        <v>2</v>
      </c>
      <c r="J80" s="411" t="str">
        <f>VLOOKUP(B80,MASTER!$B$8:$V$1435,9,FALSE)</f>
        <v>L</v>
      </c>
      <c r="K80" s="413">
        <f>VLOOKUP(B80,MASTER!$B$8:$V$1435,11,FALSE)</f>
        <v>28816</v>
      </c>
      <c r="L80" s="422" t="str">
        <f t="shared" ca="1" si="23"/>
        <v>39.5</v>
      </c>
      <c r="M80" s="789" t="s">
        <v>739</v>
      </c>
      <c r="N80" s="413">
        <f>VLOOKUP(B80,MASTER!$B$8:$V$1435,14,FALSE)</f>
        <v>36997</v>
      </c>
      <c r="O80" s="422" t="str">
        <f t="shared" ca="1" si="24"/>
        <v>17.0</v>
      </c>
      <c r="P80" s="413">
        <f>VLOOKUP(B80,MASTER!$B$8:$V$1435,16,FALSE)</f>
        <v>49270</v>
      </c>
      <c r="Q80" s="414" t="str">
        <f>VLOOKUP(B80,MASTER!$B$8:$V$1435,17,FALSE)</f>
        <v>I</v>
      </c>
      <c r="R80" s="411" t="str">
        <f>VLOOKUP(B80,MASTER!$B$8:$V$1435,18,FALSE)</f>
        <v>SMA</v>
      </c>
      <c r="S80" s="411" t="str">
        <f>VLOOKUP(B80,MASTER!$B$8:$V$1435,19,FALSE)</f>
        <v>SLTA</v>
      </c>
      <c r="T80" s="418" t="str">
        <f>VLOOKUP(B80,MASTER!$B$8:$V$1435,20,FALSE)</f>
        <v>AB</v>
      </c>
      <c r="U80" s="415" t="str">
        <f>VLOOKUP($B80,ALAMAT!$A$1:E335,4)</f>
        <v>Dsn. Jambu Lor RT.006 RW.001 Jambu Kab.Semarang</v>
      </c>
      <c r="X80" s="407">
        <f t="shared" ca="1" si="25"/>
        <v>39</v>
      </c>
      <c r="Y80" s="407">
        <f t="shared" ca="1" si="21"/>
        <v>17</v>
      </c>
    </row>
    <row r="81" spans="1:25" s="407" customFormat="1" ht="12.95" customHeight="1">
      <c r="A81" s="421">
        <v>76</v>
      </c>
      <c r="B81" s="817">
        <v>10308</v>
      </c>
      <c r="C81" s="410" t="str">
        <f>VLOOKUP(B81,MASTER!$B$8:$C$137,2,FALSE)</f>
        <v>AGUS PRIYADI</v>
      </c>
      <c r="D81" s="409" t="s">
        <v>2342</v>
      </c>
      <c r="E81" s="410" t="s">
        <v>224</v>
      </c>
      <c r="F81" s="736" t="s">
        <v>18</v>
      </c>
      <c r="G81" s="411" t="str">
        <f>VLOOKUP(B81,MASTER!$B$8:$H$1435,6,FALSE)</f>
        <v>K</v>
      </c>
      <c r="H81" s="411">
        <f>VLOOKUP(B81,MASTER!$B$8:$H$1435,7,FALSE)</f>
        <v>1</v>
      </c>
      <c r="I81" s="411">
        <f>VLOOKUP(B81,MASTER!$B$8:$V$1435,8,FALSE)</f>
        <v>1</v>
      </c>
      <c r="J81" s="411" t="str">
        <f>VLOOKUP(B81,MASTER!$B$8:$V$1435,9,FALSE)</f>
        <v>L</v>
      </c>
      <c r="K81" s="413">
        <f>VLOOKUP(B81,MASTER!$B$8:$V$1435,11,FALSE)</f>
        <v>29079</v>
      </c>
      <c r="L81" s="422" t="str">
        <f t="shared" ca="1" si="23"/>
        <v>38.8</v>
      </c>
      <c r="M81" s="789" t="s">
        <v>738</v>
      </c>
      <c r="N81" s="413">
        <f>VLOOKUP(B81,MASTER!$B$8:$V$1435,14,FALSE)</f>
        <v>37510</v>
      </c>
      <c r="O81" s="422" t="str">
        <f t="shared" ca="1" si="24"/>
        <v>15.7</v>
      </c>
      <c r="P81" s="413">
        <f>VLOOKUP(B81,MASTER!$B$8:$V$1435,16,FALSE)</f>
        <v>49533</v>
      </c>
      <c r="Q81" s="414" t="str">
        <f>VLOOKUP(B81,MASTER!$B$8:$V$1435,17,FALSE)</f>
        <v>I</v>
      </c>
      <c r="R81" s="411" t="str">
        <f>VLOOKUP(B81,MASTER!$B$8:$V$1435,18,FALSE)</f>
        <v>SMA</v>
      </c>
      <c r="S81" s="411" t="str">
        <f>VLOOKUP(B81,MASTER!$B$8:$V$1435,19,FALSE)</f>
        <v>SLTA</v>
      </c>
      <c r="T81" s="418" t="str">
        <f>VLOOKUP(B81,MASTER!$B$8:$V$1435,20,FALSE)</f>
        <v>-</v>
      </c>
      <c r="U81" s="415" t="str">
        <f>VLOOKUP($B81,ALAMAT!$A$1:E336,4)</f>
        <v>Dk Mirenglor Rt 07 Rw 03 Mireng Trucuk Klaten Jawa tengah</v>
      </c>
      <c r="X81" s="407">
        <f t="shared" ca="1" si="25"/>
        <v>38</v>
      </c>
      <c r="Y81" s="407">
        <f t="shared" ca="1" si="21"/>
        <v>15</v>
      </c>
    </row>
    <row r="82" spans="1:25" s="407" customFormat="1" ht="12.95" customHeight="1">
      <c r="A82" s="408">
        <v>77</v>
      </c>
      <c r="B82" s="821">
        <v>4883</v>
      </c>
      <c r="C82" s="410" t="str">
        <f>VLOOKUP(B82,MASTER!$B$8:$C$137,2,FALSE)</f>
        <v>SUMENENG</v>
      </c>
      <c r="D82" s="409" t="s">
        <v>2518</v>
      </c>
      <c r="E82" s="410" t="s">
        <v>2519</v>
      </c>
      <c r="F82" s="736" t="s">
        <v>18</v>
      </c>
      <c r="G82" s="411" t="str">
        <f>VLOOKUP(B82,MASTER!$B$8:$H$1435,6,FALSE)</f>
        <v>K</v>
      </c>
      <c r="H82" s="411">
        <f>VLOOKUP(B82,MASTER!$B$8:$H$1435,7,FALSE)</f>
        <v>3</v>
      </c>
      <c r="I82" s="411">
        <f>VLOOKUP(B82,MASTER!$B$8:$V$1435,8,FALSE)</f>
        <v>3</v>
      </c>
      <c r="J82" s="411" t="str">
        <f>VLOOKUP(B82,MASTER!$B$8:$V$1435,9,FALSE)</f>
        <v>L</v>
      </c>
      <c r="K82" s="413">
        <f>VLOOKUP(B82,MASTER!$B$8:$V$1435,11,FALSE)</f>
        <v>25733</v>
      </c>
      <c r="L82" s="422" t="str">
        <f t="shared" ca="1" si="23"/>
        <v>47.10</v>
      </c>
      <c r="M82" s="789" t="s">
        <v>748</v>
      </c>
      <c r="N82" s="413">
        <f>VLOOKUP(B82,MASTER!$B$8:$V$1435,14,FALSE)</f>
        <v>32235</v>
      </c>
      <c r="O82" s="422" t="str">
        <f t="shared" ca="1" si="24"/>
        <v>30.0</v>
      </c>
      <c r="P82" s="413">
        <f>VLOOKUP(B82,MASTER!$B$8:$V$1435,16,FALSE)</f>
        <v>46156</v>
      </c>
      <c r="Q82" s="414" t="str">
        <f>VLOOKUP(B82,MASTER!$B$8:$V$1435,17,FALSE)</f>
        <v>I</v>
      </c>
      <c r="R82" s="411" t="str">
        <f>VLOOKUP(B82,MASTER!$B$8:$V$1435,18,FALSE)</f>
        <v>SMP</v>
      </c>
      <c r="S82" s="411" t="str">
        <f>VLOOKUP(B82,MASTER!$B$8:$V$1435,19,FALSE)</f>
        <v>SLTP</v>
      </c>
      <c r="T82" s="418" t="str">
        <f>VLOOKUP(B82,MASTER!$B$8:$V$1435,20,FALSE)</f>
        <v>O</v>
      </c>
      <c r="U82" s="415" t="str">
        <f>VLOOKUP($B82,ALAMAT!$A$1:E337,4)</f>
        <v>Tegalmelik RT.003 RW.002 Gebugan Bergas Kab.Semarang</v>
      </c>
      <c r="X82" s="407">
        <f t="shared" ca="1" si="25"/>
        <v>47</v>
      </c>
      <c r="Y82" s="407">
        <f t="shared" ca="1" si="21"/>
        <v>30</v>
      </c>
    </row>
    <row r="83" spans="1:25" s="407" customFormat="1" ht="12.95" customHeight="1">
      <c r="A83" s="421">
        <v>78</v>
      </c>
      <c r="B83" s="817">
        <v>4664</v>
      </c>
      <c r="C83" s="410" t="str">
        <f>VLOOKUP(B83,MASTER!$B$8:$C$137,2,FALSE)</f>
        <v>KUSDIYONO</v>
      </c>
      <c r="D83" s="409" t="s">
        <v>2344</v>
      </c>
      <c r="E83" s="299" t="s">
        <v>251</v>
      </c>
      <c r="F83" s="736" t="s">
        <v>18</v>
      </c>
      <c r="G83" s="411" t="str">
        <f>VLOOKUP(B83,MASTER!$B$8:$H$1435,6,FALSE)</f>
        <v>K</v>
      </c>
      <c r="H83" s="411">
        <f>VLOOKUP(B83,MASTER!$B$8:$H$1435,7,FALSE)</f>
        <v>5</v>
      </c>
      <c r="I83" s="411">
        <f>VLOOKUP(B83,MASTER!$B$8:$V$1435,8,FALSE)</f>
        <v>3</v>
      </c>
      <c r="J83" s="411" t="str">
        <f>VLOOKUP(B83,MASTER!$B$8:$V$1435,9,FALSE)</f>
        <v>L</v>
      </c>
      <c r="K83" s="413">
        <f>VLOOKUP(B83,MASTER!$B$8:$V$1435,11,FALSE)</f>
        <v>24025</v>
      </c>
      <c r="L83" s="422" t="str">
        <f t="shared" ref="L83:L96" ca="1" si="26">DATEDIF(K83,TODAY(),"Y") &amp; "." &amp;DATEDIF(K83,TODAY(),"YM")</f>
        <v>52.6</v>
      </c>
      <c r="M83" s="789" t="s">
        <v>753</v>
      </c>
      <c r="N83" s="413">
        <f>VLOOKUP(B83,MASTER!$B$8:$V$1435,14,FALSE)</f>
        <v>32025</v>
      </c>
      <c r="O83" s="422" t="str">
        <f t="shared" ref="O83:O96" ca="1" si="27">DATEDIF(N83,TODAY(),"Y") &amp; "." &amp;DATEDIF(N83,TODAY(),"YM")</f>
        <v>30.7</v>
      </c>
      <c r="P83" s="413">
        <f>VLOOKUP(B83,MASTER!$B$8:$V$1435,16,FALSE)</f>
        <v>44844</v>
      </c>
      <c r="Q83" s="414" t="str">
        <f>VLOOKUP(B83,MASTER!$B$8:$V$1435,17,FALSE)</f>
        <v>I</v>
      </c>
      <c r="R83" s="411" t="str">
        <f>VLOOKUP(B83,MASTER!$B$8:$V$1435,18,FALSE)</f>
        <v>SMA</v>
      </c>
      <c r="S83" s="411" t="str">
        <f>VLOOKUP(B83,MASTER!$B$8:$V$1435,19,FALSE)</f>
        <v>S1</v>
      </c>
      <c r="T83" s="418" t="str">
        <f>VLOOKUP(B83,MASTER!$B$8:$V$1435,20,FALSE)</f>
        <v>B</v>
      </c>
      <c r="U83" s="415" t="str">
        <f>VLOOKUP($B83,ALAMAT!$A$1:E340,4)</f>
        <v>Plamongan Indah Blok H4 No.14 RT.006 RW.031 Batursari Mranggen Demak</v>
      </c>
      <c r="X83" s="407">
        <f t="shared" ca="1" si="25"/>
        <v>52</v>
      </c>
      <c r="Y83" s="407">
        <f t="shared" ca="1" si="21"/>
        <v>30</v>
      </c>
    </row>
    <row r="84" spans="1:25" s="407" customFormat="1" ht="12.95" customHeight="1">
      <c r="A84" s="408">
        <v>79</v>
      </c>
      <c r="B84" s="817">
        <v>7693</v>
      </c>
      <c r="C84" s="410" t="str">
        <f>VLOOKUP(B84,MASTER!$B$8:$C$137,2,FALSE)</f>
        <v>AGOES SUMARSONO</v>
      </c>
      <c r="D84" s="409" t="s">
        <v>2340</v>
      </c>
      <c r="E84" s="410" t="s">
        <v>254</v>
      </c>
      <c r="F84" s="736" t="s">
        <v>18</v>
      </c>
      <c r="G84" s="411" t="str">
        <f>VLOOKUP(B84,MASTER!$B$8:$H$1435,6,FALSE)</f>
        <v>K</v>
      </c>
      <c r="H84" s="411">
        <f>VLOOKUP(B84,MASTER!$B$8:$H$1435,7,FALSE)</f>
        <v>2</v>
      </c>
      <c r="I84" s="411">
        <f>VLOOKUP(B84,MASTER!$B$8:$V$1435,8,FALSE)</f>
        <v>2</v>
      </c>
      <c r="J84" s="411" t="str">
        <f>VLOOKUP(B84,MASTER!$B$8:$V$1435,9,FALSE)</f>
        <v>L</v>
      </c>
      <c r="K84" s="413">
        <f>VLOOKUP(B84,MASTER!$B$8:$V$1435,11,FALSE)</f>
        <v>26528</v>
      </c>
      <c r="L84" s="422" t="str">
        <f t="shared" ca="1" si="26"/>
        <v>45.8</v>
      </c>
      <c r="M84" s="789" t="s">
        <v>2816</v>
      </c>
      <c r="N84" s="413">
        <f>VLOOKUP(B84,MASTER!$B$8:$V$1435,14,FALSE)</f>
        <v>34648</v>
      </c>
      <c r="O84" s="422" t="str">
        <f t="shared" ca="1" si="27"/>
        <v>23.5</v>
      </c>
      <c r="P84" s="413">
        <f>VLOOKUP(B84,MASTER!$B$8:$V$1435,16,FALSE)</f>
        <v>46982</v>
      </c>
      <c r="Q84" s="414" t="str">
        <f>VLOOKUP(B84,MASTER!$B$8:$V$1435,17,FALSE)</f>
        <v>I</v>
      </c>
      <c r="R84" s="411" t="str">
        <f>VLOOKUP(B84,MASTER!$B$8:$V$1435,18,FALSE)</f>
        <v>STM</v>
      </c>
      <c r="S84" s="411" t="str">
        <f>VLOOKUP(B84,MASTER!$B$8:$V$1435,19,FALSE)</f>
        <v>S1</v>
      </c>
      <c r="T84" s="418" t="str">
        <f>VLOOKUP(B84,MASTER!$B$8:$V$1435,20,FALSE)</f>
        <v>B</v>
      </c>
      <c r="U84" s="415" t="str">
        <f>VLOOKUP($B84,ALAMAT!$A$1:E341,4)</f>
        <v>Jl.Seudati II Blok C12 P.4A RT.004 RW.011 Pudakpayung BanyumanikSemarang</v>
      </c>
      <c r="X84" s="407">
        <f t="shared" ca="1" si="25"/>
        <v>45</v>
      </c>
      <c r="Y84" s="407">
        <f t="shared" ca="1" si="21"/>
        <v>23</v>
      </c>
    </row>
    <row r="85" spans="1:25" s="407" customFormat="1" ht="12.95" customHeight="1">
      <c r="A85" s="421">
        <v>80</v>
      </c>
      <c r="B85" s="821">
        <v>3766</v>
      </c>
      <c r="C85" s="410" t="str">
        <f>VLOOKUP(B85,MASTER!$B$8:$C$137,2,FALSE)</f>
        <v>ARI PRIBADI</v>
      </c>
      <c r="D85" s="409" t="s">
        <v>2340</v>
      </c>
      <c r="E85" s="410" t="s">
        <v>254</v>
      </c>
      <c r="F85" s="736" t="s">
        <v>18</v>
      </c>
      <c r="G85" s="411" t="str">
        <f>VLOOKUP(B85,MASTER!$B$8:$H$1435,6,FALSE)</f>
        <v>K</v>
      </c>
      <c r="H85" s="411">
        <f>VLOOKUP(B85,MASTER!$B$8:$H$1435,7,FALSE)</f>
        <v>3</v>
      </c>
      <c r="I85" s="411">
        <f>VLOOKUP(B85,MASTER!$B$8:$V$1435,8,FALSE)</f>
        <v>2</v>
      </c>
      <c r="J85" s="411" t="str">
        <f>VLOOKUP(B85,MASTER!$B$8:$V$1435,9,FALSE)</f>
        <v>L</v>
      </c>
      <c r="K85" s="413">
        <f>VLOOKUP(B85,MASTER!$B$8:$V$1435,11,FALSE)</f>
        <v>23273</v>
      </c>
      <c r="L85" s="422" t="str">
        <f t="shared" ca="1" si="26"/>
        <v>54.7</v>
      </c>
      <c r="M85" s="789" t="s">
        <v>755</v>
      </c>
      <c r="N85" s="413">
        <f>VLOOKUP(B85,MASTER!$B$8:$V$1435,14,FALSE)</f>
        <v>31603</v>
      </c>
      <c r="O85" s="422" t="str">
        <f t="shared" ca="1" si="27"/>
        <v>31.9</v>
      </c>
      <c r="P85" s="413">
        <f>VLOOKUP(B85,MASTER!$B$8:$V$1435,16,FALSE)</f>
        <v>43727</v>
      </c>
      <c r="Q85" s="414" t="str">
        <f>VLOOKUP(B85,MASTER!$B$8:$V$1435,17,FALSE)</f>
        <v>I</v>
      </c>
      <c r="R85" s="411" t="str">
        <f>VLOOKUP(B85,MASTER!$B$8:$V$1435,18,FALSE)</f>
        <v>STM</v>
      </c>
      <c r="S85" s="411" t="str">
        <f>VLOOKUP(B85,MASTER!$B$8:$V$1435,19,FALSE)</f>
        <v>S1</v>
      </c>
      <c r="T85" s="418" t="str">
        <f>VLOOKUP(B85,MASTER!$B$8:$V$1435,20,FALSE)</f>
        <v>B</v>
      </c>
      <c r="U85" s="415" t="str">
        <f>VLOOKUP($B85,ALAMAT!$A$1:E342,4)</f>
        <v>Jl.Tmn Borobudur Utara RT.003 RW.010 Kembangarum Semarang Barat</v>
      </c>
      <c r="X85" s="407">
        <f t="shared" ca="1" si="25"/>
        <v>54</v>
      </c>
      <c r="Y85" s="407">
        <f t="shared" ca="1" si="21"/>
        <v>31</v>
      </c>
    </row>
    <row r="86" spans="1:25" s="407" customFormat="1" ht="12.95" customHeight="1">
      <c r="A86" s="408">
        <v>81</v>
      </c>
      <c r="B86" s="821">
        <v>5883</v>
      </c>
      <c r="C86" s="410" t="str">
        <f>VLOOKUP(B86,MASTER!$B$8:$C$137,2,FALSE)</f>
        <v>ENI KUSRINI</v>
      </c>
      <c r="D86" s="409" t="s">
        <v>2340</v>
      </c>
      <c r="E86" s="410" t="s">
        <v>254</v>
      </c>
      <c r="F86" s="736" t="s">
        <v>18</v>
      </c>
      <c r="G86" s="411" t="str">
        <f>VLOOKUP(B86,MASTER!$B$8:$H$1435,6,FALSE)</f>
        <v>J</v>
      </c>
      <c r="H86" s="411">
        <f>VLOOKUP(B86,MASTER!$B$8:$H$1435,7,FALSE)</f>
        <v>1</v>
      </c>
      <c r="I86" s="411">
        <f>VLOOKUP(B86,MASTER!$B$8:$V$1435,8,FALSE)</f>
        <v>1</v>
      </c>
      <c r="J86" s="411" t="str">
        <f>VLOOKUP(B86,MASTER!$B$8:$V$1435,9,FALSE)</f>
        <v>P</v>
      </c>
      <c r="K86" s="413">
        <f>VLOOKUP(B86,MASTER!$B$8:$V$1435,11,FALSE)</f>
        <v>25803</v>
      </c>
      <c r="L86" s="422" t="str">
        <f t="shared" ca="1" si="26"/>
        <v>47.8</v>
      </c>
      <c r="M86" s="789" t="s">
        <v>748</v>
      </c>
      <c r="N86" s="413">
        <f>VLOOKUP(B86,MASTER!$B$8:$V$1435,14,FALSE)</f>
        <v>32860</v>
      </c>
      <c r="O86" s="422" t="str">
        <f t="shared" ca="1" si="27"/>
        <v>28.4</v>
      </c>
      <c r="P86" s="413">
        <f>VLOOKUP(B86,MASTER!$B$8:$V$1435,16,FALSE)</f>
        <v>46257</v>
      </c>
      <c r="Q86" s="414" t="str">
        <f>VLOOKUP(B86,MASTER!$B$8:$V$1435,17,FALSE)</f>
        <v>I</v>
      </c>
      <c r="R86" s="411" t="str">
        <f>VLOOKUP(B86,MASTER!$B$8:$V$1435,18,FALSE)</f>
        <v>SMA</v>
      </c>
      <c r="S86" s="411" t="str">
        <f>VLOOKUP(B86,MASTER!$B$8:$V$1435,19,FALSE)</f>
        <v>S2</v>
      </c>
      <c r="T86" s="418" t="str">
        <f>VLOOKUP(B86,MASTER!$B$8:$V$1435,20,FALSE)</f>
        <v>O</v>
      </c>
      <c r="U86" s="415" t="str">
        <f>VLOOKUP($B86,ALAMAT!$A$1:E343,4)</f>
        <v>Karangrejo Raya 10 RT.001 RW.005 Banyumanik Semarang</v>
      </c>
      <c r="X86" s="407">
        <f t="shared" ca="1" si="25"/>
        <v>47</v>
      </c>
      <c r="Y86" s="407">
        <f t="shared" ca="1" si="21"/>
        <v>28</v>
      </c>
    </row>
    <row r="87" spans="1:25" s="407" customFormat="1" ht="12.75">
      <c r="A87" s="421">
        <v>82</v>
      </c>
      <c r="B87" s="821">
        <v>7641</v>
      </c>
      <c r="C87" s="410" t="str">
        <f>VLOOKUP(B87,MASTER!$B$8:$C$137,2,FALSE)</f>
        <v>JANSEN JAYA ROLAS H</v>
      </c>
      <c r="D87" s="409" t="s">
        <v>2340</v>
      </c>
      <c r="E87" s="410" t="s">
        <v>254</v>
      </c>
      <c r="F87" s="736" t="s">
        <v>18</v>
      </c>
      <c r="G87" s="411" t="str">
        <f>VLOOKUP(B87,MASTER!$B$8:$H$1435,6,FALSE)</f>
        <v>K</v>
      </c>
      <c r="H87" s="411">
        <f>VLOOKUP(B87,MASTER!$B$8:$H$1435,7,FALSE)</f>
        <v>2</v>
      </c>
      <c r="I87" s="411">
        <f>VLOOKUP(B87,MASTER!$B$8:$V$1435,8,FALSE)</f>
        <v>2</v>
      </c>
      <c r="J87" s="411" t="str">
        <f>VLOOKUP(B87,MASTER!$B$8:$V$1435,9,FALSE)</f>
        <v>L</v>
      </c>
      <c r="K87" s="413">
        <f>VLOOKUP(B87,MASTER!$B$8:$V$1435,11,FALSE)</f>
        <v>27771</v>
      </c>
      <c r="L87" s="422" t="str">
        <f t="shared" ca="1" si="26"/>
        <v>42.3</v>
      </c>
      <c r="M87" s="789" t="s">
        <v>742</v>
      </c>
      <c r="N87" s="413">
        <f>VLOOKUP(B87,MASTER!$B$8:$V$1435,14,FALSE)</f>
        <v>34648</v>
      </c>
      <c r="O87" s="422" t="str">
        <f t="shared" ca="1" si="27"/>
        <v>23.5</v>
      </c>
      <c r="P87" s="413">
        <f>VLOOKUP(B87,MASTER!$B$8:$V$1435,16,FALSE)</f>
        <v>48225</v>
      </c>
      <c r="Q87" s="414" t="str">
        <f>VLOOKUP(B87,MASTER!$B$8:$V$1435,17,FALSE)</f>
        <v>I</v>
      </c>
      <c r="R87" s="411" t="str">
        <f>VLOOKUP(B87,MASTER!$B$8:$V$1435,18,FALSE)</f>
        <v>SMA</v>
      </c>
      <c r="S87" s="411" t="str">
        <f>VLOOKUP(B87,MASTER!$B$8:$V$1435,19,FALSE)</f>
        <v>S1</v>
      </c>
      <c r="T87" s="418" t="str">
        <f>VLOOKUP(B87,MASTER!$B$8:$V$1435,20,FALSE)</f>
        <v>-</v>
      </c>
      <c r="U87" s="415" t="str">
        <f>VLOOKUP($B87,ALAMAT!$A$1:E344,4)</f>
        <v xml:space="preserve">P4A  Blok F-123 JL Gambyong 007/011 Semarang </v>
      </c>
      <c r="X87" s="407">
        <f t="shared" ca="1" si="25"/>
        <v>42</v>
      </c>
      <c r="Y87" s="407">
        <f t="shared" ca="1" si="21"/>
        <v>23</v>
      </c>
    </row>
    <row r="88" spans="1:25" s="407" customFormat="1" ht="12.95" customHeight="1">
      <c r="A88" s="408">
        <v>83</v>
      </c>
      <c r="B88" s="817">
        <v>7502</v>
      </c>
      <c r="C88" s="410" t="str">
        <f>VLOOKUP(B88,MASTER!$B$8:$C$137,2,FALSE)</f>
        <v>MARYONO</v>
      </c>
      <c r="D88" s="409" t="s">
        <v>2340</v>
      </c>
      <c r="E88" s="410" t="s">
        <v>254</v>
      </c>
      <c r="F88" s="736" t="s">
        <v>18</v>
      </c>
      <c r="G88" s="411" t="str">
        <f>VLOOKUP(B88,MASTER!$B$8:$H$1435,6,FALSE)</f>
        <v>K</v>
      </c>
      <c r="H88" s="411">
        <f>VLOOKUP(B88,MASTER!$B$8:$H$1435,7,FALSE)</f>
        <v>3</v>
      </c>
      <c r="I88" s="411">
        <f>VLOOKUP(B88,MASTER!$B$8:$V$1435,8,FALSE)</f>
        <v>3</v>
      </c>
      <c r="J88" s="411" t="str">
        <f>VLOOKUP(B88,MASTER!$B$8:$V$1435,9,FALSE)</f>
        <v>L</v>
      </c>
      <c r="K88" s="413">
        <f>VLOOKUP(B88,MASTER!$B$8:$V$1435,11,FALSE)</f>
        <v>26728</v>
      </c>
      <c r="L88" s="422" t="str">
        <f t="shared" ca="1" si="26"/>
        <v>45.1</v>
      </c>
      <c r="M88" s="789" t="s">
        <v>745</v>
      </c>
      <c r="N88" s="413">
        <f>VLOOKUP(B88,MASTER!$B$8:$V$1435,14,FALSE)</f>
        <v>34608</v>
      </c>
      <c r="O88" s="422" t="str">
        <f t="shared" ca="1" si="27"/>
        <v>23.6</v>
      </c>
      <c r="P88" s="413">
        <f>VLOOKUP(B88,MASTER!$B$8:$V$1435,16,FALSE)</f>
        <v>46817</v>
      </c>
      <c r="Q88" s="414" t="str">
        <f>VLOOKUP(B88,MASTER!$B$8:$V$1435,17,FALSE)</f>
        <v>I</v>
      </c>
      <c r="R88" s="411" t="str">
        <f>VLOOKUP(B88,MASTER!$B$8:$V$1435,18,FALSE)</f>
        <v>SMA</v>
      </c>
      <c r="S88" s="411" t="str">
        <f>VLOOKUP(B88,MASTER!$B$8:$V$1435,19,FALSE)</f>
        <v>SLTA</v>
      </c>
      <c r="T88" s="418" t="str">
        <f>VLOOKUP(B88,MASTER!$B$8:$V$1435,20,FALSE)</f>
        <v>-</v>
      </c>
      <c r="U88" s="415" t="str">
        <f>VLOOKUP($B88,ALAMAT!$A$1:E345,4)</f>
        <v>Randusari RT.005 RW.005 Tambak Mojosongo Boyolali</v>
      </c>
      <c r="X88" s="407">
        <f t="shared" ca="1" si="25"/>
        <v>45</v>
      </c>
      <c r="Y88" s="407">
        <f t="shared" ca="1" si="21"/>
        <v>23</v>
      </c>
    </row>
    <row r="89" spans="1:25" s="407" customFormat="1" ht="12" customHeight="1">
      <c r="A89" s="421">
        <v>84</v>
      </c>
      <c r="B89" s="817">
        <v>9517</v>
      </c>
      <c r="C89" s="410" t="str">
        <f>VLOOKUP(B89,MASTER!$B$8:$C$137,2,FALSE)</f>
        <v>HERA SUSANTI</v>
      </c>
      <c r="D89" s="409" t="s">
        <v>2340</v>
      </c>
      <c r="E89" s="410" t="s">
        <v>254</v>
      </c>
      <c r="F89" s="736" t="s">
        <v>18</v>
      </c>
      <c r="G89" s="411" t="str">
        <f>VLOOKUP(B89,MASTER!$B$8:$H$1435,6,FALSE)</f>
        <v>K</v>
      </c>
      <c r="H89" s="411">
        <f>VLOOKUP(B89,MASTER!$B$8:$H$1435,7,FALSE)</f>
        <v>1</v>
      </c>
      <c r="I89" s="411">
        <f>VLOOKUP(B89,MASTER!$B$8:$V$1435,8,FALSE)</f>
        <v>1</v>
      </c>
      <c r="J89" s="411" t="str">
        <f>VLOOKUP(B89,MASTER!$B$8:$V$1435,9,FALSE)</f>
        <v>P</v>
      </c>
      <c r="K89" s="413">
        <f>VLOOKUP(B89,MASTER!$B$8:$V$1435,11,FALSE)</f>
        <v>29063</v>
      </c>
      <c r="L89" s="422" t="str">
        <f t="shared" ca="1" si="26"/>
        <v>38.9</v>
      </c>
      <c r="M89" s="789" t="s">
        <v>739</v>
      </c>
      <c r="N89" s="413">
        <f>VLOOKUP(B89,MASTER!$B$8:$V$1435,14,FALSE)</f>
        <v>35807</v>
      </c>
      <c r="O89" s="422" t="str">
        <f t="shared" ca="1" si="27"/>
        <v>20.3</v>
      </c>
      <c r="P89" s="413">
        <f>VLOOKUP(B89,MASTER!$B$8:$V$1435,16,FALSE)</f>
        <v>49517</v>
      </c>
      <c r="Q89" s="414" t="str">
        <f>VLOOKUP(B89,MASTER!$B$8:$V$1435,17,FALSE)</f>
        <v>I</v>
      </c>
      <c r="R89" s="411" t="str">
        <f>VLOOKUP(B89,MASTER!$B$8:$V$1435,18,FALSE)</f>
        <v>SMA</v>
      </c>
      <c r="S89" s="411" t="str">
        <f>VLOOKUP(B89,MASTER!$B$8:$V$1435,19,FALSE)</f>
        <v>SLTA</v>
      </c>
      <c r="T89" s="418" t="str">
        <f>VLOOKUP(B89,MASTER!$B$8:$V$1435,20,FALSE)</f>
        <v>O</v>
      </c>
      <c r="U89" s="415" t="str">
        <f>VLOOKUP($B89,ALAMAT!$A$1:E346,4)</f>
        <v>Jl.Jatiluhur No.256 RT.003 RW.005 Ngesrep Banyumanik</v>
      </c>
      <c r="X89" s="407">
        <f t="shared" ca="1" si="25"/>
        <v>38</v>
      </c>
      <c r="Y89" s="407">
        <f t="shared" ca="1" si="21"/>
        <v>20</v>
      </c>
    </row>
    <row r="90" spans="1:25" s="407" customFormat="1" ht="12.95" customHeight="1">
      <c r="A90" s="408">
        <v>85</v>
      </c>
      <c r="B90" s="821">
        <v>8745</v>
      </c>
      <c r="C90" s="410" t="str">
        <f>VLOOKUP(B90,MASTER!$B$8:$C$137,2,FALSE)</f>
        <v>SUDARMONO</v>
      </c>
      <c r="D90" s="409" t="s">
        <v>2340</v>
      </c>
      <c r="E90" s="410" t="s">
        <v>254</v>
      </c>
      <c r="F90" s="736" t="s">
        <v>18</v>
      </c>
      <c r="G90" s="411" t="str">
        <f>VLOOKUP(B90,MASTER!$B$8:$H$1435,6,FALSE)</f>
        <v>K</v>
      </c>
      <c r="H90" s="411">
        <f>VLOOKUP(B90,MASTER!$B$8:$H$1435,7,FALSE)</f>
        <v>2</v>
      </c>
      <c r="I90" s="411">
        <f>VLOOKUP(B90,MASTER!$B$8:$V$1435,8,FALSE)</f>
        <v>2</v>
      </c>
      <c r="J90" s="411" t="str">
        <f>VLOOKUP(B90,MASTER!$B$8:$V$1435,9,FALSE)</f>
        <v>L</v>
      </c>
      <c r="K90" s="413">
        <f>VLOOKUP(B90,MASTER!$B$8:$V$1435,11,FALSE)</f>
        <v>27529</v>
      </c>
      <c r="L90" s="422" t="str">
        <f t="shared" ca="1" si="26"/>
        <v>42.11</v>
      </c>
      <c r="M90" s="789" t="s">
        <v>743</v>
      </c>
      <c r="N90" s="413">
        <f>VLOOKUP(B90,MASTER!$B$8:$V$1435,14,FALSE)</f>
        <v>35241</v>
      </c>
      <c r="O90" s="422" t="str">
        <f t="shared" ca="1" si="27"/>
        <v>21.10</v>
      </c>
      <c r="P90" s="413">
        <f>VLOOKUP(B90,MASTER!$B$8:$V$1435,16,FALSE)</f>
        <v>47983</v>
      </c>
      <c r="Q90" s="414" t="str">
        <f>VLOOKUP(B90,MASTER!$B$8:$V$1435,17,FALSE)</f>
        <v>I</v>
      </c>
      <c r="R90" s="411" t="str">
        <f>VLOOKUP(B90,MASTER!$B$8:$V$1435,18,FALSE)</f>
        <v>SMEA</v>
      </c>
      <c r="S90" s="411" t="str">
        <f>VLOOKUP(B90,MASTER!$B$8:$V$1435,19,FALSE)</f>
        <v>S1</v>
      </c>
      <c r="T90" s="418" t="str">
        <f>VLOOKUP(B90,MASTER!$B$8:$V$1435,20,FALSE)</f>
        <v>-</v>
      </c>
      <c r="U90" s="415" t="str">
        <f>VLOOKUP($B90,ALAMAT!$A$1:E347,4)</f>
        <v>Perum P4 A Bl C1 No 20 Rt 10 Rw 11 Pudakpayung Banyumanik semarang</v>
      </c>
      <c r="X90" s="407">
        <f t="shared" ca="1" si="25"/>
        <v>42</v>
      </c>
      <c r="Y90" s="407">
        <f t="shared" ca="1" si="21"/>
        <v>21</v>
      </c>
    </row>
    <row r="91" spans="1:25" s="407" customFormat="1" ht="12.95" customHeight="1">
      <c r="A91" s="421">
        <v>86</v>
      </c>
      <c r="B91" s="817">
        <v>8265</v>
      </c>
      <c r="C91" s="410" t="str">
        <f>VLOOKUP(B91,MASTER!$B$8:$C$137,2,FALSE)</f>
        <v>YULI DWI ADIHARSONO</v>
      </c>
      <c r="D91" s="409" t="s">
        <v>2340</v>
      </c>
      <c r="E91" s="410" t="s">
        <v>254</v>
      </c>
      <c r="F91" s="736" t="s">
        <v>18</v>
      </c>
      <c r="G91" s="411" t="str">
        <f>VLOOKUP(B91,MASTER!$B$8:$H$1435,6,FALSE)</f>
        <v>K</v>
      </c>
      <c r="H91" s="411">
        <f>VLOOKUP(B91,MASTER!$B$8:$H$1435,7,FALSE)</f>
        <v>2</v>
      </c>
      <c r="I91" s="411">
        <f>VLOOKUP(B91,MASTER!$B$8:$V$1435,8,FALSE)</f>
        <v>2</v>
      </c>
      <c r="J91" s="411" t="str">
        <f>VLOOKUP(B91,MASTER!$B$8:$V$1435,9,FALSE)</f>
        <v>L</v>
      </c>
      <c r="K91" s="413">
        <f>VLOOKUP(B91,MASTER!$B$8:$V$1435,11,FALSE)</f>
        <v>27599</v>
      </c>
      <c r="L91" s="422" t="str">
        <f t="shared" ca="1" si="26"/>
        <v>42.9</v>
      </c>
      <c r="M91" s="789" t="s">
        <v>743</v>
      </c>
      <c r="N91" s="413">
        <f>VLOOKUP(B91,MASTER!$B$8:$V$1435,14,FALSE)</f>
        <v>35047</v>
      </c>
      <c r="O91" s="422" t="str">
        <f t="shared" ca="1" si="27"/>
        <v>22.4</v>
      </c>
      <c r="P91" s="413">
        <f>VLOOKUP(B91,MASTER!$B$8:$V$1435,16,FALSE)</f>
        <v>48053</v>
      </c>
      <c r="Q91" s="414" t="str">
        <f>VLOOKUP(B91,MASTER!$B$8:$V$1435,17,FALSE)</f>
        <v>I</v>
      </c>
      <c r="R91" s="411" t="str">
        <f>VLOOKUP(B91,MASTER!$B$8:$V$1435,18,FALSE)</f>
        <v>SMA</v>
      </c>
      <c r="S91" s="411" t="str">
        <f>VLOOKUP(B91,MASTER!$B$8:$V$1435,19,FALSE)</f>
        <v>SLTA</v>
      </c>
      <c r="T91" s="418" t="str">
        <f>VLOOKUP(B91,MASTER!$B$8:$V$1435,20,FALSE)</f>
        <v>-</v>
      </c>
      <c r="U91" s="415" t="str">
        <f>VLOOKUP($B91,ALAMAT!$A$1:E348,4)</f>
        <v>Jl.Muria No.12 RT.003 RW.007 Bendan Pekalongan Barat</v>
      </c>
      <c r="X91" s="407">
        <f t="shared" ca="1" si="25"/>
        <v>42</v>
      </c>
      <c r="Y91" s="407">
        <f t="shared" ca="1" si="21"/>
        <v>22</v>
      </c>
    </row>
    <row r="92" spans="1:25" s="407" customFormat="1" ht="12.95" customHeight="1">
      <c r="A92" s="408">
        <v>87</v>
      </c>
      <c r="B92" s="817">
        <v>7870</v>
      </c>
      <c r="C92" s="410" t="str">
        <f>VLOOKUP(B92,MASTER!$B$8:$C$137,2,FALSE)</f>
        <v>HERY MURYANTO</v>
      </c>
      <c r="D92" s="409" t="s">
        <v>2340</v>
      </c>
      <c r="E92" s="410" t="s">
        <v>254</v>
      </c>
      <c r="F92" s="736" t="s">
        <v>18</v>
      </c>
      <c r="G92" s="411" t="str">
        <f>VLOOKUP(B92,MASTER!$B$8:$H$1435,6,FALSE)</f>
        <v>K</v>
      </c>
      <c r="H92" s="411">
        <f>VLOOKUP(B92,MASTER!$B$8:$H$1435,7,FALSE)</f>
        <v>3</v>
      </c>
      <c r="I92" s="411">
        <f>VLOOKUP(B92,MASTER!$B$8:$V$1435,8,FALSE)</f>
        <v>3</v>
      </c>
      <c r="J92" s="411" t="str">
        <f>VLOOKUP(B92,MASTER!$B$8:$V$1435,9,FALSE)</f>
        <v>L</v>
      </c>
      <c r="K92" s="413">
        <f>VLOOKUP(B92,MASTER!$B$8:$V$1435,11,FALSE)</f>
        <v>27578</v>
      </c>
      <c r="L92" s="422" t="str">
        <f t="shared" ca="1" si="26"/>
        <v>42.9</v>
      </c>
      <c r="M92" s="789" t="s">
        <v>743</v>
      </c>
      <c r="N92" s="413">
        <f>VLOOKUP(B92,MASTER!$B$8:$V$1435,14,FALSE)</f>
        <v>34759</v>
      </c>
      <c r="O92" s="422" t="str">
        <f t="shared" ca="1" si="27"/>
        <v>23.1</v>
      </c>
      <c r="P92" s="413">
        <f>VLOOKUP(B92,MASTER!$B$8:$V$1435,16,FALSE)</f>
        <v>48032</v>
      </c>
      <c r="Q92" s="414" t="str">
        <f>VLOOKUP(B92,MASTER!$B$8:$V$1435,17,FALSE)</f>
        <v>I</v>
      </c>
      <c r="R92" s="411" t="str">
        <f>VLOOKUP(B92,MASTER!$B$8:$V$1435,18,FALSE)</f>
        <v>SMA</v>
      </c>
      <c r="S92" s="411" t="str">
        <f>VLOOKUP(B92,MASTER!$B$8:$V$1435,19,FALSE)</f>
        <v>SLTA</v>
      </c>
      <c r="T92" s="418" t="str">
        <f>VLOOKUP(B92,MASTER!$B$8:$V$1435,20,FALSE)</f>
        <v>-</v>
      </c>
      <c r="U92" s="415" t="str">
        <f>VLOOKUP($B92,ALAMAT!$A$1:E349,4)</f>
        <v>Jl. R.A Kartini no.12 RT.001 RW.008 Slawi Kulon, Slawi, Kab.Tegal</v>
      </c>
      <c r="X92" s="407">
        <f t="shared" ca="1" si="25"/>
        <v>42</v>
      </c>
      <c r="Y92" s="407">
        <f t="shared" ca="1" si="21"/>
        <v>23</v>
      </c>
    </row>
    <row r="93" spans="1:25" s="407" customFormat="1" ht="12.95" customHeight="1">
      <c r="A93" s="421">
        <v>88</v>
      </c>
      <c r="B93" s="817">
        <v>9667</v>
      </c>
      <c r="C93" s="410" t="str">
        <f>VLOOKUP(B93,MASTER!$B$8:$C$137,2,FALSE)</f>
        <v>MULATO</v>
      </c>
      <c r="D93" s="409" t="s">
        <v>2340</v>
      </c>
      <c r="E93" s="410" t="s">
        <v>254</v>
      </c>
      <c r="F93" s="736" t="s">
        <v>18</v>
      </c>
      <c r="G93" s="411" t="str">
        <f>VLOOKUP(B93,MASTER!$B$8:$H$1435,6,FALSE)</f>
        <v>K</v>
      </c>
      <c r="H93" s="411">
        <f>VLOOKUP(B93,MASTER!$B$8:$H$1435,7,FALSE)</f>
        <v>2</v>
      </c>
      <c r="I93" s="411">
        <f>VLOOKUP(B93,MASTER!$B$8:$V$1435,8,FALSE)</f>
        <v>2</v>
      </c>
      <c r="J93" s="411" t="str">
        <f>VLOOKUP(B93,MASTER!$B$8:$V$1435,9,FALSE)</f>
        <v>L</v>
      </c>
      <c r="K93" s="413">
        <f>VLOOKUP(B93,MASTER!$B$8:$V$1435,11,FALSE)</f>
        <v>28920</v>
      </c>
      <c r="L93" s="422" t="str">
        <f t="shared" ca="1" si="26"/>
        <v>39.1</v>
      </c>
      <c r="M93" s="789" t="s">
        <v>740</v>
      </c>
      <c r="N93" s="413">
        <f>VLOOKUP(B93,MASTER!$B$8:$V$1435,14,FALSE)</f>
        <v>35950</v>
      </c>
      <c r="O93" s="422" t="str">
        <f t="shared" ca="1" si="27"/>
        <v>19.10</v>
      </c>
      <c r="P93" s="413">
        <f>VLOOKUP(B93,MASTER!$B$8:$V$1435,16,FALSE)</f>
        <v>49374</v>
      </c>
      <c r="Q93" s="414" t="str">
        <f>VLOOKUP(B93,MASTER!$B$8:$V$1435,17,FALSE)</f>
        <v>I</v>
      </c>
      <c r="R93" s="411" t="str">
        <f>VLOOKUP(B93,MASTER!$B$8:$V$1435,18,FALSE)</f>
        <v>SMEA</v>
      </c>
      <c r="S93" s="411" t="str">
        <f>VLOOKUP(B93,MASTER!$B$8:$V$1435,19,FALSE)</f>
        <v>S1</v>
      </c>
      <c r="T93" s="418" t="str">
        <f>VLOOKUP(B93,MASTER!$B$8:$V$1435,20,FALSE)</f>
        <v>O</v>
      </c>
      <c r="U93" s="415" t="str">
        <f>VLOOKUP($B93,ALAMAT!$A$1:E350,4)</f>
        <v>Perum Griya Payung Asri Kav.64 RT.001 RW.016 Pudak Payung Banyumanik Semarang</v>
      </c>
      <c r="X93" s="407">
        <f t="shared" ca="1" si="25"/>
        <v>39</v>
      </c>
      <c r="Y93" s="407">
        <f t="shared" ca="1" si="21"/>
        <v>19</v>
      </c>
    </row>
    <row r="94" spans="1:25" s="407" customFormat="1" ht="12.95" customHeight="1">
      <c r="A94" s="408">
        <v>89</v>
      </c>
      <c r="B94" s="817">
        <v>7682</v>
      </c>
      <c r="C94" s="410" t="str">
        <f>VLOOKUP(B94,MASTER!$B$8:$C$137,2,FALSE)</f>
        <v>PENDI SETYO NOGROHO</v>
      </c>
      <c r="D94" s="409" t="s">
        <v>2340</v>
      </c>
      <c r="E94" s="410" t="s">
        <v>254</v>
      </c>
      <c r="F94" s="411" t="s">
        <v>18</v>
      </c>
      <c r="G94" s="411" t="str">
        <f>VLOOKUP(B94,MASTER!$B$8:$H$1435,6,FALSE)</f>
        <v>K</v>
      </c>
      <c r="H94" s="411">
        <f>VLOOKUP(B94,MASTER!$B$8:$H$1435,7,FALSE)</f>
        <v>1</v>
      </c>
      <c r="I94" s="411">
        <f>VLOOKUP(B94,MASTER!$B$8:$V$1435,8,FALSE)</f>
        <v>1</v>
      </c>
      <c r="J94" s="411" t="str">
        <f>VLOOKUP(B94,MASTER!$B$8:$V$1435,9,FALSE)</f>
        <v>L</v>
      </c>
      <c r="K94" s="413">
        <f>VLOOKUP(B94,MASTER!$B$8:$V$1435,11,FALSE)</f>
        <v>27686</v>
      </c>
      <c r="L94" s="422" t="str">
        <f t="shared" ca="1" si="26"/>
        <v>42.6</v>
      </c>
      <c r="M94" s="789" t="s">
        <v>743</v>
      </c>
      <c r="N94" s="413">
        <f>VLOOKUP(B94,MASTER!$B$8:$V$1435,14,FALSE)</f>
        <v>34648</v>
      </c>
      <c r="O94" s="422" t="str">
        <f t="shared" ca="1" si="27"/>
        <v>23.5</v>
      </c>
      <c r="P94" s="413">
        <f>VLOOKUP(B94,MASTER!$B$8:$V$1435,16,FALSE)</f>
        <v>48140</v>
      </c>
      <c r="Q94" s="414" t="str">
        <f>VLOOKUP(B94,MASTER!$B$8:$V$1435,17,FALSE)</f>
        <v>I</v>
      </c>
      <c r="R94" s="411" t="str">
        <f>VLOOKUP(B94,MASTER!$B$8:$V$1435,18,FALSE)</f>
        <v>STM</v>
      </c>
      <c r="S94" s="411" t="str">
        <f>VLOOKUP(B94,MASTER!$B$8:$V$1435,19,FALSE)</f>
        <v>S1</v>
      </c>
      <c r="T94" s="418" t="str">
        <f>VLOOKUP(B94,MASTER!$B$8:$V$1435,20,FALSE)</f>
        <v>AB</v>
      </c>
      <c r="U94" s="415" t="str">
        <f>VLOOKUP($B94,ALAMAT!$A$1:E351,4)</f>
        <v>Wonolopo RT 2 RW 8 wonolopo Mijen, Semarang 50215</v>
      </c>
      <c r="X94" s="407">
        <f t="shared" ca="1" si="25"/>
        <v>42</v>
      </c>
      <c r="Y94" s="407">
        <f t="shared" ca="1" si="21"/>
        <v>23</v>
      </c>
    </row>
    <row r="95" spans="1:25" s="407" customFormat="1" ht="12.95" customHeight="1">
      <c r="A95" s="421">
        <v>90</v>
      </c>
      <c r="B95" s="817">
        <v>9522</v>
      </c>
      <c r="C95" s="410" t="str">
        <f>VLOOKUP(B95,MASTER!$B$8:$C$137,2,FALSE)</f>
        <v>MARDIANI SUSILOWATI R</v>
      </c>
      <c r="D95" s="409">
        <v>5</v>
      </c>
      <c r="E95" s="410" t="s">
        <v>2499</v>
      </c>
      <c r="F95" s="736" t="s">
        <v>18</v>
      </c>
      <c r="G95" s="411" t="str">
        <f>VLOOKUP(B95,MASTER!$B$8:$H$1435,6,FALSE)</f>
        <v>K</v>
      </c>
      <c r="H95" s="411">
        <f>VLOOKUP(B95,MASTER!$B$8:$H$1435,7,FALSE)</f>
        <v>2</v>
      </c>
      <c r="I95" s="411">
        <f>VLOOKUP(B95,MASTER!$B$8:$V$1435,8,FALSE)</f>
        <v>2</v>
      </c>
      <c r="J95" s="411" t="str">
        <f>VLOOKUP(B95,MASTER!$B$8:$V$1435,9,FALSE)</f>
        <v>P</v>
      </c>
      <c r="K95" s="413">
        <f>VLOOKUP(B95,MASTER!$B$8:$V$1435,11,FALSE)</f>
        <v>28875</v>
      </c>
      <c r="L95" s="422" t="str">
        <f t="shared" ca="1" si="26"/>
        <v>39.3</v>
      </c>
      <c r="M95" s="789" t="s">
        <v>739</v>
      </c>
      <c r="N95" s="413">
        <f>VLOOKUP(B95,MASTER!$B$8:$V$1435,14,FALSE)</f>
        <v>35807</v>
      </c>
      <c r="O95" s="422" t="str">
        <f t="shared" ca="1" si="27"/>
        <v>20.3</v>
      </c>
      <c r="P95" s="413">
        <f>VLOOKUP(B95,MASTER!$B$8:$V$1435,16,FALSE)</f>
        <v>49329</v>
      </c>
      <c r="Q95" s="414" t="str">
        <f>VLOOKUP(B95,MASTER!$B$8:$V$1435,17,FALSE)</f>
        <v>I</v>
      </c>
      <c r="R95" s="411" t="str">
        <f>VLOOKUP(B95,MASTER!$B$8:$V$1435,18,FALSE)</f>
        <v>SMEA</v>
      </c>
      <c r="S95" s="411" t="str">
        <f>VLOOKUP(B95,MASTER!$B$8:$V$1435,19,FALSE)</f>
        <v>S1</v>
      </c>
      <c r="T95" s="418" t="str">
        <f>VLOOKUP(B95,MASTER!$B$8:$V$1435,20,FALSE)</f>
        <v>A</v>
      </c>
      <c r="U95" s="415" t="str">
        <f>VLOOKUP($B95,ALAMAT!$A$1:E350,4)</f>
        <v>Jl.Dr.Kariadi 531 RT.003 RW.006 Randusari Semarang Selatan</v>
      </c>
      <c r="X95" s="407">
        <f t="shared" ca="1" si="25"/>
        <v>39</v>
      </c>
      <c r="Y95" s="407">
        <f t="shared" ca="1" si="21"/>
        <v>20</v>
      </c>
    </row>
    <row r="96" spans="1:25" s="407" customFormat="1" ht="12.95" customHeight="1">
      <c r="A96" s="408">
        <v>91</v>
      </c>
      <c r="B96" s="817">
        <v>9524</v>
      </c>
      <c r="C96" s="410" t="str">
        <f>VLOOKUP(B96,MASTER!$B$8:$C$137,2,FALSE)</f>
        <v>SRI HARTATI</v>
      </c>
      <c r="D96" s="409">
        <v>5</v>
      </c>
      <c r="E96" s="410" t="s">
        <v>2499</v>
      </c>
      <c r="F96" s="736" t="s">
        <v>18</v>
      </c>
      <c r="G96" s="411" t="str">
        <f>VLOOKUP(B96,MASTER!$B$8:$H$1435,6,FALSE)</f>
        <v>K</v>
      </c>
      <c r="H96" s="411">
        <f>VLOOKUP(B96,MASTER!$B$8:$H$1435,7,FALSE)</f>
        <v>2</v>
      </c>
      <c r="I96" s="411">
        <f>VLOOKUP(B96,MASTER!$B$8:$V$1435,8,FALSE)</f>
        <v>2</v>
      </c>
      <c r="J96" s="411" t="str">
        <f>VLOOKUP(B96,MASTER!$B$8:$V$1435,9,FALSE)</f>
        <v>P</v>
      </c>
      <c r="K96" s="413">
        <f>VLOOKUP(B96,MASTER!$B$8:$V$1435,11,FALSE)</f>
        <v>27853</v>
      </c>
      <c r="L96" s="422" t="str">
        <f t="shared" ca="1" si="26"/>
        <v>42.0</v>
      </c>
      <c r="M96" s="789" t="s">
        <v>742</v>
      </c>
      <c r="N96" s="413">
        <f>VLOOKUP(B96,MASTER!$B$8:$V$1435,14,FALSE)</f>
        <v>35807</v>
      </c>
      <c r="O96" s="422" t="str">
        <f t="shared" ca="1" si="27"/>
        <v>20.3</v>
      </c>
      <c r="P96" s="413">
        <f>VLOOKUP(B96,MASTER!$B$8:$V$1435,16,FALSE)</f>
        <v>48307</v>
      </c>
      <c r="Q96" s="414" t="str">
        <f>VLOOKUP(B96,MASTER!$B$8:$V$1435,17,FALSE)</f>
        <v>I</v>
      </c>
      <c r="R96" s="411" t="str">
        <f>VLOOKUP(B96,MASTER!$B$8:$V$1435,18,FALSE)</f>
        <v>SMA</v>
      </c>
      <c r="S96" s="411" t="str">
        <f>VLOOKUP(B96,MASTER!$B$8:$V$1435,19,FALSE)</f>
        <v>D3</v>
      </c>
      <c r="T96" s="418" t="str">
        <f>VLOOKUP(B96,MASTER!$B$8:$V$1435,20,FALSE)</f>
        <v xml:space="preserve">O </v>
      </c>
      <c r="U96" s="415" t="str">
        <f>VLOOKUP($B96,ALAMAT!$A$1:E351,4)</f>
        <v>Jl.Merbau I No.16 RT.005 RW.007 Padangsari Banyumanik, Semarang</v>
      </c>
      <c r="X96" s="407">
        <f t="shared" ca="1" si="25"/>
        <v>42</v>
      </c>
      <c r="Y96" s="407">
        <f t="shared" ca="1" si="21"/>
        <v>20</v>
      </c>
    </row>
    <row r="97" spans="1:25" s="407" customFormat="1" ht="12.95" customHeight="1">
      <c r="A97" s="421">
        <v>92</v>
      </c>
      <c r="B97" s="821">
        <v>4626</v>
      </c>
      <c r="C97" s="410" t="str">
        <f>VLOOKUP(B97,MASTER!$B$8:$C$137,2,FALSE)</f>
        <v>ANDIT HARIS CAHYONO</v>
      </c>
      <c r="D97" s="409" t="s">
        <v>2339</v>
      </c>
      <c r="E97" s="410" t="s">
        <v>429</v>
      </c>
      <c r="F97" s="736" t="s">
        <v>18</v>
      </c>
      <c r="G97" s="411" t="str">
        <f>VLOOKUP(B97,MASTER!$B$8:$H$1435,6,FALSE)</f>
        <v>K</v>
      </c>
      <c r="H97" s="411">
        <f>VLOOKUP(B97,MASTER!$B$8:$H$1435,7,FALSE)</f>
        <v>3</v>
      </c>
      <c r="I97" s="411">
        <f>VLOOKUP(B97,MASTER!$B$8:$V$1435,8,FALSE)</f>
        <v>3</v>
      </c>
      <c r="J97" s="411" t="str">
        <f>VLOOKUP(B97,MASTER!$B$8:$V$1435,9,FALSE)</f>
        <v>L</v>
      </c>
      <c r="K97" s="413">
        <f>VLOOKUP(B97,MASTER!$B$8:$V$1435,11,FALSE)</f>
        <v>23439</v>
      </c>
      <c r="L97" s="422" t="str">
        <f t="shared" ref="L97:L124" ca="1" si="28">DATEDIF(K97,TODAY(),"Y") &amp; "." &amp;DATEDIF(K97,TODAY(),"YM")</f>
        <v>54.1</v>
      </c>
      <c r="M97" s="789" t="s">
        <v>754</v>
      </c>
      <c r="N97" s="413">
        <f>VLOOKUP(B97,MASTER!$B$8:$V$1435,14,FALSE)</f>
        <v>32025</v>
      </c>
      <c r="O97" s="422" t="str">
        <f t="shared" ref="O97:O124" ca="1" si="29">DATEDIF(N97,TODAY(),"Y") &amp; "." &amp;DATEDIF(N97,TODAY(),"YM")</f>
        <v>30.7</v>
      </c>
      <c r="P97" s="413">
        <f>VLOOKUP(B97,MASTER!$B$8:$V$1435,16,FALSE)</f>
        <v>43893</v>
      </c>
      <c r="Q97" s="414" t="str">
        <f>VLOOKUP(B97,MASTER!$B$8:$V$1435,17,FALSE)</f>
        <v>I</v>
      </c>
      <c r="R97" s="411" t="str">
        <f>VLOOKUP(B97,MASTER!$B$8:$V$1435,18,FALSE)</f>
        <v>SMA</v>
      </c>
      <c r="S97" s="411" t="str">
        <f>VLOOKUP(B97,MASTER!$B$8:$V$1435,19,FALSE)</f>
        <v>S1</v>
      </c>
      <c r="T97" s="418" t="str">
        <f>VLOOKUP(B97,MASTER!$B$8:$V$1435,20,FALSE)</f>
        <v>O</v>
      </c>
      <c r="U97" s="415" t="str">
        <f>VLOOKUP($B97,ALAMAT!$A$1:E354,4)</f>
        <v xml:space="preserve">Bukit Cempaka III Blok C no.203 RT.001 RW.021 Sendangmulyo </v>
      </c>
      <c r="X97" s="407">
        <f t="shared" ca="1" si="25"/>
        <v>54</v>
      </c>
      <c r="Y97" s="407">
        <f t="shared" ca="1" si="21"/>
        <v>30</v>
      </c>
    </row>
    <row r="98" spans="1:25" s="407" customFormat="1" ht="12.95" customHeight="1">
      <c r="A98" s="408">
        <v>93</v>
      </c>
      <c r="B98" s="821">
        <v>4629</v>
      </c>
      <c r="C98" s="410" t="str">
        <f>VLOOKUP(B98,MASTER!$B$8:$C$137,2,FALSE)</f>
        <v>R.MARDI PRIYANTO</v>
      </c>
      <c r="D98" s="409" t="s">
        <v>2339</v>
      </c>
      <c r="E98" s="410" t="s">
        <v>429</v>
      </c>
      <c r="F98" s="736" t="s">
        <v>18</v>
      </c>
      <c r="G98" s="411" t="str">
        <f>VLOOKUP(B98,MASTER!$B$8:$H$1435,6,FALSE)</f>
        <v>K</v>
      </c>
      <c r="H98" s="411">
        <f>VLOOKUP(B98,MASTER!$B$8:$H$1435,7,FALSE)</f>
        <v>2</v>
      </c>
      <c r="I98" s="411">
        <f>VLOOKUP(B98,MASTER!$B$8:$V$1435,8,FALSE)</f>
        <v>2</v>
      </c>
      <c r="J98" s="411" t="str">
        <f>VLOOKUP(B98,MASTER!$B$8:$V$1435,9,FALSE)</f>
        <v>L</v>
      </c>
      <c r="K98" s="413">
        <f>VLOOKUP(B98,MASTER!$B$8:$V$1435,11,FALSE)</f>
        <v>24236</v>
      </c>
      <c r="L98" s="422" t="str">
        <f t="shared" ca="1" si="28"/>
        <v>51.11</v>
      </c>
      <c r="M98" s="789" t="s">
        <v>752</v>
      </c>
      <c r="N98" s="413">
        <f>VLOOKUP(B98,MASTER!$B$8:$V$1435,14,FALSE)</f>
        <v>32025</v>
      </c>
      <c r="O98" s="422" t="str">
        <f t="shared" ca="1" si="29"/>
        <v>30.7</v>
      </c>
      <c r="P98" s="413">
        <f>VLOOKUP(B98,MASTER!$B$8:$V$1435,16,FALSE)</f>
        <v>44690</v>
      </c>
      <c r="Q98" s="414" t="str">
        <f>VLOOKUP(B98,MASTER!$B$8:$V$1435,17,FALSE)</f>
        <v>K</v>
      </c>
      <c r="R98" s="411" t="str">
        <f>VLOOKUP(B98,MASTER!$B$8:$V$1435,18,FALSE)</f>
        <v>SMEA</v>
      </c>
      <c r="S98" s="411" t="str">
        <f>VLOOKUP(B98,MASTER!$B$8:$V$1435,19,FALSE)</f>
        <v>S1</v>
      </c>
      <c r="T98" s="418" t="str">
        <f>VLOOKUP(B98,MASTER!$B$8:$V$1435,20,FALSE)</f>
        <v>O</v>
      </c>
      <c r="U98" s="415" t="str">
        <f>VLOOKUP($B98,ALAMAT!$A$1:E355,4)</f>
        <v>Jl Wonodri Krajan II/454-A Rt05 Rw 01 Wonodri Semarang</v>
      </c>
      <c r="X98" s="407">
        <f t="shared" ca="1" si="25"/>
        <v>51</v>
      </c>
      <c r="Y98" s="407">
        <f t="shared" ca="1" si="21"/>
        <v>30</v>
      </c>
    </row>
    <row r="99" spans="1:25" s="407" customFormat="1" ht="12.95" customHeight="1">
      <c r="A99" s="421">
        <v>94</v>
      </c>
      <c r="B99" s="817">
        <v>7685</v>
      </c>
      <c r="C99" s="410" t="str">
        <f>VLOOKUP(B99,MASTER!$B$8:$C$137,2,FALSE)</f>
        <v>SISWANTO</v>
      </c>
      <c r="D99" s="409" t="s">
        <v>2339</v>
      </c>
      <c r="E99" s="410" t="s">
        <v>429</v>
      </c>
      <c r="F99" s="736" t="s">
        <v>18</v>
      </c>
      <c r="G99" s="411" t="str">
        <f>VLOOKUP(B99,MASTER!$B$8:$H$1435,6,FALSE)</f>
        <v>K</v>
      </c>
      <c r="H99" s="411">
        <f>VLOOKUP(B99,MASTER!$B$8:$H$1435,7,FALSE)</f>
        <v>3</v>
      </c>
      <c r="I99" s="411">
        <f>VLOOKUP(B99,MASTER!$B$8:$V$1435,8,FALSE)</f>
        <v>3</v>
      </c>
      <c r="J99" s="411" t="str">
        <f>VLOOKUP(B99,MASTER!$B$8:$V$1435,9,FALSE)</f>
        <v>L</v>
      </c>
      <c r="K99" s="413">
        <f>VLOOKUP(B99,MASTER!$B$8:$V$1435,11,FALSE)</f>
        <v>26365</v>
      </c>
      <c r="L99" s="422" t="str">
        <f t="shared" ca="1" si="28"/>
        <v>46.1</v>
      </c>
      <c r="M99" s="789" t="s">
        <v>746</v>
      </c>
      <c r="N99" s="413">
        <f>VLOOKUP(B99,MASTER!$B$8:$V$1435,14,FALSE)</f>
        <v>34648</v>
      </c>
      <c r="O99" s="422" t="str">
        <f t="shared" ca="1" si="29"/>
        <v>23.5</v>
      </c>
      <c r="P99" s="413">
        <f>VLOOKUP(B99,MASTER!$B$8:$V$1435,16,FALSE)</f>
        <v>46819</v>
      </c>
      <c r="Q99" s="414" t="str">
        <f>VLOOKUP(B99,MASTER!$B$8:$V$1435,17,FALSE)</f>
        <v>I</v>
      </c>
      <c r="R99" s="411" t="str">
        <f>VLOOKUP(B99,MASTER!$B$8:$V$1435,18,FALSE)</f>
        <v>STM</v>
      </c>
      <c r="S99" s="411" t="str">
        <f>VLOOKUP(B99,MASTER!$B$8:$V$1435,19,FALSE)</f>
        <v>S1</v>
      </c>
      <c r="T99" s="418" t="str">
        <f>VLOOKUP(B99,MASTER!$B$8:$V$1435,20,FALSE)</f>
        <v>O</v>
      </c>
      <c r="U99" s="415" t="str">
        <f>VLOOKUP($B99,ALAMAT!$A$1:E356,4)</f>
        <v>Jl Bangun Harjo II/39 RT 08 Rw 03Kedung Mundu Tembalang</v>
      </c>
      <c r="V99" s="8"/>
      <c r="X99" s="407">
        <f t="shared" ca="1" si="25"/>
        <v>46</v>
      </c>
      <c r="Y99" s="407">
        <f t="shared" ca="1" si="21"/>
        <v>23</v>
      </c>
    </row>
    <row r="100" spans="1:25" s="8" customFormat="1" ht="12.95" customHeight="1">
      <c r="A100" s="408">
        <v>95</v>
      </c>
      <c r="B100" s="817">
        <v>6005</v>
      </c>
      <c r="C100" s="410" t="str">
        <f>VLOOKUP(B100,MASTER!$B$8:$C$137,2,FALSE)</f>
        <v>SUHARYONO</v>
      </c>
      <c r="D100" s="409" t="s">
        <v>2339</v>
      </c>
      <c r="E100" s="410" t="s">
        <v>429</v>
      </c>
      <c r="F100" s="736" t="s">
        <v>18</v>
      </c>
      <c r="G100" s="411" t="str">
        <f>VLOOKUP(B100,MASTER!$B$8:$H$1435,6,FALSE)</f>
        <v>K</v>
      </c>
      <c r="H100" s="411">
        <f>VLOOKUP(B100,MASTER!$B$8:$H$1435,7,FALSE)</f>
        <v>2</v>
      </c>
      <c r="I100" s="411">
        <f>VLOOKUP(B100,MASTER!$B$8:$V$1435,8,FALSE)</f>
        <v>2</v>
      </c>
      <c r="J100" s="411" t="str">
        <f>VLOOKUP(B100,MASTER!$B$8:$V$1435,9,FALSE)</f>
        <v>L</v>
      </c>
      <c r="K100" s="413">
        <f>VLOOKUP(B100,MASTER!$B$8:$V$1435,11,FALSE)</f>
        <v>24811</v>
      </c>
      <c r="L100" s="422" t="str">
        <f t="shared" ca="1" si="28"/>
        <v>50.4</v>
      </c>
      <c r="M100" s="789" t="s">
        <v>750</v>
      </c>
      <c r="N100" s="413">
        <f>VLOOKUP(B100,MASTER!$B$8:$V$1435,14,FALSE)</f>
        <v>33030</v>
      </c>
      <c r="O100" s="422" t="str">
        <f t="shared" ca="1" si="29"/>
        <v>27.10</v>
      </c>
      <c r="P100" s="413">
        <f>VLOOKUP(B100,MASTER!$B$8:$V$1435,16,FALSE)</f>
        <v>45265</v>
      </c>
      <c r="Q100" s="414" t="str">
        <f>VLOOKUP(B100,MASTER!$B$8:$V$1435,17,FALSE)</f>
        <v>I</v>
      </c>
      <c r="R100" s="411" t="str">
        <f>VLOOKUP(B100,MASTER!$B$8:$V$1435,18,FALSE)</f>
        <v>STM</v>
      </c>
      <c r="S100" s="411" t="str">
        <f>VLOOKUP(B100,MASTER!$B$8:$V$1435,19,FALSE)</f>
        <v>SLTA</v>
      </c>
      <c r="T100" s="418" t="str">
        <f>VLOOKUP(B100,MASTER!$B$8:$V$1435,20,FALSE)</f>
        <v>AB</v>
      </c>
      <c r="U100" s="415" t="str">
        <f>VLOOKUP($B100,ALAMAT!$A$1:E357,4)</f>
        <v>Wonodri Kopen Timur III/7 RT.007  RW.004 Wonodri Semarang Selatan</v>
      </c>
      <c r="V100" s="407"/>
      <c r="X100" s="407">
        <f t="shared" ca="1" si="25"/>
        <v>50</v>
      </c>
      <c r="Y100" s="407">
        <f t="shared" ca="1" si="21"/>
        <v>27</v>
      </c>
    </row>
    <row r="101" spans="1:25" s="8" customFormat="1" ht="12.95" customHeight="1">
      <c r="A101" s="421">
        <v>96</v>
      </c>
      <c r="B101" s="817">
        <v>7672</v>
      </c>
      <c r="C101" s="410" t="str">
        <f>VLOOKUP(B101,MASTER!$B$8:$C$137,2,FALSE)</f>
        <v>BUDI HARYAWAN</v>
      </c>
      <c r="D101" s="409" t="s">
        <v>2339</v>
      </c>
      <c r="E101" s="410" t="s">
        <v>429</v>
      </c>
      <c r="F101" s="736" t="s">
        <v>18</v>
      </c>
      <c r="G101" s="411" t="str">
        <f>VLOOKUP(B101,MASTER!$B$8:$H$1435,6,FALSE)</f>
        <v>K</v>
      </c>
      <c r="H101" s="411">
        <f>VLOOKUP(B101,MASTER!$B$8:$H$1435,7,FALSE)</f>
        <v>2</v>
      </c>
      <c r="I101" s="411">
        <f>VLOOKUP(B101,MASTER!$B$8:$V$1435,8,FALSE)</f>
        <v>2</v>
      </c>
      <c r="J101" s="411" t="str">
        <f>VLOOKUP(B101,MASTER!$B$8:$V$1435,9,FALSE)</f>
        <v>L</v>
      </c>
      <c r="K101" s="413">
        <f>VLOOKUP(B101,MASTER!$B$8:$V$1435,11,FALSE)</f>
        <v>26113</v>
      </c>
      <c r="L101" s="422" t="str">
        <f t="shared" ca="1" si="28"/>
        <v>46.10</v>
      </c>
      <c r="M101" s="789" t="s">
        <v>747</v>
      </c>
      <c r="N101" s="413">
        <f>VLOOKUP(B101,MASTER!$B$8:$V$1435,14,FALSE)</f>
        <v>34648</v>
      </c>
      <c r="O101" s="422" t="str">
        <f t="shared" ca="1" si="29"/>
        <v>23.5</v>
      </c>
      <c r="P101" s="413">
        <f>VLOOKUP(B101,MASTER!$B$8:$V$1435,16,FALSE)</f>
        <v>46567</v>
      </c>
      <c r="Q101" s="414" t="str">
        <f>VLOOKUP(B101,MASTER!$B$8:$V$1435,17,FALSE)</f>
        <v>I</v>
      </c>
      <c r="R101" s="411" t="str">
        <f>VLOOKUP(B101,MASTER!$B$8:$V$1435,18,FALSE)</f>
        <v>SMA</v>
      </c>
      <c r="S101" s="411" t="str">
        <f>VLOOKUP(B101,MASTER!$B$8:$V$1435,19,FALSE)</f>
        <v>S1</v>
      </c>
      <c r="T101" s="418" t="str">
        <f>VLOOKUP(B101,MASTER!$B$8:$V$1435,20,FALSE)</f>
        <v>O</v>
      </c>
      <c r="U101" s="415" t="str">
        <f>VLOOKUP($B101,ALAMAT!$A$1:E358,4)</f>
        <v>Jl.Medoho Ria no.33 RT.001 RW.005 Sambirejo GayamsariSemarang</v>
      </c>
      <c r="V101" s="407"/>
      <c r="X101" s="407">
        <f t="shared" ca="1" si="25"/>
        <v>46</v>
      </c>
      <c r="Y101" s="407">
        <f t="shared" ca="1" si="21"/>
        <v>23</v>
      </c>
    </row>
    <row r="102" spans="1:25" s="407" customFormat="1" ht="12.95" customHeight="1">
      <c r="A102" s="408">
        <v>97</v>
      </c>
      <c r="B102" s="821">
        <v>4638</v>
      </c>
      <c r="C102" s="410" t="str">
        <f>VLOOKUP(B102,MASTER!$B$8:$C$137,2,FALSE)</f>
        <v>SRI WINARTI</v>
      </c>
      <c r="D102" s="409">
        <v>5</v>
      </c>
      <c r="E102" s="410" t="s">
        <v>2499</v>
      </c>
      <c r="F102" s="736" t="s">
        <v>18</v>
      </c>
      <c r="G102" s="411" t="str">
        <f>VLOOKUP(B102,MASTER!$B$8:$H$1435,6,FALSE)</f>
        <v>K</v>
      </c>
      <c r="H102" s="411">
        <f>VLOOKUP(B102,MASTER!$B$8:$H$1435,7,FALSE)</f>
        <v>2</v>
      </c>
      <c r="I102" s="411">
        <f>VLOOKUP(B102,MASTER!$B$8:$V$1435,8,FALSE)</f>
        <v>2</v>
      </c>
      <c r="J102" s="411" t="str">
        <f>VLOOKUP(B102,MASTER!$B$8:$V$1435,9,FALSE)</f>
        <v>P</v>
      </c>
      <c r="K102" s="413">
        <f>VLOOKUP(B102,MASTER!$B$8:$V$1435,11,FALSE)</f>
        <v>23955</v>
      </c>
      <c r="L102" s="422" t="str">
        <f t="shared" ca="1" si="28"/>
        <v>52.8</v>
      </c>
      <c r="M102" s="789" t="s">
        <v>753</v>
      </c>
      <c r="N102" s="413">
        <f>VLOOKUP(B102,MASTER!$B$8:$V$1435,14,FALSE)</f>
        <v>32025</v>
      </c>
      <c r="O102" s="422" t="str">
        <f t="shared" ca="1" si="29"/>
        <v>30.7</v>
      </c>
      <c r="P102" s="413">
        <f>VLOOKUP(B102,MASTER!$B$8:$V$1435,16,FALSE)</f>
        <v>44409</v>
      </c>
      <c r="Q102" s="414" t="str">
        <f>VLOOKUP(B102,MASTER!$B$8:$V$1435,17,FALSE)</f>
        <v>I</v>
      </c>
      <c r="R102" s="411" t="str">
        <f>VLOOKUP(B102,MASTER!$B$8:$V$1435,18,FALSE)</f>
        <v>SMA</v>
      </c>
      <c r="S102" s="411" t="str">
        <f>VLOOKUP(B102,MASTER!$B$8:$V$1435,19,FALSE)</f>
        <v>SLTA</v>
      </c>
      <c r="T102" s="418" t="str">
        <f>VLOOKUP(B102,MASTER!$B$8:$V$1435,20,FALSE)</f>
        <v>AB</v>
      </c>
      <c r="U102" s="415" t="str">
        <f>VLOOKUP($B102,ALAMAT!$A$1:E362,4)</f>
        <v>Jl.Karangrejo V, Karangrejo Asri B3  RT.003 Rw.003 Banyumanik,  Semarang</v>
      </c>
      <c r="X102" s="407">
        <f t="shared" ref="X102:X124" ca="1" si="30">DATEDIF(K102,TODAY(),"y")</f>
        <v>52</v>
      </c>
      <c r="Y102" s="407">
        <f t="shared" ca="1" si="21"/>
        <v>30</v>
      </c>
    </row>
    <row r="103" spans="1:25" s="407" customFormat="1" ht="12.95" customHeight="1">
      <c r="A103" s="421">
        <v>98</v>
      </c>
      <c r="B103" s="821">
        <v>2971</v>
      </c>
      <c r="C103" s="410" t="str">
        <f>VLOOKUP(B103,MASTER!$B$8:$C$137,2,FALSE)</f>
        <v>SUKAMTA</v>
      </c>
      <c r="D103" s="409" t="s">
        <v>2341</v>
      </c>
      <c r="E103" s="410" t="s">
        <v>2596</v>
      </c>
      <c r="F103" s="736" t="s">
        <v>18</v>
      </c>
      <c r="G103" s="411" t="str">
        <f>VLOOKUP(B103,MASTER!$B$8:$H$1435,6,FALSE)</f>
        <v>K</v>
      </c>
      <c r="H103" s="411">
        <f>VLOOKUP(B103,MASTER!$B$8:$H$1435,7,FALSE)</f>
        <v>3</v>
      </c>
      <c r="I103" s="411">
        <f>VLOOKUP(B103,MASTER!$B$8:$V$1435,8,FALSE)</f>
        <v>3</v>
      </c>
      <c r="J103" s="411" t="str">
        <f>VLOOKUP(B103,MASTER!$B$8:$V$1435,9,FALSE)</f>
        <v>L</v>
      </c>
      <c r="K103" s="413">
        <f>VLOOKUP(B103,MASTER!$B$8:$V$1435,11,FALSE)</f>
        <v>23196</v>
      </c>
      <c r="L103" s="422" t="str">
        <f t="shared" ca="1" si="28"/>
        <v>54.9</v>
      </c>
      <c r="M103" s="789" t="s">
        <v>755</v>
      </c>
      <c r="N103" s="413">
        <f>VLOOKUP(B103,MASTER!$B$8:$V$1435,14,FALSE)</f>
        <v>31034</v>
      </c>
      <c r="O103" s="422" t="str">
        <f t="shared" ca="1" si="29"/>
        <v>33.4</v>
      </c>
      <c r="P103" s="413">
        <f>VLOOKUP(B103,MASTER!$B$8:$V$1435,16,FALSE)</f>
        <v>43650</v>
      </c>
      <c r="Q103" s="414" t="str">
        <f>VLOOKUP(B103,MASTER!$B$8:$V$1435,17,FALSE)</f>
        <v>I</v>
      </c>
      <c r="R103" s="411" t="str">
        <f>VLOOKUP(B103,MASTER!$B$8:$V$1435,18,FALSE)</f>
        <v>SMA</v>
      </c>
      <c r="S103" s="411" t="str">
        <f>VLOOKUP(B103,MASTER!$B$8:$V$1435,19,FALSE)</f>
        <v>SLTA</v>
      </c>
      <c r="T103" s="418" t="str">
        <f>VLOOKUP(B103,MASTER!$B$8:$V$1435,20,FALSE)</f>
        <v>B</v>
      </c>
      <c r="U103" s="415" t="str">
        <f>VLOOKUP($B103,ALAMAT!$A$1:E363,4)</f>
        <v>Jl.Pucang Peni I no.3 RT.002 RW.011 Batursari Meranggen Kab.Demak</v>
      </c>
      <c r="X103" s="407">
        <f t="shared" ca="1" si="30"/>
        <v>54</v>
      </c>
      <c r="Y103" s="407">
        <f t="shared" ca="1" si="21"/>
        <v>33</v>
      </c>
    </row>
    <row r="104" spans="1:25" s="407" customFormat="1" ht="12.95" customHeight="1">
      <c r="A104" s="408">
        <v>99</v>
      </c>
      <c r="B104" s="821">
        <v>4672</v>
      </c>
      <c r="C104" s="410" t="str">
        <f>VLOOKUP(B104,MASTER!$B$8:$C$137,2,FALSE)</f>
        <v>KUSMIN</v>
      </c>
      <c r="D104" s="409" t="s">
        <v>2341</v>
      </c>
      <c r="E104" s="410" t="s">
        <v>2596</v>
      </c>
      <c r="F104" s="736" t="s">
        <v>18</v>
      </c>
      <c r="G104" s="411" t="str">
        <f>VLOOKUP(B104,MASTER!$B$8:$H$1435,6,FALSE)</f>
        <v>K</v>
      </c>
      <c r="H104" s="411">
        <f>VLOOKUP(B104,MASTER!$B$8:$H$1435,7,FALSE)</f>
        <v>2</v>
      </c>
      <c r="I104" s="411">
        <f>VLOOKUP(B104,MASTER!$B$8:$V$1435,8,FALSE)</f>
        <v>2</v>
      </c>
      <c r="J104" s="411" t="str">
        <f>VLOOKUP(B104,MASTER!$B$8:$V$1435,9,FALSE)</f>
        <v>L</v>
      </c>
      <c r="K104" s="413">
        <f>VLOOKUP(B104,MASTER!$B$8:$V$1435,11,FALSE)</f>
        <v>23359</v>
      </c>
      <c r="L104" s="422" t="str">
        <f t="shared" ca="1" si="28"/>
        <v>54.4</v>
      </c>
      <c r="M104" s="789" t="s">
        <v>754</v>
      </c>
      <c r="N104" s="413">
        <f>VLOOKUP(B104,MASTER!$B$8:$V$1435,14,FALSE)</f>
        <v>32025</v>
      </c>
      <c r="O104" s="422" t="str">
        <f t="shared" ca="1" si="29"/>
        <v>30.7</v>
      </c>
      <c r="P104" s="413">
        <f>VLOOKUP(B104,MASTER!$B$8:$V$1435,16,FALSE)</f>
        <v>43813</v>
      </c>
      <c r="Q104" s="414" t="str">
        <f>VLOOKUP(B104,MASTER!$B$8:$V$1435,17,FALSE)</f>
        <v>I</v>
      </c>
      <c r="R104" s="411" t="str">
        <f>VLOOKUP(B104,MASTER!$B$8:$V$1435,18,FALSE)</f>
        <v>STM</v>
      </c>
      <c r="S104" s="411" t="str">
        <f>VLOOKUP(B104,MASTER!$B$8:$V$1435,19,FALSE)</f>
        <v>SLTA</v>
      </c>
      <c r="T104" s="418" t="str">
        <f>VLOOKUP(B104,MASTER!$B$8:$V$1435,20,FALSE)</f>
        <v>O</v>
      </c>
      <c r="U104" s="415" t="str">
        <f>VLOOKUP($B104,ALAMAT!$A$1:E364,4)</f>
        <v>Jl.Maos Pati Raya No.27 RT.004 RW.013 Beji Ungaran kab.Semarang</v>
      </c>
      <c r="X104" s="407">
        <f t="shared" ca="1" si="30"/>
        <v>54</v>
      </c>
      <c r="Y104" s="407">
        <f t="shared" ca="1" si="21"/>
        <v>30</v>
      </c>
    </row>
    <row r="105" spans="1:25" s="407" customFormat="1" ht="12.95" customHeight="1">
      <c r="A105" s="421">
        <v>100</v>
      </c>
      <c r="B105" s="821">
        <v>6031</v>
      </c>
      <c r="C105" s="410" t="str">
        <f>VLOOKUP(B105,MASTER!$B$8:$C$137,2,FALSE)</f>
        <v>SRI ARIYANI</v>
      </c>
      <c r="D105" s="409" t="s">
        <v>2341</v>
      </c>
      <c r="E105" s="410" t="s">
        <v>2596</v>
      </c>
      <c r="F105" s="736" t="s">
        <v>18</v>
      </c>
      <c r="G105" s="411" t="str">
        <f>VLOOKUP(B105,MASTER!$B$8:$H$1435,6,FALSE)</f>
        <v>K</v>
      </c>
      <c r="H105" s="411">
        <f>VLOOKUP(B105,MASTER!$B$8:$H$1435,7,FALSE)</f>
        <v>3</v>
      </c>
      <c r="I105" s="411">
        <f>VLOOKUP(B105,MASTER!$B$8:$V$1435,8,FALSE)</f>
        <v>3</v>
      </c>
      <c r="J105" s="411" t="str">
        <f>VLOOKUP(B105,MASTER!$B$8:$V$1435,9,FALSE)</f>
        <v>P</v>
      </c>
      <c r="K105" s="413">
        <f>VLOOKUP(B105,MASTER!$B$8:$V$1435,11,FALSE)</f>
        <v>25092</v>
      </c>
      <c r="L105" s="422" t="str">
        <f t="shared" ca="1" si="28"/>
        <v>49.7</v>
      </c>
      <c r="M105" s="789" t="s">
        <v>750</v>
      </c>
      <c r="N105" s="413">
        <f>VLOOKUP(B105,MASTER!$B$8:$V$1435,14,FALSE)</f>
        <v>33044</v>
      </c>
      <c r="O105" s="422" t="str">
        <f t="shared" ca="1" si="29"/>
        <v>27.10</v>
      </c>
      <c r="P105" s="413">
        <f>VLOOKUP(B105,MASTER!$B$8:$V$1435,16,FALSE)</f>
        <v>45546</v>
      </c>
      <c r="Q105" s="414" t="str">
        <f>VLOOKUP(B105,MASTER!$B$8:$V$1435,17,FALSE)</f>
        <v>I</v>
      </c>
      <c r="R105" s="411" t="str">
        <f>VLOOKUP(B105,MASTER!$B$8:$V$1435,18,FALSE)</f>
        <v>SMA</v>
      </c>
      <c r="S105" s="411" t="str">
        <f>VLOOKUP(B105,MASTER!$B$8:$V$1435,19,FALSE)</f>
        <v>SLTA</v>
      </c>
      <c r="T105" s="418" t="str">
        <f>VLOOKUP(B105,MASTER!$B$8:$V$1435,20,FALSE)</f>
        <v>A</v>
      </c>
      <c r="U105" s="415" t="str">
        <f>VLOOKUP($B105,ALAMAT!$A$1:E365,4)</f>
        <v>Jl. Yudistira V/No.08 RT.002 RW.010 Lerep, Ungaran Barat, Kab. Semarang</v>
      </c>
      <c r="X105" s="407">
        <f t="shared" ca="1" si="30"/>
        <v>49</v>
      </c>
      <c r="Y105" s="407">
        <f t="shared" ca="1" si="21"/>
        <v>27</v>
      </c>
    </row>
    <row r="106" spans="1:25" s="407" customFormat="1" ht="12.95" customHeight="1">
      <c r="A106" s="408">
        <v>101</v>
      </c>
      <c r="B106" s="821">
        <v>6123</v>
      </c>
      <c r="C106" s="410" t="str">
        <f>VLOOKUP(B106,MASTER!$B$8:$C$137,2,FALSE)</f>
        <v>JUWANTO</v>
      </c>
      <c r="D106" s="409" t="s">
        <v>2341</v>
      </c>
      <c r="E106" s="410" t="s">
        <v>2596</v>
      </c>
      <c r="F106" s="736" t="s">
        <v>18</v>
      </c>
      <c r="G106" s="411" t="str">
        <f>VLOOKUP(B106,MASTER!$B$8:$H$1435,6,FALSE)</f>
        <v>K</v>
      </c>
      <c r="H106" s="411">
        <f>VLOOKUP(B106,MASTER!$B$8:$H$1435,7,FALSE)</f>
        <v>3</v>
      </c>
      <c r="I106" s="411">
        <f>VLOOKUP(B106,MASTER!$B$8:$V$1435,8,FALSE)</f>
        <v>3</v>
      </c>
      <c r="J106" s="411" t="str">
        <f>VLOOKUP(B106,MASTER!$B$8:$V$1435,9,FALSE)</f>
        <v>L</v>
      </c>
      <c r="K106" s="413">
        <f>VLOOKUP(B106,MASTER!$B$8:$V$1435,11,FALSE)</f>
        <v>24627</v>
      </c>
      <c r="L106" s="422" t="str">
        <f t="shared" ca="1" si="28"/>
        <v>50.10</v>
      </c>
      <c r="M106" s="789" t="s">
        <v>751</v>
      </c>
      <c r="N106" s="413">
        <f>VLOOKUP(B106,MASTER!$B$8:$V$1435,14,FALSE)</f>
        <v>33168</v>
      </c>
      <c r="O106" s="422" t="str">
        <f t="shared" ca="1" si="29"/>
        <v>27.6</v>
      </c>
      <c r="P106" s="413">
        <f>VLOOKUP(B106,MASTER!$B$8:$V$1435,16,FALSE)</f>
        <v>45081</v>
      </c>
      <c r="Q106" s="414" t="str">
        <f>VLOOKUP(B106,MASTER!$B$8:$V$1435,17,FALSE)</f>
        <v>I</v>
      </c>
      <c r="R106" s="411" t="str">
        <f>VLOOKUP(B106,MASTER!$B$8:$V$1435,18,FALSE)</f>
        <v>SMA</v>
      </c>
      <c r="S106" s="411" t="str">
        <f>VLOOKUP(B106,MASTER!$B$8:$V$1435,19,FALSE)</f>
        <v>SLTA</v>
      </c>
      <c r="T106" s="418" t="str">
        <f>VLOOKUP(B106,MASTER!$B$8:$V$1435,20,FALSE)</f>
        <v>A</v>
      </c>
      <c r="U106" s="415" t="str">
        <f>VLOOKUP($B106,ALAMAT!$A$1:E366,4)</f>
        <v>Jl.Raya Ngemplak RT.010 RW.001 Ngemplak Mranggen Demak</v>
      </c>
      <c r="X106" s="407">
        <f t="shared" ca="1" si="30"/>
        <v>50</v>
      </c>
      <c r="Y106" s="407">
        <f t="shared" ca="1" si="21"/>
        <v>27</v>
      </c>
    </row>
    <row r="107" spans="1:25" s="407" customFormat="1" ht="12.95" customHeight="1">
      <c r="A107" s="421">
        <v>102</v>
      </c>
      <c r="B107" s="821">
        <v>6454</v>
      </c>
      <c r="C107" s="410" t="str">
        <f>VLOOKUP(B107,MASTER!$B$8:$C$137,2,FALSE)</f>
        <v>JON EFENDI</v>
      </c>
      <c r="D107" s="409" t="s">
        <v>2341</v>
      </c>
      <c r="E107" s="410" t="s">
        <v>2596</v>
      </c>
      <c r="F107" s="736" t="s">
        <v>18</v>
      </c>
      <c r="G107" s="411" t="str">
        <f>VLOOKUP(B107,MASTER!$B$8:$H$1435,6,FALSE)</f>
        <v>K</v>
      </c>
      <c r="H107" s="411">
        <f>VLOOKUP(B107,MASTER!$B$8:$H$1435,7,FALSE)</f>
        <v>1</v>
      </c>
      <c r="I107" s="411">
        <f>VLOOKUP(B107,MASTER!$B$8:$V$1435,8,FALSE)</f>
        <v>1</v>
      </c>
      <c r="J107" s="411" t="str">
        <f>VLOOKUP(B107,MASTER!$B$8:$V$1435,9,FALSE)</f>
        <v>L</v>
      </c>
      <c r="K107" s="413">
        <f>VLOOKUP(B107,MASTER!$B$8:$V$1435,11,FALSE)</f>
        <v>24618</v>
      </c>
      <c r="L107" s="422" t="str">
        <f t="shared" ca="1" si="28"/>
        <v>50.11</v>
      </c>
      <c r="M107" s="789" t="s">
        <v>751</v>
      </c>
      <c r="N107" s="413">
        <f>VLOOKUP(B107,MASTER!$B$8:$V$1435,14,FALSE)</f>
        <v>33224</v>
      </c>
      <c r="O107" s="422" t="str">
        <f t="shared" ca="1" si="29"/>
        <v>27.4</v>
      </c>
      <c r="P107" s="413">
        <f>VLOOKUP(B107,MASTER!$B$8:$V$1435,16,FALSE)</f>
        <v>45072</v>
      </c>
      <c r="Q107" s="414" t="str">
        <f>VLOOKUP(B107,MASTER!$B$8:$V$1435,17,FALSE)</f>
        <v>P</v>
      </c>
      <c r="R107" s="411" t="str">
        <f>VLOOKUP(B107,MASTER!$B$8:$V$1435,18,FALSE)</f>
        <v>STM</v>
      </c>
      <c r="S107" s="411" t="str">
        <f>VLOOKUP(B107,MASTER!$B$8:$V$1435,19,FALSE)</f>
        <v>S1</v>
      </c>
      <c r="T107" s="418" t="str">
        <f>VLOOKUP(B107,MASTER!$B$8:$V$1435,20,FALSE)</f>
        <v>A</v>
      </c>
      <c r="U107" s="415" t="str">
        <f>VLOOKUP($B107,ALAMAT!$A$1:E367,4)</f>
        <v>Jl.Puspowarno Selatan II/19A RT.002 RW.005 Salaman mloyo Semarang Barat</v>
      </c>
      <c r="X107" s="407">
        <f t="shared" ca="1" si="30"/>
        <v>50</v>
      </c>
      <c r="Y107" s="407">
        <f t="shared" ca="1" si="21"/>
        <v>27</v>
      </c>
    </row>
    <row r="108" spans="1:25" s="407" customFormat="1" ht="12.95" customHeight="1">
      <c r="A108" s="408">
        <v>103</v>
      </c>
      <c r="B108" s="821">
        <v>7161</v>
      </c>
      <c r="C108" s="410" t="str">
        <f>VLOOKUP(B108,MASTER!$B$8:$C$137,2,FALSE)</f>
        <v>SUTOMO</v>
      </c>
      <c r="D108" s="409" t="s">
        <v>2341</v>
      </c>
      <c r="E108" s="410" t="s">
        <v>2596</v>
      </c>
      <c r="F108" s="736" t="s">
        <v>18</v>
      </c>
      <c r="G108" s="411" t="str">
        <f>VLOOKUP(B108,MASTER!$B$8:$H$1435,6,FALSE)</f>
        <v>K</v>
      </c>
      <c r="H108" s="411">
        <f>VLOOKUP(B108,MASTER!$B$8:$H$1435,7,FALSE)</f>
        <v>3</v>
      </c>
      <c r="I108" s="411">
        <f>VLOOKUP(B108,MASTER!$B$8:$V$1435,8,FALSE)</f>
        <v>3</v>
      </c>
      <c r="J108" s="411" t="str">
        <f>VLOOKUP(B108,MASTER!$B$8:$V$1435,9,FALSE)</f>
        <v>L</v>
      </c>
      <c r="K108" s="413">
        <f>VLOOKUP(B108,MASTER!$B$8:$V$1435,11,FALSE)</f>
        <v>25672</v>
      </c>
      <c r="L108" s="422" t="str">
        <f t="shared" ca="1" si="28"/>
        <v>48.0</v>
      </c>
      <c r="M108" s="789" t="s">
        <v>748</v>
      </c>
      <c r="N108" s="413">
        <f>VLOOKUP(B108,MASTER!$B$8:$V$1435,14,FALSE)</f>
        <v>34022</v>
      </c>
      <c r="O108" s="422" t="str">
        <f t="shared" ca="1" si="29"/>
        <v>25.2</v>
      </c>
      <c r="P108" s="413">
        <f>VLOOKUP(B108,MASTER!$B$8:$V$1435,16,FALSE)</f>
        <v>46126</v>
      </c>
      <c r="Q108" s="414" t="str">
        <f>VLOOKUP(B108,MASTER!$B$8:$V$1435,17,FALSE)</f>
        <v>P</v>
      </c>
      <c r="R108" s="411" t="str">
        <f>VLOOKUP(B108,MASTER!$B$8:$V$1435,18,FALSE)</f>
        <v>SMA</v>
      </c>
      <c r="S108" s="411" t="str">
        <f>VLOOKUP(B108,MASTER!$B$8:$V$1435,19,FALSE)</f>
        <v>S1</v>
      </c>
      <c r="T108" s="418" t="str">
        <f>VLOOKUP(B108,MASTER!$B$8:$V$1435,20,FALSE)</f>
        <v>AB</v>
      </c>
      <c r="U108" s="415" t="str">
        <f>VLOOKUP($B108,ALAMAT!$A$1:E368,4)</f>
        <v>Jl.Kamiluto IX/7 RT.001 RW.021Muktiharjo Kidul, PedurunganSemarang</v>
      </c>
      <c r="X108" s="407">
        <f t="shared" ca="1" si="30"/>
        <v>48</v>
      </c>
      <c r="Y108" s="407">
        <f t="shared" ca="1" si="21"/>
        <v>25</v>
      </c>
    </row>
    <row r="109" spans="1:25" s="407" customFormat="1" ht="12.95" customHeight="1">
      <c r="A109" s="421">
        <v>104</v>
      </c>
      <c r="B109" s="821">
        <v>7196</v>
      </c>
      <c r="C109" s="410" t="str">
        <f>VLOOKUP(B109,MASTER!$B$8:$C$137,2,FALSE)</f>
        <v>ANNAS HIDAYAH ROFII</v>
      </c>
      <c r="D109" s="409" t="s">
        <v>2341</v>
      </c>
      <c r="E109" s="410" t="s">
        <v>2596</v>
      </c>
      <c r="F109" s="736" t="s">
        <v>18</v>
      </c>
      <c r="G109" s="411" t="str">
        <f>VLOOKUP(B109,MASTER!$B$8:$H$1435,6,FALSE)</f>
        <v>K</v>
      </c>
      <c r="H109" s="411">
        <f>VLOOKUP(B109,MASTER!$B$8:$H$1435,7,FALSE)</f>
        <v>2</v>
      </c>
      <c r="I109" s="411">
        <f>VLOOKUP(B109,MASTER!$B$8:$V$1435,8,FALSE)</f>
        <v>2</v>
      </c>
      <c r="J109" s="411" t="str">
        <f>VLOOKUP(B109,MASTER!$B$8:$V$1435,9,FALSE)</f>
        <v>L</v>
      </c>
      <c r="K109" s="413">
        <f>VLOOKUP(B109,MASTER!$B$8:$V$1435,11,FALSE)</f>
        <v>26202</v>
      </c>
      <c r="L109" s="422" t="str">
        <f t="shared" ca="1" si="28"/>
        <v>46.7</v>
      </c>
      <c r="M109" s="789" t="s">
        <v>747</v>
      </c>
      <c r="N109" s="413">
        <f>VLOOKUP(B109,MASTER!$B$8:$V$1435,14,FALSE)</f>
        <v>34029</v>
      </c>
      <c r="O109" s="422" t="str">
        <f t="shared" ca="1" si="29"/>
        <v>25.1</v>
      </c>
      <c r="P109" s="413">
        <f>VLOOKUP(B109,MASTER!$B$8:$V$1435,16,FALSE)</f>
        <v>46656</v>
      </c>
      <c r="Q109" s="414" t="str">
        <f>VLOOKUP(B109,MASTER!$B$8:$V$1435,17,FALSE)</f>
        <v>I</v>
      </c>
      <c r="R109" s="411" t="str">
        <f>VLOOKUP(B109,MASTER!$B$8:$V$1435,18,FALSE)</f>
        <v>SMA</v>
      </c>
      <c r="S109" s="411" t="str">
        <f>VLOOKUP(B109,MASTER!$B$8:$V$1435,19,FALSE)</f>
        <v>S1</v>
      </c>
      <c r="T109" s="418" t="str">
        <f>VLOOKUP(B109,MASTER!$B$8:$V$1435,20,FALSE)</f>
        <v>A</v>
      </c>
      <c r="U109" s="415" t="str">
        <f>VLOOKUP($B109,ALAMAT!$A$1:E369,4)</f>
        <v>Gergaji Balekambang 29 RT.004 RW.007 Mugasari Semarang Selatan</v>
      </c>
      <c r="X109" s="407">
        <f t="shared" ca="1" si="30"/>
        <v>46</v>
      </c>
      <c r="Y109" s="407">
        <f t="shared" ca="1" si="21"/>
        <v>25</v>
      </c>
    </row>
    <row r="110" spans="1:25" s="407" customFormat="1" ht="12.95" customHeight="1">
      <c r="A110" s="408">
        <v>105</v>
      </c>
      <c r="B110" s="817">
        <v>7237</v>
      </c>
      <c r="C110" s="410" t="str">
        <f>VLOOKUP(B110,MASTER!$B$8:$C$137,2,FALSE)</f>
        <v>ANJAR BUDIANTO</v>
      </c>
      <c r="D110" s="409" t="s">
        <v>2341</v>
      </c>
      <c r="E110" s="410" t="s">
        <v>2596</v>
      </c>
      <c r="F110" s="736" t="s">
        <v>18</v>
      </c>
      <c r="G110" s="411" t="str">
        <f>VLOOKUP(B110,MASTER!$B$8:$H$1435,6,FALSE)</f>
        <v>K</v>
      </c>
      <c r="H110" s="411">
        <f>VLOOKUP(B110,MASTER!$B$8:$H$1435,7,FALSE)</f>
        <v>1</v>
      </c>
      <c r="I110" s="411">
        <f>VLOOKUP(B110,MASTER!$B$8:$V$1435,8,FALSE)</f>
        <v>1</v>
      </c>
      <c r="J110" s="411" t="str">
        <f>VLOOKUP(B110,MASTER!$B$8:$V$1435,9,FALSE)</f>
        <v>L</v>
      </c>
      <c r="K110" s="413">
        <f>VLOOKUP(B110,MASTER!$B$8:$V$1435,11,FALSE)</f>
        <v>26047</v>
      </c>
      <c r="L110" s="422" t="str">
        <f t="shared" ca="1" si="28"/>
        <v>47.0</v>
      </c>
      <c r="M110" s="789" t="s">
        <v>747</v>
      </c>
      <c r="N110" s="413">
        <f>VLOOKUP(B110,MASTER!$B$8:$V$1435,14,FALSE)</f>
        <v>34034</v>
      </c>
      <c r="O110" s="422" t="str">
        <f t="shared" ca="1" si="29"/>
        <v>25.1</v>
      </c>
      <c r="P110" s="413">
        <f>VLOOKUP(B110,MASTER!$B$8:$V$1435,16,FALSE)</f>
        <v>46501</v>
      </c>
      <c r="Q110" s="414" t="str">
        <f>VLOOKUP(B110,MASTER!$B$8:$V$1435,17,FALSE)</f>
        <v>K</v>
      </c>
      <c r="R110" s="411" t="str">
        <f>VLOOKUP(B110,MASTER!$B$8:$V$1435,18,FALSE)</f>
        <v>SMA</v>
      </c>
      <c r="S110" s="411" t="str">
        <f>VLOOKUP(B110,MASTER!$B$8:$V$1435,19,FALSE)</f>
        <v>SLTA</v>
      </c>
      <c r="T110" s="418" t="str">
        <f>VLOOKUP(B110,MASTER!$B$8:$V$1435,20,FALSE)</f>
        <v>-</v>
      </c>
      <c r="U110" s="415" t="str">
        <f>VLOOKUP($B110,ALAMAT!$A$1:E370,4)</f>
        <v>Jl Mataram II No 3 Banyuanyar Solo</v>
      </c>
      <c r="X110" s="407">
        <f t="shared" ca="1" si="30"/>
        <v>47</v>
      </c>
      <c r="Y110" s="407">
        <f t="shared" ca="1" si="21"/>
        <v>25</v>
      </c>
    </row>
    <row r="111" spans="1:25" s="407" customFormat="1" ht="12.95" customHeight="1">
      <c r="A111" s="421">
        <v>106</v>
      </c>
      <c r="B111" s="817">
        <v>7483</v>
      </c>
      <c r="C111" s="410" t="str">
        <f>VLOOKUP(B111,MASTER!$B$8:$C$137,2,FALSE)</f>
        <v>SUTARTO</v>
      </c>
      <c r="D111" s="409" t="s">
        <v>2341</v>
      </c>
      <c r="E111" s="410" t="s">
        <v>2596</v>
      </c>
      <c r="F111" s="736" t="s">
        <v>18</v>
      </c>
      <c r="G111" s="411" t="str">
        <f>VLOOKUP(B111,MASTER!$B$8:$H$1435,6,FALSE)</f>
        <v>K</v>
      </c>
      <c r="H111" s="411">
        <f>VLOOKUP(B111,MASTER!$B$8:$H$1435,7,FALSE)</f>
        <v>0</v>
      </c>
      <c r="I111" s="411">
        <f>VLOOKUP(B111,MASTER!$B$8:$V$1435,8,FALSE)</f>
        <v>0</v>
      </c>
      <c r="J111" s="411" t="str">
        <f>VLOOKUP(B111,MASTER!$B$8:$V$1435,9,FALSE)</f>
        <v>L</v>
      </c>
      <c r="K111" s="413">
        <f>VLOOKUP(B111,MASTER!$B$8:$V$1435,11,FALSE)</f>
        <v>25427</v>
      </c>
      <c r="L111" s="422" t="str">
        <f t="shared" ca="1" si="28"/>
        <v>48.8</v>
      </c>
      <c r="M111" s="789" t="s">
        <v>749</v>
      </c>
      <c r="N111" s="413">
        <f>VLOOKUP(B111,MASTER!$B$8:$V$1435,14,FALSE)</f>
        <v>34590</v>
      </c>
      <c r="O111" s="422" t="str">
        <f t="shared" ca="1" si="29"/>
        <v>23.7</v>
      </c>
      <c r="P111" s="413">
        <f>VLOOKUP(B111,MASTER!$B$8:$V$1435,16,FALSE)</f>
        <v>45881</v>
      </c>
      <c r="Q111" s="414" t="str">
        <f>VLOOKUP(B111,MASTER!$B$8:$V$1435,17,FALSE)</f>
        <v>I</v>
      </c>
      <c r="R111" s="411" t="str">
        <f>VLOOKUP(B111,MASTER!$B$8:$V$1435,18,FALSE)</f>
        <v>SMA</v>
      </c>
      <c r="S111" s="411" t="str">
        <f>VLOOKUP(B111,MASTER!$B$8:$V$1435,19,FALSE)</f>
        <v>SLTA</v>
      </c>
      <c r="T111" s="418" t="str">
        <f>VLOOKUP(B111,MASTER!$B$8:$V$1435,20,FALSE)</f>
        <v>-</v>
      </c>
      <c r="U111" s="415" t="str">
        <f>VLOOKUP($B111,ALAMAT!$A$1:E371,4)</f>
        <v>KejenanRt01 Rw08 Bangsi Karangpandan Smg</v>
      </c>
      <c r="X111" s="407">
        <f t="shared" ca="1" si="30"/>
        <v>48</v>
      </c>
      <c r="Y111" s="407">
        <f t="shared" ca="1" si="21"/>
        <v>23</v>
      </c>
    </row>
    <row r="112" spans="1:25" s="407" customFormat="1" ht="12.95" customHeight="1">
      <c r="A112" s="408">
        <v>107</v>
      </c>
      <c r="B112" s="817">
        <v>7500</v>
      </c>
      <c r="C112" s="410" t="str">
        <f>VLOOKUP(B112,MASTER!$B$8:$C$137,2,FALSE)</f>
        <v>MUSTAFID</v>
      </c>
      <c r="D112" s="409" t="s">
        <v>2341</v>
      </c>
      <c r="E112" s="410" t="s">
        <v>2596</v>
      </c>
      <c r="F112" s="736" t="s">
        <v>18</v>
      </c>
      <c r="G112" s="411" t="str">
        <f>VLOOKUP(B112,MASTER!$B$8:$H$1435,6,FALSE)</f>
        <v>K</v>
      </c>
      <c r="H112" s="411">
        <f>VLOOKUP(B112,MASTER!$B$8:$H$1435,7,FALSE)</f>
        <v>2</v>
      </c>
      <c r="I112" s="411">
        <f>VLOOKUP(B112,MASTER!$B$8:$V$1435,8,FALSE)</f>
        <v>2</v>
      </c>
      <c r="J112" s="411" t="str">
        <f>VLOOKUP(B112,MASTER!$B$8:$V$1435,9,FALSE)</f>
        <v>L</v>
      </c>
      <c r="K112" s="413">
        <f>VLOOKUP(B112,MASTER!$B$8:$V$1435,11,FALSE)</f>
        <v>26420</v>
      </c>
      <c r="L112" s="422" t="str">
        <f t="shared" ca="1" si="28"/>
        <v>45.11</v>
      </c>
      <c r="M112" s="789" t="s">
        <v>746</v>
      </c>
      <c r="N112" s="413">
        <f>VLOOKUP(B112,MASTER!$B$8:$V$1435,14,FALSE)</f>
        <v>34608</v>
      </c>
      <c r="O112" s="422" t="str">
        <f t="shared" ca="1" si="29"/>
        <v>23.6</v>
      </c>
      <c r="P112" s="413">
        <f>VLOOKUP(B112,MASTER!$B$8:$V$1435,16,FALSE)</f>
        <v>46813</v>
      </c>
      <c r="Q112" s="414" t="str">
        <f>VLOOKUP(B112,MASTER!$B$8:$V$1435,17,FALSE)</f>
        <v>I</v>
      </c>
      <c r="R112" s="411" t="str">
        <f>VLOOKUP(B112,MASTER!$B$8:$V$1435,18,FALSE)</f>
        <v>SMA</v>
      </c>
      <c r="S112" s="411" t="str">
        <f>VLOOKUP(B112,MASTER!$B$8:$V$1435,19,FALSE)</f>
        <v>SLTA</v>
      </c>
      <c r="T112" s="418" t="str">
        <f>VLOOKUP(B112,MASTER!$B$8:$V$1435,20,FALSE)</f>
        <v>O</v>
      </c>
      <c r="U112" s="415" t="str">
        <f>VLOOKUP($B112,ALAMAT!$A$1:E373,4)</f>
        <v>Tlogorejo Rt 01 Rw11 Karangawen Semarang</v>
      </c>
      <c r="X112" s="407">
        <f t="shared" ca="1" si="30"/>
        <v>45</v>
      </c>
      <c r="Y112" s="407">
        <f t="shared" ref="Y112:Y124" ca="1" si="31">DATEDIF(N112,TODAY(),"y")</f>
        <v>23</v>
      </c>
    </row>
    <row r="113" spans="1:25" s="407" customFormat="1" ht="12.95" customHeight="1">
      <c r="A113" s="421">
        <v>108</v>
      </c>
      <c r="B113" s="821">
        <v>7651</v>
      </c>
      <c r="C113" s="410" t="str">
        <f>VLOOKUP(B113,MASTER!$B$8:$C$137,2,FALSE)</f>
        <v>RICKY NELSON SIBARANI</v>
      </c>
      <c r="D113" s="409" t="s">
        <v>2341</v>
      </c>
      <c r="E113" s="410" t="s">
        <v>2596</v>
      </c>
      <c r="F113" s="736" t="s">
        <v>18</v>
      </c>
      <c r="G113" s="411" t="str">
        <f>VLOOKUP(B113,MASTER!$B$8:$H$1435,6,FALSE)</f>
        <v>K</v>
      </c>
      <c r="H113" s="411">
        <f>VLOOKUP(B113,MASTER!$B$8:$H$1435,7,FALSE)</f>
        <v>2</v>
      </c>
      <c r="I113" s="411">
        <f>VLOOKUP(B113,MASTER!$B$8:$V$1435,8,FALSE)</f>
        <v>2</v>
      </c>
      <c r="J113" s="411" t="str">
        <f>VLOOKUP(B113,MASTER!$B$8:$V$1435,9,FALSE)</f>
        <v>L</v>
      </c>
      <c r="K113" s="413">
        <f>VLOOKUP(B113,MASTER!$B$8:$V$1435,11,FALSE)</f>
        <v>26568</v>
      </c>
      <c r="L113" s="422" t="str">
        <f t="shared" ca="1" si="28"/>
        <v>45.7</v>
      </c>
      <c r="M113" s="789" t="s">
        <v>746</v>
      </c>
      <c r="N113" s="413">
        <f>VLOOKUP(B113,MASTER!$B$8:$V$1435,14,FALSE)</f>
        <v>34648</v>
      </c>
      <c r="O113" s="422" t="str">
        <f t="shared" ca="1" si="29"/>
        <v>23.5</v>
      </c>
      <c r="P113" s="413">
        <f>VLOOKUP(B113,MASTER!$B$8:$V$1435,16,FALSE)</f>
        <v>47022</v>
      </c>
      <c r="Q113" s="414" t="str">
        <f>VLOOKUP(B113,MASTER!$B$8:$V$1435,17,FALSE)</f>
        <v>P</v>
      </c>
      <c r="R113" s="411" t="str">
        <f>VLOOKUP(B113,MASTER!$B$8:$V$1435,18,FALSE)</f>
        <v>SMA</v>
      </c>
      <c r="S113" s="411" t="str">
        <f>VLOOKUP(B113,MASTER!$B$8:$V$1435,19,FALSE)</f>
        <v>SLTA</v>
      </c>
      <c r="T113" s="418" t="str">
        <f>VLOOKUP(B113,MASTER!$B$8:$V$1435,20,FALSE)</f>
        <v>AB</v>
      </c>
      <c r="U113" s="415" t="str">
        <f>VLOOKUP($B113,ALAMAT!$A$1:E374,4)</f>
        <v>JL. Tlogo Mulyo Pesona Asri II blok F.11</v>
      </c>
      <c r="X113" s="407">
        <f t="shared" ca="1" si="30"/>
        <v>45</v>
      </c>
      <c r="Y113" s="407">
        <f t="shared" ca="1" si="31"/>
        <v>23</v>
      </c>
    </row>
    <row r="114" spans="1:25" s="407" customFormat="1" ht="12.95" customHeight="1">
      <c r="A114" s="408">
        <v>109</v>
      </c>
      <c r="B114" s="817">
        <v>7824</v>
      </c>
      <c r="C114" s="410" t="str">
        <f>VLOOKUP(B114,MASTER!$B$8:$C$137,2,FALSE)</f>
        <v>PRIYANTO</v>
      </c>
      <c r="D114" s="409" t="s">
        <v>2341</v>
      </c>
      <c r="E114" s="410" t="s">
        <v>2596</v>
      </c>
      <c r="F114" s="736" t="s">
        <v>18</v>
      </c>
      <c r="G114" s="411" t="str">
        <f>VLOOKUP(B114,MASTER!$B$8:$H$1435,6,FALSE)</f>
        <v>K</v>
      </c>
      <c r="H114" s="411">
        <f>VLOOKUP(B114,MASTER!$B$8:$H$1435,7,FALSE)</f>
        <v>3</v>
      </c>
      <c r="I114" s="411">
        <f>VLOOKUP(B114,MASTER!$B$8:$V$1435,8,FALSE)</f>
        <v>3</v>
      </c>
      <c r="J114" s="411" t="str">
        <f>VLOOKUP(B114,MASTER!$B$8:$V$1435,9,FALSE)</f>
        <v>L</v>
      </c>
      <c r="K114" s="413">
        <f>VLOOKUP(B114,MASTER!$B$8:$V$1435,11,FALSE)</f>
        <v>26990</v>
      </c>
      <c r="L114" s="422" t="str">
        <f t="shared" ca="1" si="28"/>
        <v>44.5</v>
      </c>
      <c r="M114" s="789" t="s">
        <v>744</v>
      </c>
      <c r="N114" s="413">
        <f>VLOOKUP(B114,MASTER!$B$8:$V$1435,14,FALSE)</f>
        <v>34701</v>
      </c>
      <c r="O114" s="422" t="str">
        <f t="shared" ca="1" si="29"/>
        <v>23.3</v>
      </c>
      <c r="P114" s="413">
        <f>VLOOKUP(B114,MASTER!$B$8:$V$1435,16,FALSE)</f>
        <v>47444</v>
      </c>
      <c r="Q114" s="414" t="str">
        <f>VLOOKUP(B114,MASTER!$B$8:$V$1435,17,FALSE)</f>
        <v>I</v>
      </c>
      <c r="R114" s="411" t="str">
        <f>VLOOKUP(B114,MASTER!$B$8:$V$1435,18,FALSE)</f>
        <v>STM</v>
      </c>
      <c r="S114" s="411" t="str">
        <f>VLOOKUP(B114,MASTER!$B$8:$V$1435,19,FALSE)</f>
        <v>SLTA</v>
      </c>
      <c r="T114" s="418" t="str">
        <f>VLOOKUP(B114,MASTER!$B$8:$V$1435,20,FALSE)</f>
        <v>O</v>
      </c>
      <c r="U114" s="415" t="str">
        <f>VLOOKUP($B114,ALAMAT!$A$1:E375,4)</f>
        <v>Griya Payung Asri Kav.93 RT.003 RW.006 Pudakpayung Banyumanik Semarang</v>
      </c>
      <c r="X114" s="407">
        <f t="shared" ca="1" si="30"/>
        <v>44</v>
      </c>
      <c r="Y114" s="407">
        <f t="shared" ca="1" si="31"/>
        <v>23</v>
      </c>
    </row>
    <row r="115" spans="1:25" s="407" customFormat="1" ht="12.95" customHeight="1">
      <c r="A115" s="421">
        <v>110</v>
      </c>
      <c r="B115" s="821">
        <v>8195</v>
      </c>
      <c r="C115" s="410" t="str">
        <f>VLOOKUP(B115,MASTER!$B$8:$C$137,2,FALSE)</f>
        <v>SURIP KUNTADI</v>
      </c>
      <c r="D115" s="409" t="s">
        <v>2342</v>
      </c>
      <c r="E115" s="410" t="s">
        <v>2596</v>
      </c>
      <c r="F115" s="736" t="s">
        <v>18</v>
      </c>
      <c r="G115" s="411" t="str">
        <f>VLOOKUP(B115,MASTER!$B$8:$H$1435,6,FALSE)</f>
        <v>K</v>
      </c>
      <c r="H115" s="411">
        <f>VLOOKUP(B115,MASTER!$B$8:$H$1435,7,FALSE)</f>
        <v>3</v>
      </c>
      <c r="I115" s="411">
        <f>VLOOKUP(B115,MASTER!$B$8:$V$1435,8,FALSE)</f>
        <v>3</v>
      </c>
      <c r="J115" s="411" t="str">
        <f>VLOOKUP(B115,MASTER!$B$8:$V$1435,9,FALSE)</f>
        <v>L</v>
      </c>
      <c r="K115" s="413">
        <f>VLOOKUP(B115,MASTER!$B$8:$V$1435,11,FALSE)</f>
        <v>26724</v>
      </c>
      <c r="L115" s="422" t="str">
        <f t="shared" ca="1" si="28"/>
        <v>45.1</v>
      </c>
      <c r="M115" s="789" t="s">
        <v>745</v>
      </c>
      <c r="N115" s="413">
        <f>VLOOKUP(B115,MASTER!$B$8:$V$1435,14,FALSE)</f>
        <v>34956</v>
      </c>
      <c r="O115" s="422" t="str">
        <f t="shared" ca="1" si="29"/>
        <v>22.7</v>
      </c>
      <c r="P115" s="413">
        <f>VLOOKUP(B115,MASTER!$B$8:$V$1435,16,FALSE)</f>
        <v>47178</v>
      </c>
      <c r="Q115" s="414" t="str">
        <f>VLOOKUP(B115,MASTER!$B$8:$V$1435,17,FALSE)</f>
        <v>I</v>
      </c>
      <c r="R115" s="411" t="str">
        <f>VLOOKUP(B115,MASTER!$B$8:$V$1435,18,FALSE)</f>
        <v>STM</v>
      </c>
      <c r="S115" s="411" t="str">
        <f>VLOOKUP(B115,MASTER!$B$8:$V$1435,19,FALSE)</f>
        <v>S1</v>
      </c>
      <c r="T115" s="418" t="str">
        <f>VLOOKUP(B115,MASTER!$B$8:$V$1435,20,FALSE)</f>
        <v>B</v>
      </c>
      <c r="U115" s="415" t="str">
        <f>VLOOKUP($B115,ALAMAT!$A$1:E377,4)</f>
        <v>Puri Dinar Elok C4 No.5 RT.008RW.020 Meteseh Tembalang Semarang</v>
      </c>
      <c r="X115" s="407">
        <f t="shared" ca="1" si="30"/>
        <v>45</v>
      </c>
      <c r="Y115" s="407">
        <f t="shared" ca="1" si="31"/>
        <v>22</v>
      </c>
    </row>
    <row r="116" spans="1:25" s="407" customFormat="1" ht="12.95" customHeight="1">
      <c r="A116" s="408">
        <v>111</v>
      </c>
      <c r="B116" s="821">
        <v>8359</v>
      </c>
      <c r="C116" s="410" t="str">
        <f>VLOOKUP(B116,MASTER!$B$8:$C$137,2,FALSE)</f>
        <v>EDY SUPRIONO</v>
      </c>
      <c r="D116" s="409" t="s">
        <v>2341</v>
      </c>
      <c r="E116" s="410" t="s">
        <v>2596</v>
      </c>
      <c r="F116" s="736" t="s">
        <v>18</v>
      </c>
      <c r="G116" s="411" t="str">
        <f>VLOOKUP(B116,MASTER!$B$8:$H$1435,6,FALSE)</f>
        <v>K</v>
      </c>
      <c r="H116" s="411">
        <f>VLOOKUP(B116,MASTER!$B$8:$H$1435,7,FALSE)</f>
        <v>1</v>
      </c>
      <c r="I116" s="411">
        <f>VLOOKUP(B116,MASTER!$B$8:$V$1435,8,FALSE)</f>
        <v>1</v>
      </c>
      <c r="J116" s="411" t="str">
        <f>VLOOKUP(B116,MASTER!$B$8:$V$1435,9,FALSE)</f>
        <v>L</v>
      </c>
      <c r="K116" s="413">
        <f>VLOOKUP(B116,MASTER!$B$8:$V$1435,11,FALSE)</f>
        <v>26205</v>
      </c>
      <c r="L116" s="422" t="str">
        <f t="shared" ca="1" si="28"/>
        <v>46.7</v>
      </c>
      <c r="M116" s="789" t="s">
        <v>747</v>
      </c>
      <c r="N116" s="413">
        <f>VLOOKUP(B116,MASTER!$B$8:$V$1435,14,FALSE)</f>
        <v>35096</v>
      </c>
      <c r="O116" s="422" t="str">
        <f t="shared" ca="1" si="29"/>
        <v>22.2</v>
      </c>
      <c r="P116" s="413">
        <f>VLOOKUP(B116,MASTER!$B$8:$V$1435,16,FALSE)</f>
        <v>46659</v>
      </c>
      <c r="Q116" s="414" t="str">
        <f>VLOOKUP(B116,MASTER!$B$8:$V$1435,17,FALSE)</f>
        <v>I</v>
      </c>
      <c r="R116" s="411" t="str">
        <f>VLOOKUP(B116,MASTER!$B$8:$V$1435,18,FALSE)</f>
        <v>SMA</v>
      </c>
      <c r="S116" s="411" t="str">
        <f>VLOOKUP(B116,MASTER!$B$8:$V$1435,19,FALSE)</f>
        <v>SLTA</v>
      </c>
      <c r="T116" s="418" t="str">
        <f>VLOOKUP(B116,MASTER!$B$8:$V$1435,20,FALSE)</f>
        <v xml:space="preserve">A </v>
      </c>
      <c r="U116" s="415" t="str">
        <f>VLOOKUP($B116,ALAMAT!$A$1:E379,4)</f>
        <v>Jl delikrejo Rt 07 Rw 11 Tandang Kec  Tembalang Semarang</v>
      </c>
      <c r="X116" s="407">
        <f t="shared" ca="1" si="30"/>
        <v>46</v>
      </c>
      <c r="Y116" s="407">
        <f t="shared" ca="1" si="31"/>
        <v>22</v>
      </c>
    </row>
    <row r="117" spans="1:25" s="407" customFormat="1" ht="12.95" customHeight="1">
      <c r="A117" s="421">
        <v>112</v>
      </c>
      <c r="B117" s="817">
        <v>8369</v>
      </c>
      <c r="C117" s="410" t="str">
        <f>VLOOKUP(B117,MASTER!$B$8:$C$137,2,FALSE)</f>
        <v>EKO BUDIONO</v>
      </c>
      <c r="D117" s="409" t="s">
        <v>2341</v>
      </c>
      <c r="E117" s="410" t="s">
        <v>2596</v>
      </c>
      <c r="F117" s="736" t="s">
        <v>18</v>
      </c>
      <c r="G117" s="411" t="str">
        <f>VLOOKUP(B117,MASTER!$B$8:$H$1435,6,FALSE)</f>
        <v>K</v>
      </c>
      <c r="H117" s="411">
        <f>VLOOKUP(B117,MASTER!$B$8:$H$1435,7,FALSE)</f>
        <v>1</v>
      </c>
      <c r="I117" s="411">
        <f>VLOOKUP(B117,MASTER!$B$8:$V$1435,8,FALSE)</f>
        <v>1</v>
      </c>
      <c r="J117" s="411" t="str">
        <f>VLOOKUP(B117,MASTER!$B$8:$V$1435,9,FALSE)</f>
        <v>L</v>
      </c>
      <c r="K117" s="413">
        <f>VLOOKUP(B117,MASTER!$B$8:$V$1435,11,FALSE)</f>
        <v>27966</v>
      </c>
      <c r="L117" s="422" t="str">
        <f t="shared" ca="1" si="28"/>
        <v>41.9</v>
      </c>
      <c r="M117" s="789" t="s">
        <v>742</v>
      </c>
      <c r="N117" s="413">
        <f>VLOOKUP(B117,MASTER!$B$8:$V$1435,14,FALSE)</f>
        <v>35068</v>
      </c>
      <c r="O117" s="422" t="str">
        <f t="shared" ca="1" si="29"/>
        <v>22.3</v>
      </c>
      <c r="P117" s="413">
        <f>VLOOKUP(B117,MASTER!$B$8:$V$1435,16,FALSE)</f>
        <v>48423</v>
      </c>
      <c r="Q117" s="414" t="str">
        <f>VLOOKUP(B117,MASTER!$B$8:$V$1435,17,FALSE)</f>
        <v>I</v>
      </c>
      <c r="R117" s="411" t="str">
        <f>VLOOKUP(B117,MASTER!$B$8:$V$1435,18,FALSE)</f>
        <v>SMA</v>
      </c>
      <c r="S117" s="411" t="str">
        <f>VLOOKUP(B117,MASTER!$B$8:$V$1435,19,FALSE)</f>
        <v>SLTA</v>
      </c>
      <c r="T117" s="418" t="str">
        <f>VLOOKUP(B117,MASTER!$B$8:$V$1435,20,FALSE)</f>
        <v>-</v>
      </c>
      <c r="U117" s="415" t="str">
        <f>VLOOKUP($B117,ALAMAT!$A$1:E380,4)</f>
        <v>DK Karang RT 01 RW 08 Jekulo Kudus</v>
      </c>
      <c r="X117" s="407">
        <f t="shared" ca="1" si="30"/>
        <v>41</v>
      </c>
      <c r="Y117" s="407">
        <f t="shared" ca="1" si="31"/>
        <v>22</v>
      </c>
    </row>
    <row r="118" spans="1:25" s="407" customFormat="1" ht="12.95" customHeight="1">
      <c r="A118" s="408">
        <v>113</v>
      </c>
      <c r="B118" s="817">
        <v>8741</v>
      </c>
      <c r="C118" s="410" t="str">
        <f>VLOOKUP(B118,MASTER!$B$8:$C$137,2,FALSE)</f>
        <v>RENO LILIK SUNARNO</v>
      </c>
      <c r="D118" s="409" t="s">
        <v>2342</v>
      </c>
      <c r="E118" s="410" t="s">
        <v>2596</v>
      </c>
      <c r="F118" s="736" t="s">
        <v>18</v>
      </c>
      <c r="G118" s="411" t="str">
        <f>VLOOKUP(B118,MASTER!$B$8:$H$1435,6,FALSE)</f>
        <v>K</v>
      </c>
      <c r="H118" s="411">
        <f>VLOOKUP(B118,MASTER!$B$8:$H$1435,7,FALSE)</f>
        <v>2</v>
      </c>
      <c r="I118" s="411">
        <f>VLOOKUP(B118,MASTER!$B$8:$V$1435,8,FALSE)</f>
        <v>2</v>
      </c>
      <c r="J118" s="411" t="str">
        <f>VLOOKUP(B118,MASTER!$B$8:$V$1435,9,FALSE)</f>
        <v>L</v>
      </c>
      <c r="K118" s="413">
        <f>VLOOKUP(B118,MASTER!$B$8:$V$1435,11,FALSE)</f>
        <v>27018</v>
      </c>
      <c r="L118" s="422" t="str">
        <f t="shared" ca="1" si="28"/>
        <v>44.4</v>
      </c>
      <c r="M118" s="789" t="s">
        <v>744</v>
      </c>
      <c r="N118" s="413">
        <f>VLOOKUP(B118,MASTER!$B$8:$V$1435,14,FALSE)</f>
        <v>35241</v>
      </c>
      <c r="O118" s="422" t="str">
        <f t="shared" ca="1" si="29"/>
        <v>21.10</v>
      </c>
      <c r="P118" s="413">
        <f>VLOOKUP(B118,MASTER!$B$8:$V$1435,16,FALSE)</f>
        <v>47472</v>
      </c>
      <c r="Q118" s="414" t="str">
        <f>VLOOKUP(B118,MASTER!$B$8:$V$1435,17,FALSE)</f>
        <v>I</v>
      </c>
      <c r="R118" s="411" t="str">
        <f>VLOOKUP(B118,MASTER!$B$8:$V$1435,18,FALSE)</f>
        <v>SMA</v>
      </c>
      <c r="S118" s="411" t="str">
        <f>VLOOKUP(B118,MASTER!$B$8:$V$1435,19,FALSE)</f>
        <v>S1</v>
      </c>
      <c r="T118" s="418" t="str">
        <f>VLOOKUP(B118,MASTER!$B$8:$V$1435,20,FALSE)</f>
        <v>O</v>
      </c>
      <c r="U118" s="415" t="str">
        <f>VLOOKUP($B118,ALAMAT!$A$1:E381,4)</f>
        <v>Bojanegara RT.001 RW.004 Bojanegara Padamara Purwalingga</v>
      </c>
      <c r="X118" s="407">
        <f t="shared" ca="1" si="30"/>
        <v>44</v>
      </c>
      <c r="Y118" s="407">
        <f t="shared" ca="1" si="31"/>
        <v>21</v>
      </c>
    </row>
    <row r="119" spans="1:25" s="407" customFormat="1" ht="12.95" customHeight="1">
      <c r="A119" s="421">
        <v>114</v>
      </c>
      <c r="B119" s="817">
        <v>9069</v>
      </c>
      <c r="C119" s="410" t="str">
        <f>VLOOKUP(B119,MASTER!$B$8:$C$137,2,FALSE)</f>
        <v>AGUS SENOPRATOMO</v>
      </c>
      <c r="D119" s="409" t="s">
        <v>2342</v>
      </c>
      <c r="E119" s="410" t="s">
        <v>2596</v>
      </c>
      <c r="F119" s="736" t="s">
        <v>18</v>
      </c>
      <c r="G119" s="411" t="str">
        <f>VLOOKUP(B119,MASTER!$B$8:$H$1435,6,FALSE)</f>
        <v>K</v>
      </c>
      <c r="H119" s="411">
        <f>VLOOKUP(B119,MASTER!$B$8:$H$1435,7,FALSE)</f>
        <v>2</v>
      </c>
      <c r="I119" s="411">
        <f>VLOOKUP(B119,MASTER!$B$8:$V$1435,8,FALSE)</f>
        <v>1</v>
      </c>
      <c r="J119" s="411" t="str">
        <f>VLOOKUP(B119,MASTER!$B$8:$V$1435,9,FALSE)</f>
        <v>L</v>
      </c>
      <c r="K119" s="413">
        <f>VLOOKUP(B119,MASTER!$B$8:$V$1435,11,FALSE)</f>
        <v>26173</v>
      </c>
      <c r="L119" s="422" t="str">
        <f t="shared" ca="1" si="28"/>
        <v>46.8</v>
      </c>
      <c r="M119" s="789" t="s">
        <v>747</v>
      </c>
      <c r="N119" s="413">
        <f>VLOOKUP(B119,MASTER!$B$8:$V$1435,14,FALSE)</f>
        <v>35335</v>
      </c>
      <c r="O119" s="422" t="str">
        <f t="shared" ca="1" si="29"/>
        <v>21.7</v>
      </c>
      <c r="P119" s="413">
        <f>VLOOKUP(B119,MASTER!$B$8:$V$1435,16,FALSE)</f>
        <v>47358</v>
      </c>
      <c r="Q119" s="414" t="str">
        <f>VLOOKUP(B119,MASTER!$B$8:$V$1435,17,FALSE)</f>
        <v>I</v>
      </c>
      <c r="R119" s="411" t="str">
        <f>VLOOKUP(B119,MASTER!$B$8:$V$1435,18,FALSE)</f>
        <v>STM</v>
      </c>
      <c r="S119" s="411" t="str">
        <f>VLOOKUP(B119,MASTER!$B$8:$V$1435,19,FALSE)</f>
        <v>SLTA</v>
      </c>
      <c r="T119" s="418" t="str">
        <f>VLOOKUP(B119,MASTER!$B$8:$V$1435,20,FALSE)</f>
        <v>AB</v>
      </c>
      <c r="U119" s="415" t="str">
        <f>VLOOKUP($B119,ALAMAT!$A$1:E383,4)</f>
        <v>Kemiri Lor RT.002 RW.003 , Kemiri Lor, Kemiri, Kab.Purworejo</v>
      </c>
      <c r="X119" s="407">
        <f t="shared" ca="1" si="30"/>
        <v>46</v>
      </c>
      <c r="Y119" s="407">
        <f t="shared" ca="1" si="31"/>
        <v>21</v>
      </c>
    </row>
    <row r="120" spans="1:25" s="407" customFormat="1" ht="12.95" customHeight="1">
      <c r="A120" s="408">
        <v>115</v>
      </c>
      <c r="B120" s="821">
        <v>9523</v>
      </c>
      <c r="C120" s="410" t="str">
        <f>VLOOKUP(B120,MASTER!$B$8:$C$137,2,FALSE)</f>
        <v>PUJI WINARSIH</v>
      </c>
      <c r="D120" s="409" t="s">
        <v>2342</v>
      </c>
      <c r="E120" s="410" t="s">
        <v>2596</v>
      </c>
      <c r="F120" s="736" t="s">
        <v>18</v>
      </c>
      <c r="G120" s="411" t="str">
        <f>VLOOKUP(B120,MASTER!$B$8:$H$1435,6,FALSE)</f>
        <v>K</v>
      </c>
      <c r="H120" s="411">
        <f>VLOOKUP(B120,MASTER!$B$8:$H$1435,7,FALSE)</f>
        <v>2</v>
      </c>
      <c r="I120" s="411">
        <f>VLOOKUP(B120,MASTER!$B$8:$V$1435,8,FALSE)</f>
        <v>2</v>
      </c>
      <c r="J120" s="411" t="str">
        <f>VLOOKUP(B120,MASTER!$B$8:$V$1435,9,FALSE)</f>
        <v>P</v>
      </c>
      <c r="K120" s="413">
        <f>VLOOKUP(B120,MASTER!$B$8:$V$1435,11,FALSE)</f>
        <v>28599</v>
      </c>
      <c r="L120" s="422" t="str">
        <f t="shared" ca="1" si="28"/>
        <v>40.0</v>
      </c>
      <c r="M120" s="789" t="s">
        <v>740</v>
      </c>
      <c r="N120" s="413">
        <f>VLOOKUP(B120,MASTER!$B$8:$V$1435,14,FALSE)</f>
        <v>35807</v>
      </c>
      <c r="O120" s="422" t="str">
        <f t="shared" ca="1" si="29"/>
        <v>20.3</v>
      </c>
      <c r="P120" s="413">
        <f>VLOOKUP(B120,MASTER!$B$8:$V$1435,16,FALSE)</f>
        <v>49053</v>
      </c>
      <c r="Q120" s="414" t="str">
        <f>VLOOKUP(B120,MASTER!$B$8:$V$1435,17,FALSE)</f>
        <v>I</v>
      </c>
      <c r="R120" s="411" t="str">
        <f>VLOOKUP(B120,MASTER!$B$8:$V$1435,18,FALSE)</f>
        <v>SMA</v>
      </c>
      <c r="S120" s="411" t="str">
        <f>VLOOKUP(B120,MASTER!$B$8:$V$1435,19,FALSE)</f>
        <v>SLTA</v>
      </c>
      <c r="T120" s="418" t="str">
        <f>VLOOKUP(B120,MASTER!$B$8:$V$1435,20,FALSE)</f>
        <v>AB</v>
      </c>
      <c r="U120" s="415" t="str">
        <f>VLOOKUP($B120,ALAMAT!$A$1:E386,4)</f>
        <v>Dusun Krajan RT.002 RW.002 Bebengan Boja Kab.Kendal</v>
      </c>
      <c r="X120" s="407">
        <f t="shared" ca="1" si="30"/>
        <v>40</v>
      </c>
      <c r="Y120" s="407">
        <f t="shared" ca="1" si="31"/>
        <v>20</v>
      </c>
    </row>
    <row r="121" spans="1:25" s="407" customFormat="1" ht="12.95" customHeight="1">
      <c r="A121" s="421">
        <v>116</v>
      </c>
      <c r="B121" s="821">
        <v>9527</v>
      </c>
      <c r="C121" s="410" t="str">
        <f>VLOOKUP(B121,MASTER!$B$8:$C$137,2,FALSE)</f>
        <v>CORNELIUS SETYO PAMBUDI</v>
      </c>
      <c r="D121" s="409" t="s">
        <v>2342</v>
      </c>
      <c r="E121" s="410" t="s">
        <v>2596</v>
      </c>
      <c r="F121" s="736" t="s">
        <v>18</v>
      </c>
      <c r="G121" s="411" t="str">
        <f>VLOOKUP(B121,MASTER!$B$8:$H$1435,6,FALSE)</f>
        <v>K</v>
      </c>
      <c r="H121" s="411">
        <f>VLOOKUP(B121,MASTER!$B$8:$H$1435,7,FALSE)</f>
        <v>3</v>
      </c>
      <c r="I121" s="411">
        <f>VLOOKUP(B121,MASTER!$B$8:$V$1435,8,FALSE)</f>
        <v>3</v>
      </c>
      <c r="J121" s="411" t="str">
        <f>VLOOKUP(B121,MASTER!$B$8:$V$1435,9,FALSE)</f>
        <v>L</v>
      </c>
      <c r="K121" s="413">
        <f>VLOOKUP(B121,MASTER!$B$8:$V$1435,11,FALSE)</f>
        <v>28011</v>
      </c>
      <c r="L121" s="422" t="str">
        <f t="shared" ca="1" si="28"/>
        <v>41.7</v>
      </c>
      <c r="M121" s="789" t="s">
        <v>742</v>
      </c>
      <c r="N121" s="413">
        <f>VLOOKUP(B121,MASTER!$B$8:$V$1435,14,FALSE)</f>
        <v>35807</v>
      </c>
      <c r="O121" s="422" t="str">
        <f t="shared" ca="1" si="29"/>
        <v>20.3</v>
      </c>
      <c r="P121" s="413">
        <f>VLOOKUP(B121,MASTER!$B$8:$V$1435,16,FALSE)</f>
        <v>48465</v>
      </c>
      <c r="Q121" s="414" t="str">
        <f>VLOOKUP(B121,MASTER!$B$8:$V$1435,17,FALSE)</f>
        <v>K</v>
      </c>
      <c r="R121" s="411" t="str">
        <f>VLOOKUP(B121,MASTER!$B$8:$V$1435,18,FALSE)</f>
        <v>STM</v>
      </c>
      <c r="S121" s="411" t="str">
        <f>VLOOKUP(B121,MASTER!$B$8:$V$1435,19,FALSE)</f>
        <v>SLTA</v>
      </c>
      <c r="T121" s="418" t="str">
        <f>VLOOKUP(B121,MASTER!$B$8:$V$1435,20,FALSE)</f>
        <v>AB</v>
      </c>
      <c r="U121" s="415" t="str">
        <f>VLOOKUP($B121,ALAMAT!$A$1:E388,4)</f>
        <v>Jl Kalilangse No 837 Rt 07 Rw 03  Gajah Mungkur Semarang</v>
      </c>
      <c r="X121" s="407">
        <f t="shared" ca="1" si="30"/>
        <v>41</v>
      </c>
      <c r="Y121" s="407">
        <f t="shared" ca="1" si="31"/>
        <v>20</v>
      </c>
    </row>
    <row r="122" spans="1:25" s="407" customFormat="1" ht="12.95" customHeight="1">
      <c r="A122" s="408">
        <v>117</v>
      </c>
      <c r="B122" s="821">
        <v>9531</v>
      </c>
      <c r="C122" s="410" t="str">
        <f>VLOOKUP(B122,MASTER!$B$8:$C$137,2,FALSE)</f>
        <v>SOLEMAN LASNO</v>
      </c>
      <c r="D122" s="409" t="s">
        <v>2342</v>
      </c>
      <c r="E122" s="410" t="s">
        <v>2596</v>
      </c>
      <c r="F122" s="736" t="s">
        <v>18</v>
      </c>
      <c r="G122" s="411" t="str">
        <f>VLOOKUP(B122,MASTER!$B$8:$H$1435,6,FALSE)</f>
        <v>K</v>
      </c>
      <c r="H122" s="411">
        <f>VLOOKUP(B122,MASTER!$B$8:$H$1435,7,FALSE)</f>
        <v>2</v>
      </c>
      <c r="I122" s="411">
        <f>VLOOKUP(B122,MASTER!$B$8:$V$1435,8,FALSE)</f>
        <v>2</v>
      </c>
      <c r="J122" s="411" t="str">
        <f>VLOOKUP(B122,MASTER!$B$8:$V$1435,9,FALSE)</f>
        <v>L</v>
      </c>
      <c r="K122" s="413">
        <f>VLOOKUP(B122,MASTER!$B$8:$V$1435,11,FALSE)</f>
        <v>28104</v>
      </c>
      <c r="L122" s="422" t="str">
        <f t="shared" ca="1" si="28"/>
        <v>41.4</v>
      </c>
      <c r="M122" s="789" t="s">
        <v>741</v>
      </c>
      <c r="N122" s="413">
        <f>VLOOKUP(B122,MASTER!$B$8:$V$1435,14,FALSE)</f>
        <v>35807</v>
      </c>
      <c r="O122" s="422" t="str">
        <f t="shared" ca="1" si="29"/>
        <v>20.3</v>
      </c>
      <c r="P122" s="413">
        <f>VLOOKUP(B122,MASTER!$B$8:$V$1435,16,FALSE)</f>
        <v>48558</v>
      </c>
      <c r="Q122" s="414" t="str">
        <f>VLOOKUP(B122,MASTER!$B$8:$V$1435,17,FALSE)</f>
        <v>I</v>
      </c>
      <c r="R122" s="411" t="str">
        <f>VLOOKUP(B122,MASTER!$B$8:$V$1435,18,FALSE)</f>
        <v>SMA</v>
      </c>
      <c r="S122" s="411" t="str">
        <f>VLOOKUP(B122,MASTER!$B$8:$V$1435,19,FALSE)</f>
        <v>SLTA</v>
      </c>
      <c r="T122" s="418" t="str">
        <f>VLOOKUP(B122,MASTER!$B$8:$V$1435,20,FALSE)</f>
        <v xml:space="preserve">O </v>
      </c>
      <c r="U122" s="415" t="str">
        <f>VLOOKUP($B122,ALAMAT!$A$1:E389,4)</f>
        <v>Jl.anjasmoro VI/41 RT.007 RW.003 Karangayu Semarang Barat</v>
      </c>
      <c r="X122" s="407">
        <f t="shared" ca="1" si="30"/>
        <v>41</v>
      </c>
      <c r="Y122" s="407">
        <f t="shared" ca="1" si="31"/>
        <v>20</v>
      </c>
    </row>
    <row r="123" spans="1:25" s="407" customFormat="1" ht="12.95" customHeight="1">
      <c r="A123" s="421">
        <v>118</v>
      </c>
      <c r="B123" s="821">
        <v>9535</v>
      </c>
      <c r="C123" s="410" t="str">
        <f>VLOOKUP(B123,MASTER!$B$8:$C$137,2,FALSE)</f>
        <v>AGUNG SULISTIYO</v>
      </c>
      <c r="D123" s="409" t="s">
        <v>2342</v>
      </c>
      <c r="E123" s="410" t="s">
        <v>2596</v>
      </c>
      <c r="F123" s="736" t="s">
        <v>18</v>
      </c>
      <c r="G123" s="411" t="str">
        <f>VLOOKUP(B123,MASTER!$B$8:$H$1435,6,FALSE)</f>
        <v>K</v>
      </c>
      <c r="H123" s="411">
        <f>VLOOKUP(B123,MASTER!$B$8:$H$1435,7,FALSE)</f>
        <v>2</v>
      </c>
      <c r="I123" s="411">
        <f>VLOOKUP(B123,MASTER!$B$8:$V$1435,8,FALSE)</f>
        <v>2</v>
      </c>
      <c r="J123" s="411" t="str">
        <f>VLOOKUP(B123,MASTER!$B$8:$V$1435,9,FALSE)</f>
        <v>L</v>
      </c>
      <c r="K123" s="413">
        <f>VLOOKUP(B123,MASTER!$B$8:$V$1435,11,FALSE)</f>
        <v>26715</v>
      </c>
      <c r="L123" s="422" t="str">
        <f t="shared" ca="1" si="28"/>
        <v>45.2</v>
      </c>
      <c r="M123" s="789" t="s">
        <v>745</v>
      </c>
      <c r="N123" s="413">
        <f>VLOOKUP(B123,MASTER!$B$8:$V$1435,14,FALSE)</f>
        <v>35807</v>
      </c>
      <c r="O123" s="422" t="str">
        <f t="shared" ca="1" si="29"/>
        <v>20.3</v>
      </c>
      <c r="P123" s="413">
        <f>VLOOKUP(B123,MASTER!$B$8:$V$1435,16,FALSE)</f>
        <v>47169</v>
      </c>
      <c r="Q123" s="414" t="str">
        <f>VLOOKUP(B123,MASTER!$B$8:$V$1435,17,FALSE)</f>
        <v>I</v>
      </c>
      <c r="R123" s="411" t="str">
        <f>VLOOKUP(B123,MASTER!$B$8:$V$1435,18,FALSE)</f>
        <v>SMA</v>
      </c>
      <c r="S123" s="411" t="str">
        <f>VLOOKUP(B123,MASTER!$B$8:$V$1435,19,FALSE)</f>
        <v>SLTA</v>
      </c>
      <c r="T123" s="418" t="str">
        <f>VLOOKUP(B123,MASTER!$B$8:$V$1435,20,FALSE)</f>
        <v xml:space="preserve">B </v>
      </c>
      <c r="U123" s="415" t="str">
        <f>VLOOKUP($B123,ALAMAT!$A$1:E391,4)</f>
        <v>Jl. Sriyatno Dalam no.20 RT.006 RW.004 Purwoyoso Ngaliyan Semarang</v>
      </c>
      <c r="X123" s="407">
        <f t="shared" ca="1" si="30"/>
        <v>45</v>
      </c>
      <c r="Y123" s="407">
        <f t="shared" ca="1" si="31"/>
        <v>20</v>
      </c>
    </row>
    <row r="124" spans="1:25" s="407" customFormat="1" ht="12.95" customHeight="1">
      <c r="A124" s="408">
        <v>119</v>
      </c>
      <c r="B124" s="821">
        <v>9543</v>
      </c>
      <c r="C124" s="410" t="str">
        <f>VLOOKUP(B124,MASTER!$B$8:$C$137,2,FALSE)</f>
        <v>DANANG NOVIANTO</v>
      </c>
      <c r="D124" s="409" t="s">
        <v>2342</v>
      </c>
      <c r="E124" s="410" t="s">
        <v>2596</v>
      </c>
      <c r="F124" s="736" t="s">
        <v>18</v>
      </c>
      <c r="G124" s="411" t="str">
        <f>VLOOKUP(B124,MASTER!$B$8:$H$1435,6,FALSE)</f>
        <v>K</v>
      </c>
      <c r="H124" s="411">
        <f>VLOOKUP(B124,MASTER!$B$8:$H$1435,7,FALSE)</f>
        <v>2</v>
      </c>
      <c r="I124" s="411">
        <f>VLOOKUP(B124,MASTER!$B$8:$V$1435,8,FALSE)</f>
        <v>2</v>
      </c>
      <c r="J124" s="411" t="str">
        <f>VLOOKUP(B124,MASTER!$B$8:$V$1435,9,FALSE)</f>
        <v>L</v>
      </c>
      <c r="K124" s="413">
        <f>VLOOKUP(B124,MASTER!$B$8:$V$1435,11,FALSE)</f>
        <v>27728</v>
      </c>
      <c r="L124" s="422" t="str">
        <f t="shared" ca="1" si="28"/>
        <v>42.5</v>
      </c>
      <c r="M124" s="789" t="s">
        <v>742</v>
      </c>
      <c r="N124" s="413">
        <f>VLOOKUP(B124,MASTER!$B$8:$V$1435,14,FALSE)</f>
        <v>35807</v>
      </c>
      <c r="O124" s="422" t="str">
        <f t="shared" ca="1" si="29"/>
        <v>20.3</v>
      </c>
      <c r="P124" s="413">
        <f>VLOOKUP(B124,MASTER!$B$8:$V$1435,16,FALSE)</f>
        <v>48182</v>
      </c>
      <c r="Q124" s="414" t="str">
        <f>VLOOKUP(B124,MASTER!$B$8:$V$1435,17,FALSE)</f>
        <v>I</v>
      </c>
      <c r="R124" s="411" t="str">
        <f>VLOOKUP(B124,MASTER!$B$8:$V$1435,18,FALSE)</f>
        <v>SMA</v>
      </c>
      <c r="S124" s="411" t="str">
        <f>VLOOKUP(B124,MASTER!$B$8:$V$1435,19,FALSE)</f>
        <v>SLTA</v>
      </c>
      <c r="T124" s="418" t="str">
        <f>VLOOKUP(B124,MASTER!$B$8:$V$1435,20,FALSE)</f>
        <v xml:space="preserve">A </v>
      </c>
      <c r="U124" s="415" t="str">
        <f>VLOOKUP($B124,ALAMAT!$A$1:E392,4)</f>
        <v>JL.Tusam Timur 14B RT.002 RW.001 pedalangan Banyumanik Semarang</v>
      </c>
      <c r="X124" s="407">
        <f t="shared" ca="1" si="30"/>
        <v>42</v>
      </c>
      <c r="Y124" s="407">
        <f t="shared" ca="1" si="31"/>
        <v>20</v>
      </c>
    </row>
    <row r="125" spans="1:25" s="407" customFormat="1" ht="12.95" customHeight="1">
      <c r="A125" s="658"/>
      <c r="B125" s="806"/>
      <c r="C125" s="410"/>
      <c r="D125" s="409"/>
      <c r="E125" s="410"/>
      <c r="F125" s="411"/>
      <c r="G125" s="411"/>
      <c r="H125" s="411"/>
      <c r="I125" s="411"/>
      <c r="J125" s="411"/>
      <c r="K125" s="413"/>
      <c r="L125" s="422"/>
      <c r="M125" s="439"/>
      <c r="N125" s="413"/>
      <c r="O125" s="422"/>
      <c r="P125" s="413"/>
      <c r="Q125" s="414"/>
      <c r="R125" s="411"/>
      <c r="S125" s="411"/>
      <c r="T125" s="424"/>
      <c r="U125" s="415"/>
    </row>
    <row r="126" spans="1:25" s="446" customFormat="1" ht="12.95" customHeight="1">
      <c r="A126" s="447" t="s">
        <v>2595</v>
      </c>
      <c r="B126" s="808"/>
      <c r="C126" s="7"/>
      <c r="D126" s="7"/>
      <c r="E126" s="7"/>
      <c r="F126" s="7"/>
      <c r="G126" s="7"/>
      <c r="H126" s="36"/>
      <c r="I126" s="36"/>
      <c r="J126" s="7"/>
      <c r="K126" s="35"/>
      <c r="L126" s="448"/>
      <c r="M126" s="448"/>
      <c r="N126" s="35"/>
      <c r="O126" s="35"/>
      <c r="P126" s="35"/>
      <c r="Q126" s="29"/>
      <c r="R126" s="7"/>
      <c r="S126" s="7"/>
      <c r="T126" s="29"/>
      <c r="U126" s="7"/>
    </row>
    <row r="127" spans="1:25" s="446" customFormat="1" ht="12.95" customHeight="1">
      <c r="A127" s="3"/>
      <c r="B127" s="809"/>
      <c r="C127" s="3"/>
      <c r="D127" s="3"/>
      <c r="E127" s="3"/>
      <c r="F127" s="3"/>
      <c r="G127" s="3"/>
      <c r="H127" s="449"/>
      <c r="I127" s="3"/>
      <c r="J127" s="3"/>
      <c r="K127" s="450"/>
      <c r="L127" s="34"/>
      <c r="M127" s="34"/>
      <c r="N127" s="450"/>
      <c r="O127" s="450"/>
      <c r="P127" s="450"/>
      <c r="Q127" s="3"/>
      <c r="R127" s="3"/>
      <c r="S127" s="3"/>
      <c r="T127" s="1"/>
      <c r="U127" s="897" t="s">
        <v>2817</v>
      </c>
      <c r="V127" s="407"/>
    </row>
    <row r="128" spans="1:25" s="407" customFormat="1" ht="12.95" customHeight="1">
      <c r="A128" s="3"/>
      <c r="B128" s="809"/>
      <c r="C128" s="3"/>
      <c r="D128" s="3"/>
      <c r="E128" s="897" t="s">
        <v>512</v>
      </c>
      <c r="F128" s="3"/>
      <c r="G128" s="3"/>
      <c r="H128" s="3"/>
      <c r="I128" s="3"/>
      <c r="J128" s="3"/>
      <c r="K128" s="450"/>
      <c r="L128" s="34"/>
      <c r="M128" s="34"/>
      <c r="N128" s="450"/>
      <c r="O128" s="450"/>
      <c r="P128" s="450"/>
      <c r="Q128" s="3"/>
      <c r="R128" s="3"/>
      <c r="S128" s="3"/>
      <c r="T128" s="1"/>
      <c r="U128" s="897"/>
    </row>
    <row r="129" spans="1:22" s="407" customFormat="1" ht="12.95" customHeight="1">
      <c r="A129" s="3"/>
      <c r="B129" s="809"/>
      <c r="C129" s="3"/>
      <c r="D129" s="3"/>
      <c r="E129" s="897" t="s">
        <v>676</v>
      </c>
      <c r="F129" s="3"/>
      <c r="G129" s="3"/>
      <c r="H129" s="3"/>
      <c r="I129" s="3"/>
      <c r="J129" s="3"/>
      <c r="K129" s="450"/>
      <c r="L129" s="451"/>
      <c r="M129" s="451"/>
      <c r="N129" s="450"/>
      <c r="O129" s="450"/>
      <c r="P129" s="450"/>
      <c r="Q129" s="3"/>
      <c r="R129" s="3"/>
      <c r="S129" s="3"/>
      <c r="T129" s="1"/>
      <c r="U129" s="897" t="s">
        <v>2524</v>
      </c>
    </row>
    <row r="130" spans="1:22" s="407" customFormat="1" ht="12.95" customHeight="1">
      <c r="A130" s="3"/>
      <c r="B130" s="809"/>
      <c r="C130" s="3"/>
      <c r="D130" s="3"/>
      <c r="E130" s="897"/>
      <c r="F130" s="3"/>
      <c r="G130" s="3"/>
      <c r="H130" s="3"/>
      <c r="I130" s="3"/>
      <c r="J130" s="3"/>
      <c r="K130" s="450"/>
      <c r="L130" s="34"/>
      <c r="M130" s="34"/>
      <c r="N130" s="450"/>
      <c r="O130" s="450"/>
      <c r="P130" s="450"/>
      <c r="Q130" s="3"/>
      <c r="R130" s="3"/>
      <c r="S130" s="3"/>
      <c r="T130" s="1"/>
      <c r="U130" s="897"/>
    </row>
    <row r="131" spans="1:22" s="407" customFormat="1" ht="12.95" customHeight="1">
      <c r="A131" s="3"/>
      <c r="B131" s="809"/>
      <c r="C131" s="3"/>
      <c r="D131" s="3"/>
      <c r="E131" s="897"/>
      <c r="F131" s="3"/>
      <c r="G131" s="3"/>
      <c r="H131" s="3"/>
      <c r="I131" s="3"/>
      <c r="J131" s="3"/>
      <c r="K131" s="450"/>
      <c r="L131" s="34"/>
      <c r="M131" s="34"/>
      <c r="N131" s="450"/>
      <c r="O131" s="450"/>
      <c r="P131" s="450"/>
      <c r="Q131" s="3"/>
      <c r="R131" s="3"/>
      <c r="S131" s="3"/>
      <c r="T131" s="1"/>
      <c r="U131" s="897"/>
    </row>
    <row r="132" spans="1:22" s="407" customFormat="1" ht="12.95" customHeight="1">
      <c r="A132" s="3"/>
      <c r="B132" s="809"/>
      <c r="C132" s="3"/>
      <c r="D132" s="3"/>
      <c r="E132" s="897"/>
      <c r="F132" s="3"/>
      <c r="G132" s="3"/>
      <c r="H132" s="3"/>
      <c r="I132" s="3"/>
      <c r="J132" s="3"/>
      <c r="K132" s="450"/>
      <c r="L132" s="34"/>
      <c r="M132" s="34"/>
      <c r="N132" s="450"/>
      <c r="O132" s="450"/>
      <c r="P132" s="450"/>
      <c r="Q132" s="3"/>
      <c r="R132" s="3"/>
      <c r="S132" s="3"/>
      <c r="T132" s="1"/>
      <c r="U132" s="897"/>
    </row>
    <row r="133" spans="1:22" s="407" customFormat="1" ht="12.95" customHeight="1">
      <c r="A133" s="3"/>
      <c r="B133" s="809"/>
      <c r="C133" s="3"/>
      <c r="D133" s="3"/>
      <c r="E133" s="896" t="s">
        <v>2434</v>
      </c>
      <c r="F133" s="3"/>
      <c r="G133" s="3"/>
      <c r="H133" s="3"/>
      <c r="I133" s="3"/>
      <c r="J133" s="3"/>
      <c r="K133" s="450"/>
      <c r="L133" s="34"/>
      <c r="M133" s="34"/>
      <c r="N133" s="450"/>
      <c r="O133" s="450"/>
      <c r="P133" s="450"/>
      <c r="Q133" s="3"/>
      <c r="R133" s="3"/>
      <c r="S133" s="3"/>
      <c r="T133" s="1"/>
      <c r="U133" s="896" t="s">
        <v>2435</v>
      </c>
    </row>
    <row r="134" spans="1:22" s="407" customFormat="1" ht="12.95" customHeight="1">
      <c r="A134" s="3"/>
      <c r="B134" s="809"/>
      <c r="C134" s="3"/>
      <c r="D134" s="3"/>
      <c r="E134" s="897" t="s">
        <v>2437</v>
      </c>
      <c r="F134" s="3"/>
      <c r="G134" s="3"/>
      <c r="H134" s="3"/>
      <c r="I134" s="3"/>
      <c r="J134" s="3"/>
      <c r="K134" s="450"/>
      <c r="L134" s="34"/>
      <c r="M134" s="34"/>
      <c r="N134" s="450"/>
      <c r="O134" s="450"/>
      <c r="P134" s="450"/>
      <c r="Q134" s="3"/>
      <c r="R134" s="3"/>
      <c r="S134" s="3"/>
      <c r="T134" s="1"/>
      <c r="U134" s="897" t="s">
        <v>2438</v>
      </c>
    </row>
    <row r="135" spans="1:22" s="407" customFormat="1" ht="12.95" customHeight="1">
      <c r="A135" s="3"/>
      <c r="B135" s="809"/>
      <c r="C135" s="3"/>
      <c r="D135" s="3"/>
      <c r="E135" s="3"/>
      <c r="F135" s="3"/>
      <c r="G135" s="3"/>
      <c r="H135" s="3"/>
      <c r="I135" s="3"/>
      <c r="J135" s="3"/>
      <c r="K135" s="450"/>
      <c r="L135" s="34"/>
      <c r="M135" s="34"/>
      <c r="N135" s="450"/>
      <c r="O135" s="450"/>
      <c r="P135" s="35"/>
      <c r="Q135" s="3"/>
      <c r="R135" s="3"/>
      <c r="S135" s="3"/>
      <c r="T135" s="1"/>
      <c r="U135" s="3"/>
    </row>
    <row r="136" spans="1:22" s="407" customFormat="1" ht="16.5">
      <c r="B136" s="810"/>
      <c r="C136" s="27"/>
      <c r="D136" s="13"/>
      <c r="K136" s="453"/>
      <c r="L136" s="454"/>
      <c r="M136" s="454"/>
      <c r="N136" s="453"/>
      <c r="O136" s="453"/>
      <c r="P136" s="453"/>
      <c r="T136" s="455"/>
    </row>
    <row r="137" spans="1:22" s="407" customFormat="1" ht="16.5">
      <c r="B137" s="810"/>
      <c r="C137" s="27"/>
      <c r="D137" s="13"/>
      <c r="K137" s="453"/>
      <c r="L137" s="454"/>
      <c r="M137" s="454"/>
      <c r="N137" s="453"/>
      <c r="O137" s="453"/>
      <c r="P137" s="453"/>
      <c r="T137" s="455"/>
    </row>
    <row r="138" spans="1:22" s="407" customFormat="1" ht="16.5">
      <c r="B138" s="810"/>
      <c r="C138" s="27" t="s">
        <v>769</v>
      </c>
      <c r="D138" s="13"/>
      <c r="K138" s="453"/>
      <c r="L138" s="454"/>
      <c r="M138" s="454"/>
      <c r="N138" s="453"/>
      <c r="O138" s="453"/>
      <c r="P138" s="453"/>
      <c r="T138" s="455"/>
    </row>
    <row r="139" spans="1:22" s="407" customFormat="1" ht="16.5">
      <c r="A139" s="28"/>
      <c r="B139" s="810"/>
      <c r="C139" s="27"/>
      <c r="D139" s="13"/>
      <c r="E139" s="28"/>
      <c r="F139" s="28"/>
      <c r="G139" s="28"/>
      <c r="H139" s="28"/>
      <c r="I139" s="28"/>
      <c r="J139" s="28"/>
      <c r="K139" s="32"/>
      <c r="L139" s="316"/>
      <c r="M139" s="316"/>
      <c r="N139" s="32"/>
      <c r="O139" s="32"/>
      <c r="P139" s="32"/>
      <c r="Q139" s="28"/>
      <c r="R139" s="28"/>
      <c r="S139" s="28"/>
      <c r="T139" s="55"/>
      <c r="U139" s="28"/>
      <c r="V139" s="28"/>
    </row>
  </sheetData>
  <mergeCells count="2">
    <mergeCell ref="A1:U1"/>
    <mergeCell ref="A2:U2"/>
  </mergeCells>
  <printOptions horizontalCentered="1"/>
  <pageMargins left="1.25" right="0.25" top="0.5" bottom="0.75" header="0.3" footer="0.3"/>
  <pageSetup paperSize="5" scale="50" fitToHeight="0" orientation="landscape" r:id="rId1"/>
  <headerFooter>
    <oddFooter>&amp;L&amp;6MIL/Aby/ay</oddFooter>
  </headerFooter>
  <rowBreaks count="1" manualBreakCount="1">
    <brk id="110" max="20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V153"/>
  <sheetViews>
    <sheetView topLeftCell="A115" workbookViewId="0">
      <selection activeCell="V23" sqref="V23"/>
    </sheetView>
  </sheetViews>
  <sheetFormatPr defaultRowHeight="15"/>
  <cols>
    <col min="1" max="1" width="6.42578125" style="28" bestFit="1" customWidth="1"/>
    <col min="2" max="2" width="6.85546875" style="28" customWidth="1"/>
    <col min="3" max="3" width="30.140625" style="28" bestFit="1" customWidth="1"/>
    <col min="4" max="4" width="7.140625" style="28" bestFit="1" customWidth="1"/>
    <col min="5" max="5" width="43" style="28" bestFit="1" customWidth="1"/>
    <col min="6" max="6" width="8.7109375" style="28" customWidth="1"/>
    <col min="7" max="7" width="4.42578125" style="28" bestFit="1" customWidth="1"/>
    <col min="8" max="8" width="4.7109375" style="28" customWidth="1"/>
    <col min="9" max="9" width="5.5703125" style="28" bestFit="1" customWidth="1"/>
    <col min="10" max="10" width="4.42578125" style="28" customWidth="1"/>
    <col min="11" max="11" width="14.7109375" style="28" bestFit="1" customWidth="1"/>
    <col min="12" max="12" width="19.5703125" style="32" customWidth="1"/>
    <col min="13" max="13" width="15.85546875" style="316" customWidth="1"/>
    <col min="14" max="14" width="16.42578125" style="316" customWidth="1"/>
    <col min="15" max="15" width="19.5703125" style="32" customWidth="1"/>
    <col min="16" max="16" width="6.5703125" style="32" bestFit="1" customWidth="1"/>
    <col min="17" max="17" width="19" style="32" customWidth="1"/>
    <col min="18" max="18" width="12.42578125" style="28" customWidth="1"/>
    <col min="19" max="19" width="8.140625" style="28" customWidth="1"/>
    <col min="20" max="20" width="9.85546875" style="28" customWidth="1"/>
    <col min="21" max="21" width="6" style="55" bestFit="1" customWidth="1"/>
    <col min="22" max="22" width="78.140625" style="28" bestFit="1" customWidth="1"/>
    <col min="23" max="16384" width="9.140625" style="28"/>
  </cols>
  <sheetData>
    <row r="1" spans="1:22" ht="19.5">
      <c r="A1" s="951" t="s">
        <v>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  <c r="S1" s="951"/>
      <c r="T1" s="951"/>
      <c r="U1" s="951"/>
      <c r="V1" s="951"/>
    </row>
    <row r="2" spans="1:22" ht="19.5">
      <c r="A2" s="951" t="s">
        <v>2805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  <c r="Q2" s="951"/>
      <c r="R2" s="951"/>
      <c r="S2" s="951"/>
      <c r="T2" s="951"/>
      <c r="U2" s="951"/>
      <c r="V2" s="951"/>
    </row>
    <row r="3" spans="1:22" ht="19.5">
      <c r="A3" s="1"/>
      <c r="B3" s="1"/>
      <c r="C3" s="785"/>
      <c r="D3" s="785"/>
      <c r="E3" s="785"/>
      <c r="F3" s="785"/>
      <c r="G3" s="785"/>
      <c r="H3" s="785"/>
      <c r="I3" s="785"/>
      <c r="J3" s="785"/>
      <c r="K3" s="785"/>
      <c r="L3" s="30"/>
      <c r="M3" s="30"/>
      <c r="N3" s="30"/>
      <c r="O3" s="33"/>
      <c r="P3" s="33"/>
      <c r="Q3" s="33"/>
      <c r="R3" s="785"/>
      <c r="S3" s="785"/>
      <c r="T3" s="785"/>
      <c r="U3" s="785"/>
      <c r="V3" s="785"/>
    </row>
    <row r="4" spans="1:22" ht="10.5" customHeight="1" thickBot="1">
      <c r="A4" s="1"/>
      <c r="B4" s="1"/>
      <c r="C4" s="3"/>
      <c r="D4" s="1"/>
      <c r="E4" s="3"/>
      <c r="F4" s="3"/>
      <c r="G4" s="660"/>
      <c r="H4" s="660"/>
      <c r="I4" s="660"/>
      <c r="J4" s="660"/>
      <c r="K4" s="3"/>
      <c r="L4" s="31"/>
      <c r="M4" s="313"/>
      <c r="N4" s="313"/>
      <c r="O4" s="34"/>
      <c r="P4" s="34"/>
      <c r="Q4" s="34"/>
      <c r="R4" s="1"/>
      <c r="S4" s="1"/>
      <c r="T4" s="1"/>
      <c r="U4" s="1"/>
      <c r="V4" s="1"/>
    </row>
    <row r="5" spans="1:22" s="407" customFormat="1" ht="30" customHeight="1" thickTop="1">
      <c r="A5" s="960" t="s">
        <v>1</v>
      </c>
      <c r="B5" s="956" t="s">
        <v>2</v>
      </c>
      <c r="C5" s="956" t="s">
        <v>3</v>
      </c>
      <c r="D5" s="956" t="s">
        <v>2321</v>
      </c>
      <c r="E5" s="956" t="s">
        <v>5</v>
      </c>
      <c r="F5" s="963" t="s">
        <v>6</v>
      </c>
      <c r="G5" s="965" t="s">
        <v>2523</v>
      </c>
      <c r="H5" s="965" t="s">
        <v>2433</v>
      </c>
      <c r="I5" s="971" t="s">
        <v>2432</v>
      </c>
      <c r="J5" s="965" t="s">
        <v>7</v>
      </c>
      <c r="K5" s="952" t="s">
        <v>8</v>
      </c>
      <c r="L5" s="953"/>
      <c r="M5" s="956" t="s">
        <v>809</v>
      </c>
      <c r="N5" s="956" t="s">
        <v>2585</v>
      </c>
      <c r="O5" s="958" t="s">
        <v>808</v>
      </c>
      <c r="P5" s="786" t="s">
        <v>2309</v>
      </c>
      <c r="Q5" s="958" t="s">
        <v>9</v>
      </c>
      <c r="R5" s="967" t="s">
        <v>10</v>
      </c>
      <c r="S5" s="969" t="s">
        <v>11</v>
      </c>
      <c r="T5" s="970"/>
      <c r="U5" s="665" t="s">
        <v>4</v>
      </c>
      <c r="V5" s="956" t="s">
        <v>12</v>
      </c>
    </row>
    <row r="6" spans="1:22" s="407" customFormat="1" ht="24" customHeight="1" thickBot="1">
      <c r="A6" s="961"/>
      <c r="B6" s="957"/>
      <c r="C6" s="957"/>
      <c r="D6" s="962"/>
      <c r="E6" s="957"/>
      <c r="F6" s="964"/>
      <c r="G6" s="966"/>
      <c r="H6" s="966"/>
      <c r="I6" s="972"/>
      <c r="J6" s="966"/>
      <c r="K6" s="954"/>
      <c r="L6" s="955"/>
      <c r="M6" s="957"/>
      <c r="N6" s="962"/>
      <c r="O6" s="959"/>
      <c r="P6" s="787" t="s">
        <v>2310</v>
      </c>
      <c r="Q6" s="959"/>
      <c r="R6" s="968"/>
      <c r="S6" s="663" t="s">
        <v>13</v>
      </c>
      <c r="T6" s="664" t="s">
        <v>14</v>
      </c>
      <c r="U6" s="666" t="s">
        <v>15</v>
      </c>
      <c r="V6" s="957"/>
    </row>
    <row r="7" spans="1:22" s="407" customFormat="1" ht="24" customHeight="1" thickTop="1">
      <c r="A7" s="766" t="s">
        <v>1</v>
      </c>
      <c r="B7" s="766" t="s">
        <v>2</v>
      </c>
      <c r="C7" s="766" t="s">
        <v>3</v>
      </c>
      <c r="D7" s="766" t="s">
        <v>2321</v>
      </c>
      <c r="E7" s="766" t="s">
        <v>5</v>
      </c>
      <c r="F7" s="766" t="s">
        <v>6</v>
      </c>
      <c r="G7" s="766" t="s">
        <v>2523</v>
      </c>
      <c r="H7" s="766" t="s">
        <v>2433</v>
      </c>
      <c r="I7" s="767" t="s">
        <v>2432</v>
      </c>
      <c r="J7" s="766" t="s">
        <v>7</v>
      </c>
      <c r="K7" s="766" t="s">
        <v>1783</v>
      </c>
      <c r="L7" s="766" t="s">
        <v>2567</v>
      </c>
      <c r="M7" s="766" t="s">
        <v>809</v>
      </c>
      <c r="N7" s="766" t="s">
        <v>2566</v>
      </c>
      <c r="O7" s="768" t="s">
        <v>2568</v>
      </c>
      <c r="P7" s="768" t="s">
        <v>2569</v>
      </c>
      <c r="Q7" s="768" t="s">
        <v>2570</v>
      </c>
      <c r="R7" s="769" t="s">
        <v>715</v>
      </c>
      <c r="S7" s="766" t="s">
        <v>13</v>
      </c>
      <c r="T7" s="766" t="s">
        <v>14</v>
      </c>
      <c r="U7" s="766" t="s">
        <v>2571</v>
      </c>
      <c r="V7" s="770" t="s">
        <v>12</v>
      </c>
    </row>
    <row r="8" spans="1:22" s="407" customFormat="1" ht="12.95" customHeight="1">
      <c r="A8" s="421">
        <v>1</v>
      </c>
      <c r="B8" s="817">
        <v>10313</v>
      </c>
      <c r="C8" s="410" t="s">
        <v>2724</v>
      </c>
      <c r="D8" s="411" t="str">
        <f>IFERROR(VLOOKUP(B8,'DATA KARYAWAN &amp; ALAMAT'!$B$8:$E$149,3,0),"")</f>
        <v>E.3</v>
      </c>
      <c r="E8" s="410" t="str">
        <f>IFERROR(VLOOKUP(B8,'DATA KARYAWAN &amp; ALAMAT'!$B$8:$E$149,4,0),"")</f>
        <v>General Manager</v>
      </c>
      <c r="F8" s="411" t="s">
        <v>18</v>
      </c>
      <c r="G8" s="411" t="s">
        <v>19</v>
      </c>
      <c r="H8" s="411">
        <v>2</v>
      </c>
      <c r="I8" s="411">
        <v>2</v>
      </c>
      <c r="J8" s="411" t="s">
        <v>20</v>
      </c>
      <c r="K8" s="675" t="s">
        <v>26</v>
      </c>
      <c r="L8" s="438">
        <v>26650</v>
      </c>
      <c r="M8" s="676" t="str">
        <f t="shared" ref="M8" ca="1" si="0">DATEDIF(L8,TODAY(),"Y") &amp; "." &amp;DATEDIF(L8,TODAY(),"YM")</f>
        <v>45.4</v>
      </c>
      <c r="N8" s="759" t="s">
        <v>745</v>
      </c>
      <c r="O8" s="413">
        <v>37900</v>
      </c>
      <c r="P8" s="422" t="str">
        <f t="shared" ref="P8" ca="1" si="1">DATEDIF(O8,TODAY(),"Y") &amp; "." &amp;DATEDIF(O8,TODAY(),"YM")</f>
        <v>14.6</v>
      </c>
      <c r="Q8" s="438">
        <v>47104</v>
      </c>
      <c r="R8" s="677" t="s">
        <v>19</v>
      </c>
      <c r="S8" s="436" t="s">
        <v>23</v>
      </c>
      <c r="T8" s="436" t="s">
        <v>534</v>
      </c>
      <c r="U8" s="608" t="s">
        <v>131</v>
      </c>
      <c r="V8" s="415" t="str">
        <f>VLOOKUP($B8,ALAMAT!$A$1:E236,4)</f>
        <v xml:space="preserve">Jl. Raya Tengah Gang Remaja RT 05 RW 03 Gedong Pasar Rebo Jakarta Timur </v>
      </c>
    </row>
    <row r="9" spans="1:22" s="407" customFormat="1" ht="12.95" customHeight="1">
      <c r="A9" s="421">
        <v>2</v>
      </c>
      <c r="B9" s="817">
        <v>4067</v>
      </c>
      <c r="C9" s="410" t="s">
        <v>2434</v>
      </c>
      <c r="D9" s="411" t="str">
        <f>IFERROR(VLOOKUP(B9,'DATA KARYAWAN &amp; ALAMAT'!$B$8:$E$149,3,0),"")</f>
        <v>1.C</v>
      </c>
      <c r="E9" s="410" t="str">
        <f>IFERROR(VLOOKUP(B9,'DATA KARYAWAN &amp; ALAMAT'!$B$8:$E$149,4,0),"")</f>
        <v>Deputy GM Human Resources &amp; General Affair</v>
      </c>
      <c r="F9" s="411" t="s">
        <v>18</v>
      </c>
      <c r="G9" s="411" t="s">
        <v>19</v>
      </c>
      <c r="H9" s="411">
        <v>2</v>
      </c>
      <c r="I9" s="411">
        <v>1</v>
      </c>
      <c r="J9" s="411" t="s">
        <v>20</v>
      </c>
      <c r="K9" s="675" t="s">
        <v>2450</v>
      </c>
      <c r="L9" s="438">
        <v>23572</v>
      </c>
      <c r="M9" s="676" t="str">
        <f t="shared" ref="M9:M44" ca="1" si="2">DATEDIF(L9,TODAY(),"Y") &amp; "." &amp;DATEDIF(L9,TODAY(),"YM")</f>
        <v>53.9</v>
      </c>
      <c r="N9" s="759" t="s">
        <v>753</v>
      </c>
      <c r="O9" s="413">
        <v>31761</v>
      </c>
      <c r="P9" s="422" t="str">
        <f t="shared" ref="P9:P19" ca="1" si="3">DATEDIF(O9,TODAY(),"Y") &amp; "." &amp;DATEDIF(O9,TODAY(),"YM")</f>
        <v>31.4</v>
      </c>
      <c r="Q9" s="438">
        <v>44026</v>
      </c>
      <c r="R9" s="677" t="s">
        <v>22</v>
      </c>
      <c r="S9" s="436" t="s">
        <v>23</v>
      </c>
      <c r="T9" s="436" t="s">
        <v>23</v>
      </c>
      <c r="U9" s="608" t="s">
        <v>120</v>
      </c>
      <c r="V9" s="415" t="str">
        <f>VLOOKUP($B9,ALAMAT!$A$1:E237,4)</f>
        <v>Dayung III C No. 7 RT 004/ RW 006 Kelapa Dua Kabupaten Tangerang Banten</v>
      </c>
    </row>
    <row r="10" spans="1:22" s="407" customFormat="1" ht="12.95" customHeight="1">
      <c r="A10" s="408">
        <v>3</v>
      </c>
      <c r="B10" s="817">
        <v>9550</v>
      </c>
      <c r="C10" s="410" t="s">
        <v>2435</v>
      </c>
      <c r="D10" s="411" t="str">
        <f>IFERROR(VLOOKUP(B10,'DATA KARYAWAN &amp; ALAMAT'!$B$8:$E$149,3,0),"")</f>
        <v>2.C</v>
      </c>
      <c r="E10" s="410" t="str">
        <f>IFERROR(VLOOKUP(B10,'DATA KARYAWAN &amp; ALAMAT'!$B$8:$E$149,4,0),"")</f>
        <v>HR &amp; Administration Manager</v>
      </c>
      <c r="F10" s="411" t="s">
        <v>18</v>
      </c>
      <c r="G10" s="411" t="s">
        <v>19</v>
      </c>
      <c r="H10" s="411">
        <v>1</v>
      </c>
      <c r="I10" s="411">
        <v>1</v>
      </c>
      <c r="J10" s="411" t="s">
        <v>20</v>
      </c>
      <c r="K10" s="437" t="s">
        <v>1609</v>
      </c>
      <c r="L10" s="438">
        <v>27628</v>
      </c>
      <c r="M10" s="676" t="str">
        <f t="shared" ca="1" si="2"/>
        <v>42.8</v>
      </c>
      <c r="N10" s="759" t="s">
        <v>742</v>
      </c>
      <c r="O10" s="413">
        <v>35808</v>
      </c>
      <c r="P10" s="422" t="str">
        <f t="shared" ca="1" si="3"/>
        <v>20.3</v>
      </c>
      <c r="Q10" s="438">
        <v>48082</v>
      </c>
      <c r="R10" s="440" t="s">
        <v>22</v>
      </c>
      <c r="S10" s="436" t="s">
        <v>23</v>
      </c>
      <c r="T10" s="436" t="s">
        <v>23</v>
      </c>
      <c r="U10" s="608" t="s">
        <v>55</v>
      </c>
      <c r="V10" s="415" t="str">
        <f>VLOOKUP($B10,ALAMAT!$A$1:E238,4)</f>
        <v xml:space="preserve"> JL. Sevilla Utama Blok T 26/04 Rt  003/007 Desa Ciakar Kec Panongan Tangerang Banten</v>
      </c>
    </row>
    <row r="11" spans="1:22" s="407" customFormat="1" ht="12.95" customHeight="1">
      <c r="A11" s="421">
        <v>4</v>
      </c>
      <c r="B11" s="821">
        <v>8260</v>
      </c>
      <c r="C11" s="410" t="s">
        <v>57</v>
      </c>
      <c r="D11" s="411" t="str">
        <f>IFERROR(VLOOKUP(B11,'DATA KARYAWAN &amp; ALAMAT'!$B$8:$E$149,3,0),"")</f>
        <v>4.C</v>
      </c>
      <c r="E11" s="410" t="str">
        <f>IFERROR(VLOOKUP(B11,'DATA KARYAWAN &amp; ALAMAT'!$B$8:$E$149,4,0),"")</f>
        <v>Senior Officer HR Data and Administration</v>
      </c>
      <c r="F11" s="411" t="s">
        <v>18</v>
      </c>
      <c r="G11" s="411" t="s">
        <v>19</v>
      </c>
      <c r="H11" s="411">
        <v>2</v>
      </c>
      <c r="I11" s="411">
        <v>2</v>
      </c>
      <c r="J11" s="411" t="s">
        <v>20</v>
      </c>
      <c r="K11" s="423" t="s">
        <v>58</v>
      </c>
      <c r="L11" s="413">
        <v>26040</v>
      </c>
      <c r="M11" s="422" t="str">
        <f t="shared" ca="1" si="2"/>
        <v>47.0</v>
      </c>
      <c r="N11" s="789" t="s">
        <v>748</v>
      </c>
      <c r="O11" s="413">
        <v>35034</v>
      </c>
      <c r="P11" s="422" t="str">
        <f t="shared" ca="1" si="3"/>
        <v>22.4</v>
      </c>
      <c r="Q11" s="413">
        <v>46494</v>
      </c>
      <c r="R11" s="414" t="s">
        <v>22</v>
      </c>
      <c r="S11" s="411" t="s">
        <v>35</v>
      </c>
      <c r="T11" s="411" t="s">
        <v>529</v>
      </c>
      <c r="U11" s="418" t="s">
        <v>55</v>
      </c>
      <c r="V11" s="415" t="str">
        <f>VLOOKUP($B11,ALAMAT!$A$1:E239,4)</f>
        <v>Taring. RT.008 RW.001 Wonodoyo, Copogo, Boyolali</v>
      </c>
    </row>
    <row r="12" spans="1:22" s="407" customFormat="1" ht="12.95" customHeight="1">
      <c r="A12" s="408">
        <v>5</v>
      </c>
      <c r="B12" s="821">
        <v>4998</v>
      </c>
      <c r="C12" s="410" t="s">
        <v>46</v>
      </c>
      <c r="D12" s="411" t="str">
        <f>IFERROR(VLOOKUP(B12,'DATA KARYAWAN &amp; ALAMAT'!$B$8:$E$149,3,0),"")</f>
        <v>4.C</v>
      </c>
      <c r="E12" s="410" t="str">
        <f>IFERROR(VLOOKUP(B12,'DATA KARYAWAN &amp; ALAMAT'!$B$8:$E$149,4,0),"")</f>
        <v>Senior Officer  Human Resources Utilization</v>
      </c>
      <c r="F12" s="411" t="s">
        <v>18</v>
      </c>
      <c r="G12" s="411" t="s">
        <v>19</v>
      </c>
      <c r="H12" s="411">
        <v>1</v>
      </c>
      <c r="I12" s="411">
        <v>1</v>
      </c>
      <c r="J12" s="411" t="s">
        <v>31</v>
      </c>
      <c r="K12" s="423" t="s">
        <v>21</v>
      </c>
      <c r="L12" s="413">
        <v>24221</v>
      </c>
      <c r="M12" s="422" t="str">
        <f t="shared" ca="1" si="2"/>
        <v>52.0</v>
      </c>
      <c r="N12" s="789" t="s">
        <v>752</v>
      </c>
      <c r="O12" s="413">
        <v>32269</v>
      </c>
      <c r="P12" s="422" t="str">
        <f t="shared" ca="1" si="3"/>
        <v>29.11</v>
      </c>
      <c r="Q12" s="413">
        <v>44675</v>
      </c>
      <c r="R12" s="414" t="s">
        <v>22</v>
      </c>
      <c r="S12" s="411" t="s">
        <v>32</v>
      </c>
      <c r="T12" s="411" t="s">
        <v>23</v>
      </c>
      <c r="U12" s="418" t="s">
        <v>55</v>
      </c>
      <c r="V12" s="415" t="str">
        <f>VLOOKUP($B12,ALAMAT!$A$1:E243,4)</f>
        <v>Jl.Kepodang Timur V Kav.B No.200 RT.006 RW.012 Pudakpayung Banyumanik Semarang</v>
      </c>
    </row>
    <row r="13" spans="1:22" s="743" customFormat="1" ht="12.95" customHeight="1">
      <c r="A13" s="421">
        <v>6</v>
      </c>
      <c r="B13" s="817">
        <v>8346</v>
      </c>
      <c r="C13" s="410" t="s">
        <v>241</v>
      </c>
      <c r="D13" s="411" t="str">
        <f>IFERROR(VLOOKUP(B13,'DATA KARYAWAN &amp; ALAMAT'!$B$8:$E$149,3,0),"")</f>
        <v>4.C</v>
      </c>
      <c r="E13" s="410" t="str">
        <f>IFERROR(VLOOKUP(B13,'DATA KARYAWAN &amp; ALAMAT'!$B$8:$E$149,4,0),"")</f>
        <v>Senior Officer Domesticity and Work Utillities</v>
      </c>
      <c r="F13" s="411" t="s">
        <v>18</v>
      </c>
      <c r="G13" s="411" t="s">
        <v>19</v>
      </c>
      <c r="H13" s="411">
        <v>2</v>
      </c>
      <c r="I13" s="411">
        <v>2</v>
      </c>
      <c r="J13" s="411" t="s">
        <v>20</v>
      </c>
      <c r="K13" s="423" t="s">
        <v>242</v>
      </c>
      <c r="L13" s="413">
        <v>27978</v>
      </c>
      <c r="M13" s="422" t="str">
        <f ca="1">DATEDIF(L13,TODAY(),"Y") &amp; "." &amp;DATEDIF(L13,TODAY(),"YM")</f>
        <v>41.8</v>
      </c>
      <c r="N13" s="789" t="s">
        <v>741</v>
      </c>
      <c r="O13" s="413">
        <v>35052</v>
      </c>
      <c r="P13" s="422" t="str">
        <f ca="1">DATEDIF(O13,TODAY(),"Y") &amp; "." &amp;DATEDIF(O13,TODAY(),"YM")</f>
        <v>22.4</v>
      </c>
      <c r="Q13" s="413">
        <v>48432</v>
      </c>
      <c r="R13" s="414" t="s">
        <v>22</v>
      </c>
      <c r="S13" s="411" t="s">
        <v>32</v>
      </c>
      <c r="T13" s="411" t="s">
        <v>23</v>
      </c>
      <c r="U13" s="429" t="s">
        <v>120</v>
      </c>
      <c r="V13" s="415" t="str">
        <f>VLOOKUP($B13,ALAMAT!$A$1:E291,4)</f>
        <v>Jl.Galungan 3/83 RT.002 RW.006 Krapyak,Semarang Barat</v>
      </c>
    </row>
    <row r="14" spans="1:22" s="407" customFormat="1" ht="12.95" customHeight="1">
      <c r="A14" s="408">
        <v>7</v>
      </c>
      <c r="B14" s="817">
        <v>7063</v>
      </c>
      <c r="C14" s="410" t="s">
        <v>53</v>
      </c>
      <c r="D14" s="411" t="str">
        <f>IFERROR(VLOOKUP(B14,'DATA KARYAWAN &amp; ALAMAT'!$B$8:$E$149,3,0),"")</f>
        <v>4.C</v>
      </c>
      <c r="E14" s="410" t="str">
        <f>IFERROR(VLOOKUP(B14,'DATA KARYAWAN &amp; ALAMAT'!$B$8:$E$149,4,0),"")</f>
        <v>Senior Officer Compensation &amp; Welfare</v>
      </c>
      <c r="F14" s="411" t="s">
        <v>18</v>
      </c>
      <c r="G14" s="411" t="s">
        <v>19</v>
      </c>
      <c r="H14" s="411">
        <v>3</v>
      </c>
      <c r="I14" s="411">
        <v>3</v>
      </c>
      <c r="J14" s="411" t="s">
        <v>20</v>
      </c>
      <c r="K14" s="423" t="s">
        <v>54</v>
      </c>
      <c r="L14" s="413">
        <v>24117</v>
      </c>
      <c r="M14" s="422" t="str">
        <f t="shared" ca="1" si="2"/>
        <v>52.3</v>
      </c>
      <c r="N14" s="789" t="s">
        <v>752</v>
      </c>
      <c r="O14" s="413">
        <v>33798</v>
      </c>
      <c r="P14" s="422" t="str">
        <f t="shared" ca="1" si="3"/>
        <v>25.9</v>
      </c>
      <c r="Q14" s="413">
        <v>44571</v>
      </c>
      <c r="R14" s="414" t="s">
        <v>22</v>
      </c>
      <c r="S14" s="411" t="s">
        <v>35</v>
      </c>
      <c r="T14" s="411" t="s">
        <v>23</v>
      </c>
      <c r="U14" s="418" t="s">
        <v>55</v>
      </c>
      <c r="V14" s="415" t="str">
        <f>VLOOKUP($B14,ALAMAT!$A$1:E246,4)</f>
        <v>Penaruban RT.003 RW.007 WeleriKab.Kendal</v>
      </c>
    </row>
    <row r="15" spans="1:22" s="407" customFormat="1" ht="12.95" customHeight="1">
      <c r="A15" s="421">
        <v>8</v>
      </c>
      <c r="B15" s="817">
        <v>4630</v>
      </c>
      <c r="C15" s="410" t="s">
        <v>208</v>
      </c>
      <c r="D15" s="411" t="str">
        <f>IFERROR(VLOOKUP(B15,'DATA KARYAWAN &amp; ALAMAT'!$B$8:$E$149,3,0),"")</f>
        <v>4.C</v>
      </c>
      <c r="E15" s="410" t="str">
        <f>IFERROR(VLOOKUP(B15,'DATA KARYAWAN &amp; ALAMAT'!$B$8:$E$149,4,0),"")</f>
        <v>Senior Officer Health and Safety</v>
      </c>
      <c r="F15" s="411" t="s">
        <v>18</v>
      </c>
      <c r="G15" s="411" t="s">
        <v>19</v>
      </c>
      <c r="H15" s="411">
        <v>2</v>
      </c>
      <c r="I15" s="411">
        <v>1</v>
      </c>
      <c r="J15" s="411" t="s">
        <v>20</v>
      </c>
      <c r="K15" s="423" t="s">
        <v>191</v>
      </c>
      <c r="L15" s="413">
        <v>23419</v>
      </c>
      <c r="M15" s="422" t="str">
        <f t="shared" ca="1" si="2"/>
        <v>54.2</v>
      </c>
      <c r="N15" s="789" t="s">
        <v>754</v>
      </c>
      <c r="O15" s="413">
        <v>32025</v>
      </c>
      <c r="P15" s="422" t="str">
        <f t="shared" ca="1" si="3"/>
        <v>30.7</v>
      </c>
      <c r="Q15" s="413">
        <v>43873</v>
      </c>
      <c r="R15" s="414" t="s">
        <v>22</v>
      </c>
      <c r="S15" s="411" t="s">
        <v>188</v>
      </c>
      <c r="T15" s="411" t="s">
        <v>23</v>
      </c>
      <c r="U15" s="418" t="s">
        <v>55</v>
      </c>
      <c r="V15" s="415" t="str">
        <f>VLOOKUP($B15,ALAMAT!$A$1:E247,4)</f>
        <v xml:space="preserve">Dk Kedungpane RT.001 RW.002 , Kedungpane, Mijen </v>
      </c>
    </row>
    <row r="16" spans="1:22" s="407" customFormat="1" ht="12.95" customHeight="1">
      <c r="A16" s="408">
        <v>9</v>
      </c>
      <c r="B16" s="817">
        <v>9520</v>
      </c>
      <c r="C16" s="410" t="s">
        <v>389</v>
      </c>
      <c r="D16" s="409">
        <v>5</v>
      </c>
      <c r="E16" s="410" t="str">
        <f>IFERROR(VLOOKUP(B16,'DATA KARYAWAN &amp; ALAMAT'!$B$8:$E$149,4,0),"")</f>
        <v>Data Processing Officer</v>
      </c>
      <c r="F16" s="411" t="s">
        <v>18</v>
      </c>
      <c r="G16" s="411" t="s">
        <v>19</v>
      </c>
      <c r="H16" s="411">
        <v>2</v>
      </c>
      <c r="I16" s="411">
        <v>2</v>
      </c>
      <c r="J16" s="411" t="s">
        <v>31</v>
      </c>
      <c r="K16" s="423" t="s">
        <v>21</v>
      </c>
      <c r="L16" s="413">
        <v>28982</v>
      </c>
      <c r="M16" s="422" t="str">
        <f t="shared" ca="1" si="2"/>
        <v>38.11</v>
      </c>
      <c r="N16" s="789" t="s">
        <v>739</v>
      </c>
      <c r="O16" s="413">
        <v>35807</v>
      </c>
      <c r="P16" s="422" t="str">
        <f ca="1">DATEDIF(O16,TODAY(),"Y") &amp; "." &amp;DATEDIF(O16,TODAY(),"YM")</f>
        <v>20.3</v>
      </c>
      <c r="Q16" s="413">
        <v>49436</v>
      </c>
      <c r="R16" s="414" t="s">
        <v>22</v>
      </c>
      <c r="S16" s="411" t="s">
        <v>35</v>
      </c>
      <c r="T16" s="411" t="s">
        <v>23</v>
      </c>
      <c r="U16" s="418" t="s">
        <v>55</v>
      </c>
      <c r="V16" s="415" t="str">
        <f>VLOOKUP($B16,ALAMAT!$A$1:E248,4)</f>
        <v>Pondok Jangli Indah No.9 RT.008RW.001 Jangli Tembalang  Semarang</v>
      </c>
    </row>
    <row r="17" spans="1:22" s="407" customFormat="1" ht="12.95" customHeight="1">
      <c r="A17" s="421">
        <v>10</v>
      </c>
      <c r="B17" s="821">
        <v>7843</v>
      </c>
      <c r="C17" s="410" t="str">
        <f ca="1">VLOOKUP(B17,MASTER!$B$8:$C$137,2,FALSE)</f>
        <v>RIYONO</v>
      </c>
      <c r="D17" s="409" t="s">
        <v>2336</v>
      </c>
      <c r="E17" s="410" t="str">
        <f>IFERROR(VLOOKUP(B17,'DATA KARYAWAN &amp; ALAMAT'!$B$8:$E$149,4,0),"")</f>
        <v>Senior Officer  Public Relations</v>
      </c>
      <c r="F17" s="411" t="s">
        <v>18</v>
      </c>
      <c r="G17" s="411" t="str">
        <f ca="1">VLOOKUP(B17,MASTER!$B$8:$H$1435,6,FALSE)</f>
        <v>K</v>
      </c>
      <c r="H17" s="411">
        <f ca="1">VLOOKUP(B17,MASTER!$B$8:$H$1435,7,FALSE)</f>
        <v>2</v>
      </c>
      <c r="I17" s="411">
        <f ca="1">VLOOKUP(B17,MASTER!$B$8:$V$1435,8,FALSE)</f>
        <v>2</v>
      </c>
      <c r="J17" s="411" t="str">
        <f ca="1">VLOOKUP(B17,MASTER!$B$8:$V$1435,9,FALSE)</f>
        <v>L</v>
      </c>
      <c r="K17" s="423" t="str">
        <f ca="1">VLOOKUP(B17,MASTER!$B$8:$V$1435,10,FALSE)</f>
        <v>KEDIRI</v>
      </c>
      <c r="L17" s="413">
        <v>27318</v>
      </c>
      <c r="M17" s="422" t="str">
        <f t="shared" ca="1" si="2"/>
        <v>43.6</v>
      </c>
      <c r="N17" s="789" t="s">
        <v>743</v>
      </c>
      <c r="O17" s="413">
        <v>34701</v>
      </c>
      <c r="P17" s="422" t="str">
        <f ca="1">DATEDIF(O17,TODAY(),"Y") &amp; "." &amp;DATEDIF(O17,TODAY(),"YM")</f>
        <v>23.3</v>
      </c>
      <c r="Q17" s="413">
        <v>47772</v>
      </c>
      <c r="R17" s="414" t="s">
        <v>22</v>
      </c>
      <c r="S17" s="411" t="s">
        <v>38</v>
      </c>
      <c r="T17" s="411" t="s">
        <v>23</v>
      </c>
      <c r="U17" s="418" t="s">
        <v>55</v>
      </c>
      <c r="V17" s="415" t="str">
        <f>VLOOKUP($B17,ALAMAT!$A$1:E249,4)</f>
        <v>Jl.Durian Dalam II BL.A No.28  RT.006 RW.001 Srondol Wetan Banyumanik Semarang</v>
      </c>
    </row>
    <row r="18" spans="1:22" s="407" customFormat="1" ht="12.95" customHeight="1">
      <c r="A18" s="408">
        <v>11</v>
      </c>
      <c r="B18" s="817">
        <v>4640</v>
      </c>
      <c r="C18" s="410" t="s">
        <v>276</v>
      </c>
      <c r="D18" s="411" t="str">
        <f>IFERROR(VLOOKUP(B18,'DATA KARYAWAN &amp; ALAMAT'!$B$8:$E$149,3,0),"")</f>
        <v>4.C</v>
      </c>
      <c r="E18" s="410" t="str">
        <f>IFERROR(VLOOKUP(B18,'DATA KARYAWAN &amp; ALAMAT'!$B$8:$E$149,4,0),"")</f>
        <v>General Manager Secretary</v>
      </c>
      <c r="F18" s="411" t="s">
        <v>18</v>
      </c>
      <c r="G18" s="411" t="s">
        <v>47</v>
      </c>
      <c r="H18" s="411">
        <v>2</v>
      </c>
      <c r="I18" s="411">
        <v>2</v>
      </c>
      <c r="J18" s="411" t="s">
        <v>20</v>
      </c>
      <c r="K18" s="423" t="s">
        <v>2520</v>
      </c>
      <c r="L18" s="413">
        <v>25038</v>
      </c>
      <c r="M18" s="422" t="str">
        <f t="shared" ca="1" si="2"/>
        <v>49.9</v>
      </c>
      <c r="N18" s="789" t="s">
        <v>749</v>
      </c>
      <c r="O18" s="413">
        <v>32025</v>
      </c>
      <c r="P18" s="422" t="str">
        <f t="shared" ca="1" si="3"/>
        <v>30.7</v>
      </c>
      <c r="Q18" s="413">
        <v>45492</v>
      </c>
      <c r="R18" s="414" t="s">
        <v>22</v>
      </c>
      <c r="S18" s="411" t="s">
        <v>35</v>
      </c>
      <c r="T18" s="411" t="s">
        <v>23</v>
      </c>
      <c r="U18" s="418" t="s">
        <v>55</v>
      </c>
      <c r="V18" s="415" t="str">
        <f>VLOOKUP($B18,ALAMAT!$A$1:E250,4)</f>
        <v xml:space="preserve">Jl.Ngesrep Barat V No.31-32 RT.008 RW.008 Srondol Kulon Banyumanik Semarang </v>
      </c>
    </row>
    <row r="19" spans="1:22" s="407" customFormat="1" ht="12.95" customHeight="1">
      <c r="A19" s="421">
        <v>12</v>
      </c>
      <c r="B19" s="821">
        <v>6894</v>
      </c>
      <c r="C19" s="410" t="s">
        <v>65</v>
      </c>
      <c r="D19" s="411" t="str">
        <f>IFERROR(VLOOKUP(B19,'DATA KARYAWAN &amp; ALAMAT'!$B$8:$E$149,3,0),"")</f>
        <v>M</v>
      </c>
      <c r="E19" s="410" t="str">
        <f>IFERROR(VLOOKUP(B19,'DATA KARYAWAN &amp; ALAMAT'!$B$8:$E$149,4,0),"")</f>
        <v>General Manager Driver</v>
      </c>
      <c r="F19" s="411" t="s">
        <v>18</v>
      </c>
      <c r="G19" s="411" t="s">
        <v>19</v>
      </c>
      <c r="H19" s="411">
        <v>2</v>
      </c>
      <c r="I19" s="411">
        <v>1</v>
      </c>
      <c r="J19" s="411" t="s">
        <v>20</v>
      </c>
      <c r="K19" s="423" t="s">
        <v>66</v>
      </c>
      <c r="L19" s="413">
        <v>23894</v>
      </c>
      <c r="M19" s="422" t="str">
        <f t="shared" ca="1" si="2"/>
        <v>52.10</v>
      </c>
      <c r="N19" s="789" t="s">
        <v>753</v>
      </c>
      <c r="O19" s="413">
        <v>33543</v>
      </c>
      <c r="P19" s="422" t="str">
        <f t="shared" ca="1" si="3"/>
        <v>26.5</v>
      </c>
      <c r="Q19" s="413">
        <v>44348</v>
      </c>
      <c r="R19" s="414" t="s">
        <v>22</v>
      </c>
      <c r="S19" s="411" t="s">
        <v>67</v>
      </c>
      <c r="T19" s="411" t="s">
        <v>530</v>
      </c>
      <c r="U19" s="418" t="s">
        <v>55</v>
      </c>
      <c r="V19" s="415" t="str">
        <f>VLOOKUP($B19,ALAMAT!$A$1:E251,4)</f>
        <v>Kalibening RT.003 RW.001 Tirtomartani, Kalasan Sleman, Yogyakarta</v>
      </c>
    </row>
    <row r="20" spans="1:22" s="407" customFormat="1" ht="12.95" customHeight="1">
      <c r="A20" s="408">
        <v>13</v>
      </c>
      <c r="B20" s="817">
        <v>2217</v>
      </c>
      <c r="C20" s="410" t="s">
        <v>69</v>
      </c>
      <c r="D20" s="411" t="str">
        <f>IFERROR(VLOOKUP(B20,'DATA KARYAWAN &amp; ALAMAT'!$B$8:$E$149,3,0),"")</f>
        <v>2.C</v>
      </c>
      <c r="E20" s="410" t="str">
        <f>IFERROR(VLOOKUP(B20,'DATA KARYAWAN &amp; ALAMAT'!$B$8:$E$149,4,0),"")</f>
        <v>Logistic Manager</v>
      </c>
      <c r="F20" s="411" t="s">
        <v>18</v>
      </c>
      <c r="G20" s="411" t="s">
        <v>19</v>
      </c>
      <c r="H20" s="411">
        <v>4</v>
      </c>
      <c r="I20" s="411">
        <v>1</v>
      </c>
      <c r="J20" s="411" t="s">
        <v>20</v>
      </c>
      <c r="K20" s="423" t="s">
        <v>71</v>
      </c>
      <c r="L20" s="413">
        <v>22832</v>
      </c>
      <c r="M20" s="422" t="str">
        <f t="shared" ca="1" si="2"/>
        <v>55.9</v>
      </c>
      <c r="N20" s="789" t="s">
        <v>755</v>
      </c>
      <c r="O20" s="413">
        <v>30501</v>
      </c>
      <c r="P20" s="422" t="str">
        <f t="shared" ref="P20:P25" ca="1" si="4">DATEDIF(O20,TODAY(),"Y") &amp; "." &amp;DATEDIF(O20,TODAY(),"YM")</f>
        <v>34.9</v>
      </c>
      <c r="Q20" s="413">
        <v>43286</v>
      </c>
      <c r="R20" s="414" t="s">
        <v>22</v>
      </c>
      <c r="S20" s="411" t="s">
        <v>23</v>
      </c>
      <c r="T20" s="411" t="s">
        <v>23</v>
      </c>
      <c r="U20" s="418" t="s">
        <v>55</v>
      </c>
      <c r="V20" s="415" t="str">
        <f>VLOOKUP($B20,ALAMAT!$A$1:E253,4)</f>
        <v>Jl.Perintis Kemerdekaan Perum. Griya Pulisen RT.002 RW.012 , Boyolali</v>
      </c>
    </row>
    <row r="21" spans="1:22" s="407" customFormat="1" ht="12.95" customHeight="1">
      <c r="A21" s="421">
        <v>14</v>
      </c>
      <c r="B21" s="817">
        <v>2215</v>
      </c>
      <c r="C21" s="410" t="s">
        <v>77</v>
      </c>
      <c r="D21" s="411" t="str">
        <f>IFERROR(VLOOKUP(B21,'DATA KARYAWAN &amp; ALAMAT'!$B$8:$E$149,3,0),"")</f>
        <v>4.C</v>
      </c>
      <c r="E21" s="410" t="str">
        <f>IFERROR(VLOOKUP(B21,'DATA KARYAWAN &amp; ALAMAT'!$B$8:$E$149,4,0),"")</f>
        <v>Senior Officer Goods Utilization &amp; Inventory</v>
      </c>
      <c r="F21" s="411" t="s">
        <v>18</v>
      </c>
      <c r="G21" s="411" t="s">
        <v>19</v>
      </c>
      <c r="H21" s="411">
        <v>2</v>
      </c>
      <c r="I21" s="411">
        <v>2</v>
      </c>
      <c r="J21" s="411" t="s">
        <v>20</v>
      </c>
      <c r="K21" s="423" t="s">
        <v>21</v>
      </c>
      <c r="L21" s="413">
        <v>23263</v>
      </c>
      <c r="M21" s="422" t="str">
        <f t="shared" ca="1" si="2"/>
        <v>54.7</v>
      </c>
      <c r="N21" s="789" t="s">
        <v>754</v>
      </c>
      <c r="O21" s="413">
        <v>30501</v>
      </c>
      <c r="P21" s="422" t="str">
        <f t="shared" ca="1" si="4"/>
        <v>34.9</v>
      </c>
      <c r="Q21" s="413">
        <v>43717</v>
      </c>
      <c r="R21" s="414" t="s">
        <v>22</v>
      </c>
      <c r="S21" s="411" t="s">
        <v>35</v>
      </c>
      <c r="T21" s="411" t="s">
        <v>529</v>
      </c>
      <c r="U21" s="418" t="s">
        <v>55</v>
      </c>
      <c r="V21" s="415" t="str">
        <f>VLOOKUP($B21,ALAMAT!$A$1:E256,4)</f>
        <v xml:space="preserve"> JL. Karonsih Timur IX / 344 Ngaliyan Semarang</v>
      </c>
    </row>
    <row r="22" spans="1:22" s="407" customFormat="1" ht="12.95" customHeight="1">
      <c r="A22" s="408">
        <v>15</v>
      </c>
      <c r="B22" s="821">
        <v>2218</v>
      </c>
      <c r="C22" s="410" t="s">
        <v>79</v>
      </c>
      <c r="D22" s="411" t="str">
        <f>IFERROR(VLOOKUP(B22,'DATA KARYAWAN &amp; ALAMAT'!$B$8:$E$149,3,0),"")</f>
        <v>4.C</v>
      </c>
      <c r="E22" s="410" t="str">
        <f>IFERROR(VLOOKUP(B22,'DATA KARYAWAN &amp; ALAMAT'!$B$8:$E$149,4,0),"")</f>
        <v>Senior Officer Goods Procurement</v>
      </c>
      <c r="F22" s="411" t="s">
        <v>18</v>
      </c>
      <c r="G22" s="411" t="s">
        <v>47</v>
      </c>
      <c r="H22" s="411">
        <v>2</v>
      </c>
      <c r="I22" s="411">
        <v>2</v>
      </c>
      <c r="J22" s="411" t="s">
        <v>31</v>
      </c>
      <c r="K22" s="423" t="s">
        <v>80</v>
      </c>
      <c r="L22" s="413">
        <v>22842</v>
      </c>
      <c r="M22" s="422" t="str">
        <f t="shared" ca="1" si="2"/>
        <v>55.9</v>
      </c>
      <c r="N22" s="789" t="s">
        <v>755</v>
      </c>
      <c r="O22" s="413">
        <v>30501</v>
      </c>
      <c r="P22" s="422" t="str">
        <f t="shared" ca="1" si="4"/>
        <v>34.9</v>
      </c>
      <c r="Q22" s="413">
        <v>43296</v>
      </c>
      <c r="R22" s="414" t="s">
        <v>22</v>
      </c>
      <c r="S22" s="411" t="s">
        <v>35</v>
      </c>
      <c r="T22" s="411" t="s">
        <v>529</v>
      </c>
      <c r="U22" s="418" t="s">
        <v>120</v>
      </c>
      <c r="V22" s="415" t="str">
        <f>VLOOKUP($B22,ALAMAT!$A$1:E257,4)</f>
        <v>Jl Puri D3 No 13-14 Padangsari Banyumanik Semarang</v>
      </c>
    </row>
    <row r="23" spans="1:22" s="407" customFormat="1" ht="12.95" customHeight="1">
      <c r="A23" s="421">
        <v>16</v>
      </c>
      <c r="B23" s="821">
        <v>3870</v>
      </c>
      <c r="C23" s="410" t="s">
        <v>51</v>
      </c>
      <c r="D23" s="411" t="str">
        <f>IFERROR(VLOOKUP(B23,'DATA KARYAWAN &amp; ALAMAT'!$B$8:$E$149,3,0),"")</f>
        <v>4.C</v>
      </c>
      <c r="E23" s="410" t="str">
        <f>IFERROR(VLOOKUP(B23,'DATA KARYAWAN &amp; ALAMAT'!$B$8:$E$149,4,0),"")</f>
        <v>Senior Officer Goods Procurement</v>
      </c>
      <c r="F23" s="411" t="s">
        <v>18</v>
      </c>
      <c r="G23" s="411" t="s">
        <v>47</v>
      </c>
      <c r="H23" s="411">
        <v>1</v>
      </c>
      <c r="I23" s="411">
        <v>1</v>
      </c>
      <c r="J23" s="411" t="s">
        <v>31</v>
      </c>
      <c r="K23" s="423" t="s">
        <v>21</v>
      </c>
      <c r="L23" s="413">
        <v>24220</v>
      </c>
      <c r="M23" s="422" t="str">
        <f ca="1">DATEDIF(L23,TODAY(),"Y") &amp; "." &amp;DATEDIF(L23,TODAY(),"YM")</f>
        <v>52.0</v>
      </c>
      <c r="N23" s="789" t="s">
        <v>752</v>
      </c>
      <c r="O23" s="413">
        <v>31717</v>
      </c>
      <c r="P23" s="422" t="str">
        <f ca="1">DATEDIF(O23,TODAY(),"Y") &amp; "." &amp;DATEDIF(O23,TODAY(),"YM")</f>
        <v>31.5</v>
      </c>
      <c r="Q23" s="413">
        <v>44674</v>
      </c>
      <c r="R23" s="414" t="s">
        <v>22</v>
      </c>
      <c r="S23" s="411" t="s">
        <v>35</v>
      </c>
      <c r="T23" s="411" t="s">
        <v>529</v>
      </c>
      <c r="U23" s="418" t="s">
        <v>131</v>
      </c>
      <c r="V23" s="415" t="str">
        <f>VLOOKUP($B23,ALAMAT!$A$1:E245,4)</f>
        <v>Jl.Cemara 6/12C RT.001 RW.008 Padangsari , Banyumanik</v>
      </c>
    </row>
    <row r="24" spans="1:22" s="407" customFormat="1" ht="12.95" customHeight="1">
      <c r="A24" s="408">
        <v>17</v>
      </c>
      <c r="B24" s="821">
        <v>4678</v>
      </c>
      <c r="C24" s="410" t="s">
        <v>149</v>
      </c>
      <c r="D24" s="411" t="str">
        <f>IFERROR(VLOOKUP(B24,'DATA KARYAWAN &amp; ALAMAT'!$B$8:$E$149,3,0),"")</f>
        <v>4.C</v>
      </c>
      <c r="E24" s="410" t="str">
        <f>IFERROR(VLOOKUP(B24,'DATA KARYAWAN &amp; ALAMAT'!$B$8:$E$149,4,0),"")</f>
        <v>Senior Officer Goods Utilization &amp; Inventory</v>
      </c>
      <c r="F24" s="411" t="s">
        <v>18</v>
      </c>
      <c r="G24" s="411" t="s">
        <v>19</v>
      </c>
      <c r="H24" s="411">
        <v>2</v>
      </c>
      <c r="I24" s="411">
        <v>2</v>
      </c>
      <c r="J24" s="411" t="s">
        <v>31</v>
      </c>
      <c r="K24" s="423" t="s">
        <v>21</v>
      </c>
      <c r="L24" s="413">
        <v>24555</v>
      </c>
      <c r="M24" s="422" t="str">
        <f t="shared" ca="1" si="2"/>
        <v>51.1</v>
      </c>
      <c r="N24" s="789" t="s">
        <v>751</v>
      </c>
      <c r="O24" s="413">
        <v>32025</v>
      </c>
      <c r="P24" s="422" t="str">
        <f t="shared" ca="1" si="4"/>
        <v>30.7</v>
      </c>
      <c r="Q24" s="413">
        <v>45009</v>
      </c>
      <c r="R24" s="414" t="s">
        <v>22</v>
      </c>
      <c r="S24" s="411" t="s">
        <v>32</v>
      </c>
      <c r="T24" s="411" t="s">
        <v>529</v>
      </c>
      <c r="U24" s="429" t="s">
        <v>55</v>
      </c>
      <c r="V24" s="415" t="str">
        <f>VLOOKUP($B24,ALAMAT!$A$1:E263,4)</f>
        <v>Beringin Kulon RT.003 RW.009 Tambakaji Ngaliyan Semarang</v>
      </c>
    </row>
    <row r="25" spans="1:22" s="407" customFormat="1" ht="12.95" customHeight="1">
      <c r="A25" s="421">
        <v>18</v>
      </c>
      <c r="B25" s="821">
        <v>6813</v>
      </c>
      <c r="C25" s="410" t="s">
        <v>122</v>
      </c>
      <c r="D25" s="411" t="str">
        <f>IFERROR(VLOOKUP(B25,'DATA KARYAWAN &amp; ALAMAT'!$B$8:$E$149,3,0),"")</f>
        <v>4.C</v>
      </c>
      <c r="E25" s="410" t="str">
        <f>IFERROR(VLOOKUP(B25,'DATA KARYAWAN &amp; ALAMAT'!$B$8:$E$149,4,0),"")</f>
        <v>Senior Officer Services Procurement</v>
      </c>
      <c r="F25" s="411" t="s">
        <v>18</v>
      </c>
      <c r="G25" s="411" t="s">
        <v>19</v>
      </c>
      <c r="H25" s="411">
        <v>2</v>
      </c>
      <c r="I25" s="411">
        <v>1</v>
      </c>
      <c r="J25" s="411" t="s">
        <v>20</v>
      </c>
      <c r="K25" s="423" t="s">
        <v>71</v>
      </c>
      <c r="L25" s="413">
        <v>23339</v>
      </c>
      <c r="M25" s="422" t="str">
        <f t="shared" ca="1" si="2"/>
        <v>54.5</v>
      </c>
      <c r="N25" s="789" t="s">
        <v>754</v>
      </c>
      <c r="O25" s="413">
        <v>33527</v>
      </c>
      <c r="P25" s="422" t="str">
        <f t="shared" ca="1" si="4"/>
        <v>26.6</v>
      </c>
      <c r="Q25" s="413">
        <v>43793</v>
      </c>
      <c r="R25" s="414" t="s">
        <v>22</v>
      </c>
      <c r="S25" s="411" t="s">
        <v>35</v>
      </c>
      <c r="T25" s="411" t="s">
        <v>23</v>
      </c>
      <c r="U25" s="418" t="s">
        <v>131</v>
      </c>
      <c r="V25" s="415" t="str">
        <f>VLOOKUP($B25,ALAMAT!$A$1:E264,4)</f>
        <v>Gempol RT.003 RW.004 Leyangan Ungaran Kab.Semarang</v>
      </c>
    </row>
    <row r="26" spans="1:22" s="407" customFormat="1" ht="12.95" customHeight="1">
      <c r="A26" s="408">
        <v>19</v>
      </c>
      <c r="B26" s="817">
        <v>9287</v>
      </c>
      <c r="C26" s="410" t="s">
        <v>381</v>
      </c>
      <c r="D26" s="411">
        <f>IFERROR(VLOOKUP(B26,'DATA KARYAWAN &amp; ALAMAT'!$B$8:$E$149,3,0),"")</f>
        <v>5</v>
      </c>
      <c r="E26" s="410" t="str">
        <f>IFERROR(VLOOKUP(B26,'DATA KARYAWAN &amp; ALAMAT'!$B$8:$E$149,4,0),"")</f>
        <v>Data Processing Officer</v>
      </c>
      <c r="F26" s="411" t="s">
        <v>18</v>
      </c>
      <c r="G26" s="411" t="s">
        <v>19</v>
      </c>
      <c r="H26" s="411">
        <v>3</v>
      </c>
      <c r="I26" s="411">
        <v>3</v>
      </c>
      <c r="J26" s="411" t="s">
        <v>20</v>
      </c>
      <c r="K26" s="423" t="s">
        <v>382</v>
      </c>
      <c r="L26" s="413">
        <v>27653</v>
      </c>
      <c r="M26" s="422" t="str">
        <f ca="1">DATEDIF(L26,TODAY(),"Y") &amp; "." &amp;DATEDIF(L26,TODAY(),"YM")</f>
        <v>42.7</v>
      </c>
      <c r="N26" s="796" t="s">
        <v>742</v>
      </c>
      <c r="O26" s="413">
        <v>35691</v>
      </c>
      <c r="P26" s="422" t="str">
        <f ca="1">DATEDIF(O26,TODAY(),"Y") &amp; "." &amp;DATEDIF(O26,TODAY(),"YM")</f>
        <v>20.7</v>
      </c>
      <c r="Q26" s="413">
        <v>48107</v>
      </c>
      <c r="R26" s="414" t="s">
        <v>22</v>
      </c>
      <c r="S26" s="411" t="s">
        <v>383</v>
      </c>
      <c r="T26" s="411" t="s">
        <v>529</v>
      </c>
      <c r="U26" s="424" t="s">
        <v>55</v>
      </c>
      <c r="V26" s="415" t="str">
        <f>VLOOKUP($B26,ALAMAT!$A$1:E359,4)</f>
        <v>Ds Kenangkan Rt 06 Rw 07 Bergas Kidul Bergas Semarang</v>
      </c>
    </row>
    <row r="27" spans="1:22" s="407" customFormat="1" ht="12.95" customHeight="1">
      <c r="A27" s="421">
        <v>20</v>
      </c>
      <c r="B27" s="821">
        <v>4666</v>
      </c>
      <c r="C27" s="410" t="s">
        <v>84</v>
      </c>
      <c r="D27" s="411" t="str">
        <f>IFERROR(VLOOKUP(B27,'DATA KARYAWAN &amp; ALAMAT'!$B$8:$E$149,3,0),"")</f>
        <v>2.C</v>
      </c>
      <c r="E27" s="410" t="str">
        <f>IFERROR(VLOOKUP(B27,'DATA KARYAWAN &amp; ALAMAT'!$B$8:$E$149,4,0),"")</f>
        <v>Community Development Program Manager</v>
      </c>
      <c r="F27" s="411" t="s">
        <v>18</v>
      </c>
      <c r="G27" s="411" t="s">
        <v>19</v>
      </c>
      <c r="H27" s="411">
        <v>3</v>
      </c>
      <c r="I27" s="411">
        <v>1</v>
      </c>
      <c r="J27" s="411" t="s">
        <v>20</v>
      </c>
      <c r="K27" s="423" t="s">
        <v>85</v>
      </c>
      <c r="L27" s="413">
        <v>23394</v>
      </c>
      <c r="M27" s="422" t="str">
        <f t="shared" ca="1" si="2"/>
        <v>54.3</v>
      </c>
      <c r="N27" s="789" t="s">
        <v>753</v>
      </c>
      <c r="O27" s="413">
        <v>32025</v>
      </c>
      <c r="P27" s="422" t="str">
        <f t="shared" ref="P27:P30" ca="1" si="5">DATEDIF(O27,TODAY(),"Y") &amp; "." &amp;DATEDIF(O27,TODAY(),"YM")</f>
        <v>30.7</v>
      </c>
      <c r="Q27" s="413">
        <v>43848</v>
      </c>
      <c r="R27" s="414" t="s">
        <v>22</v>
      </c>
      <c r="S27" s="411" t="s">
        <v>23</v>
      </c>
      <c r="T27" s="411" t="s">
        <v>23</v>
      </c>
      <c r="U27" s="418" t="s">
        <v>120</v>
      </c>
      <c r="V27" s="415" t="str">
        <f>VLOOKUP($B27,ALAMAT!$A$1:E261,4)</f>
        <v>Perum Rumpun Diponegoro Jl Elang II/B-37 Rt05 Rw04 Mangunharjo Tembalang Smg</v>
      </c>
    </row>
    <row r="28" spans="1:22" s="407" customFormat="1" ht="12.95" customHeight="1">
      <c r="A28" s="408">
        <v>21</v>
      </c>
      <c r="B28" s="821">
        <v>4627</v>
      </c>
      <c r="C28" s="410" t="s">
        <v>91</v>
      </c>
      <c r="D28" s="411" t="str">
        <f>IFERROR(VLOOKUP(B28,'DATA KARYAWAN &amp; ALAMAT'!$B$8:$E$149,3,0),"")</f>
        <v>4.C</v>
      </c>
      <c r="E28" s="410" t="str">
        <f>IFERROR(VLOOKUP(B28,'DATA KARYAWAN &amp; ALAMAT'!$B$8:$E$149,4,0),"")</f>
        <v>Senior Officer Community Development</v>
      </c>
      <c r="F28" s="411" t="s">
        <v>18</v>
      </c>
      <c r="G28" s="411" t="s">
        <v>19</v>
      </c>
      <c r="H28" s="411">
        <v>3</v>
      </c>
      <c r="I28" s="411">
        <v>3</v>
      </c>
      <c r="J28" s="411" t="s">
        <v>20</v>
      </c>
      <c r="K28" s="423" t="s">
        <v>41</v>
      </c>
      <c r="L28" s="413">
        <v>23219</v>
      </c>
      <c r="M28" s="422" t="str">
        <f t="shared" ca="1" si="2"/>
        <v>54.9</v>
      </c>
      <c r="N28" s="789" t="s">
        <v>754</v>
      </c>
      <c r="O28" s="413">
        <v>32025</v>
      </c>
      <c r="P28" s="422" t="str">
        <f t="shared" ca="1" si="5"/>
        <v>30.7</v>
      </c>
      <c r="Q28" s="413">
        <v>43673</v>
      </c>
      <c r="R28" s="414" t="s">
        <v>22</v>
      </c>
      <c r="S28" s="411" t="s">
        <v>35</v>
      </c>
      <c r="T28" s="411" t="s">
        <v>23</v>
      </c>
      <c r="U28" s="418" t="s">
        <v>55</v>
      </c>
      <c r="V28" s="415" t="str">
        <f>VLOOKUP($B28,ALAMAT!$A$1:E263,4)</f>
        <v>Kesatrian G-3Jatingaleh Candisari Semarang</v>
      </c>
    </row>
    <row r="29" spans="1:22" s="407" customFormat="1" ht="12.95" customHeight="1">
      <c r="A29" s="421">
        <v>22</v>
      </c>
      <c r="B29" s="821">
        <v>4641</v>
      </c>
      <c r="C29" s="410" t="s">
        <v>93</v>
      </c>
      <c r="D29" s="411" t="str">
        <f>IFERROR(VLOOKUP(B29,'DATA KARYAWAN &amp; ALAMAT'!$B$8:$E$149,3,0),"")</f>
        <v>4.C</v>
      </c>
      <c r="E29" s="410" t="str">
        <f>IFERROR(VLOOKUP(B29,'DATA KARYAWAN &amp; ALAMAT'!$B$8:$E$149,4,0),"")</f>
        <v>Senior Officer Administration &amp; Financial Report</v>
      </c>
      <c r="F29" s="411" t="s">
        <v>18</v>
      </c>
      <c r="G29" s="411" t="s">
        <v>19</v>
      </c>
      <c r="H29" s="411">
        <v>3</v>
      </c>
      <c r="I29" s="411">
        <v>3</v>
      </c>
      <c r="J29" s="411" t="s">
        <v>31</v>
      </c>
      <c r="K29" s="423" t="s">
        <v>21</v>
      </c>
      <c r="L29" s="413">
        <v>24734</v>
      </c>
      <c r="M29" s="422" t="str">
        <f t="shared" ca="1" si="2"/>
        <v>50.7</v>
      </c>
      <c r="N29" s="789" t="s">
        <v>750</v>
      </c>
      <c r="O29" s="413">
        <v>32025</v>
      </c>
      <c r="P29" s="422" t="str">
        <f t="shared" ca="1" si="5"/>
        <v>30.7</v>
      </c>
      <c r="Q29" s="413">
        <v>45188</v>
      </c>
      <c r="R29" s="414" t="s">
        <v>22</v>
      </c>
      <c r="S29" s="411" t="s">
        <v>35</v>
      </c>
      <c r="T29" s="411" t="s">
        <v>23</v>
      </c>
      <c r="U29" s="418" t="s">
        <v>131</v>
      </c>
      <c r="V29" s="415" t="str">
        <f>VLOOKUP($B29,ALAMAT!$A$1:E264,4)</f>
        <v>Jl Albesia No 43/961 Rt03 Rw 08 Plamongansari Pedurungan Smg</v>
      </c>
    </row>
    <row r="30" spans="1:22" s="407" customFormat="1" ht="12.95" customHeight="1">
      <c r="A30" s="408">
        <v>23</v>
      </c>
      <c r="B30" s="821">
        <v>4776</v>
      </c>
      <c r="C30" s="410" t="s">
        <v>190</v>
      </c>
      <c r="D30" s="411" t="str">
        <f>IFERROR(VLOOKUP(B30,'DATA KARYAWAN &amp; ALAMAT'!$B$8:$E$149,3,0),"")</f>
        <v>4.C</v>
      </c>
      <c r="E30" s="410" t="str">
        <f>IFERROR(VLOOKUP(B30,'DATA KARYAWAN &amp; ALAMAT'!$B$8:$E$149,4,0),"")</f>
        <v>Senior Officer Business Development</v>
      </c>
      <c r="F30" s="411" t="s">
        <v>18</v>
      </c>
      <c r="G30" s="411" t="s">
        <v>19</v>
      </c>
      <c r="H30" s="411">
        <v>3</v>
      </c>
      <c r="I30" s="411">
        <v>1</v>
      </c>
      <c r="J30" s="411" t="s">
        <v>20</v>
      </c>
      <c r="K30" s="423" t="s">
        <v>191</v>
      </c>
      <c r="L30" s="413">
        <v>23698</v>
      </c>
      <c r="M30" s="422" t="str">
        <f t="shared" ca="1" si="2"/>
        <v>53.5</v>
      </c>
      <c r="N30" s="789" t="s">
        <v>753</v>
      </c>
      <c r="O30" s="413">
        <v>32112</v>
      </c>
      <c r="P30" s="422" t="str">
        <f t="shared" ca="1" si="5"/>
        <v>30.4</v>
      </c>
      <c r="Q30" s="413">
        <v>44152</v>
      </c>
      <c r="R30" s="414" t="s">
        <v>22</v>
      </c>
      <c r="S30" s="411" t="s">
        <v>188</v>
      </c>
      <c r="T30" s="411" t="s">
        <v>23</v>
      </c>
      <c r="U30" s="418" t="s">
        <v>131</v>
      </c>
      <c r="V30" s="415" t="str">
        <f>VLOOKUP($B30,ALAMAT!$A$1:E265,4)</f>
        <v>Jln.Candi Pawon VI/25 RT.001RW.003 Kalipancur, Ngaliyan, Semarang</v>
      </c>
    </row>
    <row r="31" spans="1:22" s="407" customFormat="1" ht="12.95" customHeight="1">
      <c r="A31" s="421">
        <v>24</v>
      </c>
      <c r="B31" s="821">
        <v>9540</v>
      </c>
      <c r="C31" s="410" t="s">
        <v>413</v>
      </c>
      <c r="D31" s="411">
        <f>IFERROR(VLOOKUP(B31,'DATA KARYAWAN &amp; ALAMAT'!$B$8:$E$149,3,0),"")</f>
        <v>5</v>
      </c>
      <c r="E31" s="410" t="str">
        <f>IFERROR(VLOOKUP(B31,'DATA KARYAWAN &amp; ALAMAT'!$B$8:$E$149,4,0),"")</f>
        <v>Data Processing Officer</v>
      </c>
      <c r="F31" s="411" t="s">
        <v>18</v>
      </c>
      <c r="G31" s="411" t="s">
        <v>19</v>
      </c>
      <c r="H31" s="411">
        <v>2</v>
      </c>
      <c r="I31" s="411">
        <v>2</v>
      </c>
      <c r="J31" s="411" t="s">
        <v>20</v>
      </c>
      <c r="K31" s="423" t="s">
        <v>242</v>
      </c>
      <c r="L31" s="413">
        <v>27283</v>
      </c>
      <c r="M31" s="422" t="str">
        <f ca="1">DATEDIF(L31,TODAY(),"Y") &amp; "." &amp;DATEDIF(L31,TODAY(),"YM")</f>
        <v>43.7</v>
      </c>
      <c r="N31" s="796" t="s">
        <v>743</v>
      </c>
      <c r="O31" s="413">
        <v>35807</v>
      </c>
      <c r="P31" s="422" t="str">
        <f ca="1">DATEDIF(O31,TODAY(),"Y") &amp; "." &amp;DATEDIF(O31,TODAY(),"YM")</f>
        <v>20.3</v>
      </c>
      <c r="Q31" s="413">
        <v>47737</v>
      </c>
      <c r="R31" s="414" t="s">
        <v>22</v>
      </c>
      <c r="S31" s="411" t="s">
        <v>35</v>
      </c>
      <c r="T31" s="411" t="s">
        <v>529</v>
      </c>
      <c r="U31" s="424" t="s">
        <v>1451</v>
      </c>
      <c r="V31" s="415" t="str">
        <f>VLOOKUP($B31,ALAMAT!$A$1:E349,4)</f>
        <v>Jl.Kruwing Barat Dalam II/59 RT.002 RW.003 Srondol Wetan Banyumanik Semarang</v>
      </c>
    </row>
    <row r="32" spans="1:22" s="407" customFormat="1" ht="12.95" customHeight="1">
      <c r="A32" s="408">
        <v>25</v>
      </c>
      <c r="B32" s="817">
        <v>9902</v>
      </c>
      <c r="C32" s="410" t="s">
        <v>420</v>
      </c>
      <c r="D32" s="411">
        <f>IFERROR(VLOOKUP(B32,'DATA KARYAWAN &amp; ALAMAT'!$B$8:$E$149,3,0),"")</f>
        <v>5</v>
      </c>
      <c r="E32" s="410" t="str">
        <f>IFERROR(VLOOKUP(B32,'DATA KARYAWAN &amp; ALAMAT'!$B$8:$E$149,4,0),"")</f>
        <v>Data Processing Officer</v>
      </c>
      <c r="F32" s="411" t="s">
        <v>18</v>
      </c>
      <c r="G32" s="411" t="s">
        <v>19</v>
      </c>
      <c r="H32" s="411">
        <v>2</v>
      </c>
      <c r="I32" s="411">
        <v>2</v>
      </c>
      <c r="J32" s="411" t="s">
        <v>20</v>
      </c>
      <c r="K32" s="423" t="s">
        <v>21</v>
      </c>
      <c r="L32" s="413">
        <v>28323</v>
      </c>
      <c r="M32" s="422" t="str">
        <f ca="1">DATEDIF(L32,TODAY(),"Y") &amp; "." &amp;DATEDIF(L32,TODAY(),"YM")</f>
        <v>40.9</v>
      </c>
      <c r="N32" s="796" t="s">
        <v>740</v>
      </c>
      <c r="O32" s="413">
        <v>36514</v>
      </c>
      <c r="P32" s="422" t="str">
        <f ca="1">DATEDIF(O32,TODAY(),"Y") &amp; "." &amp;DATEDIF(O32,TODAY(),"YM")</f>
        <v>18.4</v>
      </c>
      <c r="Q32" s="413">
        <v>48777</v>
      </c>
      <c r="R32" s="414" t="s">
        <v>22</v>
      </c>
      <c r="S32" s="411" t="s">
        <v>35</v>
      </c>
      <c r="T32" s="411" t="s">
        <v>529</v>
      </c>
      <c r="U32" s="409" t="s">
        <v>116</v>
      </c>
      <c r="V32" s="415" t="str">
        <f>VLOOKUP($B32,ALAMAT!$A$1:E450,4)</f>
        <v>Kalisari Kidul RT04 RW06 Kelurahan Langensari  Kec. Ungaran Barat</v>
      </c>
    </row>
    <row r="33" spans="1:22" s="407" customFormat="1" ht="12.95" customHeight="1">
      <c r="A33" s="421">
        <v>26</v>
      </c>
      <c r="B33" s="821">
        <v>9521</v>
      </c>
      <c r="C33" s="410" t="s">
        <v>391</v>
      </c>
      <c r="D33" s="411">
        <f>IFERROR(VLOOKUP(B33,'DATA KARYAWAN &amp; ALAMAT'!$B$8:$E$149,3,0),"")</f>
        <v>5</v>
      </c>
      <c r="E33" s="410" t="str">
        <f>IFERROR(VLOOKUP(B33,'DATA KARYAWAN &amp; ALAMAT'!$B$8:$E$149,4,0),"")</f>
        <v>Data Processing Officer</v>
      </c>
      <c r="F33" s="411" t="s">
        <v>18</v>
      </c>
      <c r="G33" s="411" t="s">
        <v>19</v>
      </c>
      <c r="H33" s="411">
        <v>0</v>
      </c>
      <c r="I33" s="411">
        <v>0</v>
      </c>
      <c r="J33" s="411" t="s">
        <v>31</v>
      </c>
      <c r="K33" s="423" t="s">
        <v>368</v>
      </c>
      <c r="L33" s="413">
        <v>27707</v>
      </c>
      <c r="M33" s="422" t="str">
        <f ca="1">DATEDIF(L33,TODAY(),"Y") &amp; "." &amp;DATEDIF(L33,TODAY(),"YM")</f>
        <v>42.5</v>
      </c>
      <c r="N33" s="796" t="s">
        <v>742</v>
      </c>
      <c r="O33" s="413">
        <v>35807</v>
      </c>
      <c r="P33" s="422" t="str">
        <f ca="1">DATEDIF(O33,TODAY(),"Y") &amp; "." &amp;DATEDIF(O33,TODAY(),"YM")</f>
        <v>20.3</v>
      </c>
      <c r="Q33" s="413">
        <v>48161</v>
      </c>
      <c r="R33" s="414" t="s">
        <v>22</v>
      </c>
      <c r="S33" s="411" t="s">
        <v>32</v>
      </c>
      <c r="T33" s="411" t="s">
        <v>529</v>
      </c>
      <c r="U33" s="424" t="s">
        <v>55</v>
      </c>
      <c r="V33" s="415" t="str">
        <f>VLOOKUP($B33,ALAMAT!$A$1:E433,4)</f>
        <v>Jl Ngesrep Timur III No 32 Rt 09 Rw 01 Sumurboto Banyumanik Semarang</v>
      </c>
    </row>
    <row r="34" spans="1:22" s="407" customFormat="1" ht="12.95" customHeight="1">
      <c r="A34" s="408">
        <v>27</v>
      </c>
      <c r="B34" s="817">
        <v>6527</v>
      </c>
      <c r="C34" s="410" t="s">
        <v>2444</v>
      </c>
      <c r="D34" s="411" t="str">
        <f>IFERROR(VLOOKUP(B34,'DATA KARYAWAN &amp; ALAMAT'!$B$8:$E$149,3,0),"")</f>
        <v>1.C</v>
      </c>
      <c r="E34" s="410" t="str">
        <f>IFERROR(VLOOKUP(B34,'DATA KARYAWAN &amp; ALAMAT'!$B$8:$E$149,4,0),"")</f>
        <v>Deputy General Manager Finance</v>
      </c>
      <c r="F34" s="411" t="s">
        <v>18</v>
      </c>
      <c r="G34" s="411" t="s">
        <v>19</v>
      </c>
      <c r="H34" s="411">
        <v>3</v>
      </c>
      <c r="I34" s="411">
        <v>3</v>
      </c>
      <c r="J34" s="411" t="s">
        <v>20</v>
      </c>
      <c r="K34" s="423" t="s">
        <v>26</v>
      </c>
      <c r="L34" s="413">
        <v>26158</v>
      </c>
      <c r="M34" s="422" t="str">
        <f t="shared" ca="1" si="2"/>
        <v>46.8</v>
      </c>
      <c r="N34" s="789" t="s">
        <v>746</v>
      </c>
      <c r="O34" s="413">
        <v>33289</v>
      </c>
      <c r="P34" s="422" t="str">
        <f t="shared" ref="P34:P39" ca="1" si="6">DATEDIF(O34,TODAY(),"Y") &amp; "." &amp;DATEDIF(O34,TODAY(),"YM")</f>
        <v>27.2</v>
      </c>
      <c r="Q34" s="413">
        <v>46612</v>
      </c>
      <c r="R34" s="414" t="s">
        <v>22</v>
      </c>
      <c r="S34" s="411" t="s">
        <v>23</v>
      </c>
      <c r="T34" s="411" t="s">
        <v>23</v>
      </c>
      <c r="U34" s="429" t="s">
        <v>55</v>
      </c>
      <c r="V34" s="415" t="str">
        <f>VLOOKUP($B34,ALAMAT!$A$1:E266,4)</f>
        <v>Jl. Mawar Merah VI/6 No 12 RT 007 RW 007 Malaka Jaya Duren Sawit Jakarta Timur</v>
      </c>
    </row>
    <row r="35" spans="1:22" s="407" customFormat="1" ht="12.95" customHeight="1">
      <c r="A35" s="421">
        <v>28</v>
      </c>
      <c r="B35" s="817">
        <v>4190</v>
      </c>
      <c r="C35" s="410" t="s">
        <v>806</v>
      </c>
      <c r="D35" s="411" t="str">
        <f>IFERROR(VLOOKUP(B35,'DATA KARYAWAN &amp; ALAMAT'!$B$8:$E$149,3,0),"")</f>
        <v>2.C</v>
      </c>
      <c r="E35" s="410" t="str">
        <f>IFERROR(VLOOKUP(B35,'DATA KARYAWAN &amp; ALAMAT'!$B$8:$E$149,4,0),"")</f>
        <v>Budgeting Manager</v>
      </c>
      <c r="F35" s="411" t="s">
        <v>18</v>
      </c>
      <c r="G35" s="411" t="s">
        <v>47</v>
      </c>
      <c r="H35" s="411">
        <v>2</v>
      </c>
      <c r="I35" s="411">
        <v>2</v>
      </c>
      <c r="J35" s="411" t="s">
        <v>31</v>
      </c>
      <c r="K35" s="423" t="s">
        <v>404</v>
      </c>
      <c r="L35" s="413">
        <v>24825</v>
      </c>
      <c r="M35" s="422" t="str">
        <f t="shared" ca="1" si="2"/>
        <v>50.4</v>
      </c>
      <c r="N35" s="789" t="s">
        <v>750</v>
      </c>
      <c r="O35" s="413">
        <v>31880</v>
      </c>
      <c r="P35" s="422" t="str">
        <f t="shared" ca="1" si="6"/>
        <v>31.0</v>
      </c>
      <c r="Q35" s="413">
        <v>45279</v>
      </c>
      <c r="R35" s="414" t="s">
        <v>22</v>
      </c>
      <c r="S35" s="411" t="s">
        <v>23</v>
      </c>
      <c r="T35" s="411" t="s">
        <v>23</v>
      </c>
      <c r="U35" s="429" t="s">
        <v>291</v>
      </c>
      <c r="V35" s="415" t="str">
        <f>VLOOKUP($B35,ALAMAT!$A$1:E267,4)</f>
        <v>Jl. Abd. Rahman Saleh 268 RT.006 RW.010 Manyaran Semarang Barat</v>
      </c>
    </row>
    <row r="36" spans="1:22" s="407" customFormat="1" ht="12.95" customHeight="1">
      <c r="A36" s="408">
        <v>29</v>
      </c>
      <c r="B36" s="821">
        <v>2231</v>
      </c>
      <c r="C36" s="410" t="s">
        <v>107</v>
      </c>
      <c r="D36" s="411" t="str">
        <f>IFERROR(VLOOKUP(B36,'DATA KARYAWAN &amp; ALAMAT'!$B$8:$E$149,3,0),"")</f>
        <v>4.C</v>
      </c>
      <c r="E36" s="410" t="str">
        <f>IFERROR(VLOOKUP(B36,'DATA KARYAWAN &amp; ALAMAT'!$B$8:$E$149,4,0),"")</f>
        <v>Assistant Treasurer</v>
      </c>
      <c r="F36" s="411" t="s">
        <v>18</v>
      </c>
      <c r="G36" s="411" t="s">
        <v>47</v>
      </c>
      <c r="H36" s="411">
        <v>3</v>
      </c>
      <c r="I36" s="411">
        <v>3</v>
      </c>
      <c r="J36" s="411" t="s">
        <v>31</v>
      </c>
      <c r="K36" s="423" t="s">
        <v>21</v>
      </c>
      <c r="L36" s="413">
        <v>23038</v>
      </c>
      <c r="M36" s="422" t="str">
        <f t="shared" ca="1" si="2"/>
        <v>55.3</v>
      </c>
      <c r="N36" s="789" t="s">
        <v>755</v>
      </c>
      <c r="O36" s="413">
        <v>30501</v>
      </c>
      <c r="P36" s="422" t="str">
        <f t="shared" ca="1" si="6"/>
        <v>34.9</v>
      </c>
      <c r="Q36" s="413">
        <v>43492</v>
      </c>
      <c r="R36" s="414" t="s">
        <v>19</v>
      </c>
      <c r="S36" s="411" t="s">
        <v>32</v>
      </c>
      <c r="T36" s="411" t="s">
        <v>529</v>
      </c>
      <c r="U36" s="418" t="s">
        <v>55</v>
      </c>
      <c r="V36" s="415" t="str">
        <f>VLOOKUP($B36,ALAMAT!$A$1:E272,4)</f>
        <v>Jl.Kawung VII No.28 RT.005 RW.014. Tlogosari Kulon.  Pedurungan, Semarang</v>
      </c>
    </row>
    <row r="37" spans="1:22" s="407" customFormat="1" ht="12.95" customHeight="1">
      <c r="A37" s="421">
        <v>30</v>
      </c>
      <c r="B37" s="821">
        <v>3388</v>
      </c>
      <c r="C37" s="410" t="s">
        <v>102</v>
      </c>
      <c r="D37" s="411" t="str">
        <f>IFERROR(VLOOKUP(B37,'DATA KARYAWAN &amp; ALAMAT'!$B$8:$E$149,3,0),"")</f>
        <v>4.C</v>
      </c>
      <c r="E37" s="410" t="str">
        <f>IFERROR(VLOOKUP(B37,'DATA KARYAWAN &amp; ALAMAT'!$B$8:$E$149,4,0),"")</f>
        <v>Senior Officer Preparation &amp; Budgetary Control</v>
      </c>
      <c r="F37" s="411" t="s">
        <v>18</v>
      </c>
      <c r="G37" s="411" t="s">
        <v>19</v>
      </c>
      <c r="H37" s="411">
        <v>3</v>
      </c>
      <c r="I37" s="411">
        <v>3</v>
      </c>
      <c r="J37" s="411" t="s">
        <v>31</v>
      </c>
      <c r="K37" s="423" t="s">
        <v>21</v>
      </c>
      <c r="L37" s="413">
        <v>23149</v>
      </c>
      <c r="M37" s="422" t="str">
        <f t="shared" ca="1" si="2"/>
        <v>54.11</v>
      </c>
      <c r="N37" s="789" t="s">
        <v>755</v>
      </c>
      <c r="O37" s="413">
        <v>31472</v>
      </c>
      <c r="P37" s="422" t="str">
        <f t="shared" ca="1" si="6"/>
        <v>32.1</v>
      </c>
      <c r="Q37" s="413">
        <v>43603</v>
      </c>
      <c r="R37" s="414" t="s">
        <v>22</v>
      </c>
      <c r="S37" s="411" t="s">
        <v>35</v>
      </c>
      <c r="T37" s="411" t="s">
        <v>23</v>
      </c>
      <c r="U37" s="418" t="s">
        <v>120</v>
      </c>
      <c r="V37" s="415" t="str">
        <f>VLOOKUP($B37,ALAMAT!$A$1:E272,4)</f>
        <v>Karangrejo IV/3 RT.005 RW.007  Srondol Wetan Banyumanik, Semarang</v>
      </c>
    </row>
    <row r="38" spans="1:22" s="407" customFormat="1" ht="12.95" customHeight="1">
      <c r="A38" s="408">
        <v>31</v>
      </c>
      <c r="B38" s="818">
        <v>9516</v>
      </c>
      <c r="C38" s="435" t="s">
        <v>2436</v>
      </c>
      <c r="D38" s="411">
        <f>IFERROR(VLOOKUP(B38,'DATA KARYAWAN &amp; ALAMAT'!$B$8:$E$149,3,0),"")</f>
        <v>5</v>
      </c>
      <c r="E38" s="410" t="str">
        <f>IFERROR(VLOOKUP(B38,'DATA KARYAWAN &amp; ALAMAT'!$B$8:$E$149,4,0),"")</f>
        <v>Data Processing Officer</v>
      </c>
      <c r="F38" s="436" t="s">
        <v>18</v>
      </c>
      <c r="G38" s="436" t="s">
        <v>154</v>
      </c>
      <c r="H38" s="436">
        <v>0</v>
      </c>
      <c r="I38" s="436">
        <v>0</v>
      </c>
      <c r="J38" s="436" t="s">
        <v>31</v>
      </c>
      <c r="K38" s="423" t="s">
        <v>21</v>
      </c>
      <c r="L38" s="413">
        <v>28072</v>
      </c>
      <c r="M38" s="422" t="str">
        <f t="shared" ca="1" si="2"/>
        <v>41.5</v>
      </c>
      <c r="N38" s="789" t="s">
        <v>741</v>
      </c>
      <c r="O38" s="413">
        <v>35807</v>
      </c>
      <c r="P38" s="422" t="str">
        <f t="shared" ca="1" si="6"/>
        <v>20.3</v>
      </c>
      <c r="Q38" s="413">
        <v>48526</v>
      </c>
      <c r="R38" s="440" t="s">
        <v>22</v>
      </c>
      <c r="S38" s="436" t="s">
        <v>529</v>
      </c>
      <c r="T38" s="436" t="s">
        <v>23</v>
      </c>
      <c r="U38" s="441" t="s">
        <v>55</v>
      </c>
      <c r="V38" s="415" t="str">
        <f>VLOOKUP($B38,ALAMAT!$A$1:E273,4)</f>
        <v>Jl. Erowati Raya No. 60 RT 004 RW 003 Bulu Lor Semarang</v>
      </c>
    </row>
    <row r="39" spans="1:22" s="407" customFormat="1" ht="12.75" customHeight="1">
      <c r="A39" s="421">
        <v>32</v>
      </c>
      <c r="B39" s="821">
        <v>7622</v>
      </c>
      <c r="C39" s="410" t="s">
        <v>171</v>
      </c>
      <c r="D39" s="411" t="str">
        <f>IFERROR(VLOOKUP(B39,'DATA KARYAWAN &amp; ALAMAT'!$B$8:$E$149,3,0),"")</f>
        <v>4.C</v>
      </c>
      <c r="E39" s="410" t="str">
        <f>IFERROR(VLOOKUP(B39,'DATA KARYAWAN &amp; ALAMAT'!$B$8:$E$149,4,0),"")</f>
        <v>Senior Officer Revenue Controlling</v>
      </c>
      <c r="F39" s="411" t="s">
        <v>18</v>
      </c>
      <c r="G39" s="411" t="s">
        <v>19</v>
      </c>
      <c r="H39" s="411">
        <v>2</v>
      </c>
      <c r="I39" s="411">
        <v>2</v>
      </c>
      <c r="J39" s="411" t="s">
        <v>20</v>
      </c>
      <c r="K39" s="423" t="s">
        <v>112</v>
      </c>
      <c r="L39" s="413">
        <v>27615</v>
      </c>
      <c r="M39" s="422" t="str">
        <f t="shared" ca="1" si="2"/>
        <v>42.8</v>
      </c>
      <c r="N39" s="789" t="s">
        <v>742</v>
      </c>
      <c r="O39" s="413">
        <v>34648</v>
      </c>
      <c r="P39" s="422" t="str">
        <f t="shared" ca="1" si="6"/>
        <v>23.5</v>
      </c>
      <c r="Q39" s="413">
        <v>48069</v>
      </c>
      <c r="R39" s="414" t="s">
        <v>22</v>
      </c>
      <c r="S39" s="411" t="s">
        <v>35</v>
      </c>
      <c r="T39" s="411" t="s">
        <v>23</v>
      </c>
      <c r="U39" s="418" t="s">
        <v>55</v>
      </c>
      <c r="V39" s="415" t="str">
        <f>VLOOKUP($B39,ALAMAT!$A$1:E274,4)</f>
        <v>Jln.Darmo Indah Sel 1/MM-11 RT.001 RW.005 Tandes</v>
      </c>
    </row>
    <row r="40" spans="1:22" s="407" customFormat="1" ht="12.75">
      <c r="A40" s="408">
        <v>33</v>
      </c>
      <c r="B40" s="821">
        <v>5039</v>
      </c>
      <c r="C40" s="410" t="s">
        <v>109</v>
      </c>
      <c r="D40" s="411" t="str">
        <f>IFERROR(VLOOKUP(B40,'DATA KARYAWAN &amp; ALAMAT'!$B$8:$E$149,3,0),"")</f>
        <v>2.C</v>
      </c>
      <c r="E40" s="410" t="str">
        <f>IFERROR(VLOOKUP(B40,'DATA KARYAWAN &amp; ALAMAT'!$B$8:$E$149,4,0),"")</f>
        <v>Tax &amp; Accounting Manager</v>
      </c>
      <c r="F40" s="411" t="s">
        <v>18</v>
      </c>
      <c r="G40" s="411" t="s">
        <v>19</v>
      </c>
      <c r="H40" s="411">
        <v>2</v>
      </c>
      <c r="I40" s="411">
        <v>2</v>
      </c>
      <c r="J40" s="411" t="s">
        <v>20</v>
      </c>
      <c r="K40" s="423" t="s">
        <v>26</v>
      </c>
      <c r="L40" s="413">
        <v>23884</v>
      </c>
      <c r="M40" s="422" t="str">
        <f t="shared" ca="1" si="2"/>
        <v>52.11</v>
      </c>
      <c r="N40" s="789" t="s">
        <v>753</v>
      </c>
      <c r="O40" s="413">
        <v>32387</v>
      </c>
      <c r="P40" s="422" t="str">
        <f t="shared" ref="P40:P43" ca="1" si="7">DATEDIF(O40,TODAY(),"Y") &amp; "." &amp;DATEDIF(O40,TODAY(),"YM")</f>
        <v>29.7</v>
      </c>
      <c r="Q40" s="413">
        <v>44338</v>
      </c>
      <c r="R40" s="414" t="s">
        <v>22</v>
      </c>
      <c r="S40" s="411" t="s">
        <v>23</v>
      </c>
      <c r="T40" s="411" t="s">
        <v>23</v>
      </c>
      <c r="U40" s="429" t="s">
        <v>116</v>
      </c>
      <c r="V40" s="415" t="str">
        <f>VLOOKUP($B40,ALAMAT!$A$1:E276,4)</f>
        <v>Perum Puri Babatan Asri Rt04 Rw04 Beji Ungaran Semarang</v>
      </c>
    </row>
    <row r="41" spans="1:22" s="407" customFormat="1" ht="12.95" customHeight="1">
      <c r="A41" s="421">
        <v>34</v>
      </c>
      <c r="B41" s="821">
        <v>3382</v>
      </c>
      <c r="C41" s="410" t="s">
        <v>1022</v>
      </c>
      <c r="D41" s="411" t="str">
        <f>IFERROR(VLOOKUP(B41,'DATA KARYAWAN &amp; ALAMAT'!$B$8:$E$149,3,0),"")</f>
        <v>4.C</v>
      </c>
      <c r="E41" s="410" t="str">
        <f>IFERROR(VLOOKUP(B41,'DATA KARYAWAN &amp; ALAMAT'!$B$8:$E$149,4,0),"")</f>
        <v>Senior Officer Debts &amp; Taxation</v>
      </c>
      <c r="F41" s="411" t="s">
        <v>18</v>
      </c>
      <c r="G41" s="411" t="s">
        <v>19</v>
      </c>
      <c r="H41" s="411">
        <v>1</v>
      </c>
      <c r="I41" s="411">
        <v>1</v>
      </c>
      <c r="J41" s="411" t="s">
        <v>31</v>
      </c>
      <c r="K41" s="423" t="s">
        <v>66</v>
      </c>
      <c r="L41" s="413">
        <v>24380</v>
      </c>
      <c r="M41" s="422" t="str">
        <f t="shared" ca="1" si="2"/>
        <v>51.7</v>
      </c>
      <c r="N41" s="789" t="s">
        <v>751</v>
      </c>
      <c r="O41" s="413">
        <v>31439</v>
      </c>
      <c r="P41" s="422" t="str">
        <f t="shared" ca="1" si="7"/>
        <v>32.3</v>
      </c>
      <c r="Q41" s="413">
        <v>44834</v>
      </c>
      <c r="R41" s="414" t="s">
        <v>22</v>
      </c>
      <c r="S41" s="411" t="s">
        <v>32</v>
      </c>
      <c r="T41" s="411" t="s">
        <v>529</v>
      </c>
      <c r="U41" s="429" t="s">
        <v>131</v>
      </c>
      <c r="V41" s="415" t="str">
        <f>VLOOKUP($B41,ALAMAT!$A$1:E279,4)</f>
        <v>Jl.Teuku Umar 106B RT.001 RW.004 Tinjomulyo Banyumanik Semarang</v>
      </c>
    </row>
    <row r="42" spans="1:22" s="407" customFormat="1" ht="12.95" customHeight="1">
      <c r="A42" s="408">
        <v>35</v>
      </c>
      <c r="B42" s="821">
        <v>7447</v>
      </c>
      <c r="C42" s="410" t="s">
        <v>104</v>
      </c>
      <c r="D42" s="411" t="str">
        <f>IFERROR(VLOOKUP(B42,'DATA KARYAWAN &amp; ALAMAT'!$B$8:$E$149,3,0),"")</f>
        <v>4.C</v>
      </c>
      <c r="E42" s="410" t="str">
        <f>IFERROR(VLOOKUP(B42,'DATA KARYAWAN &amp; ALAMAT'!$B$8:$E$149,4,0),"")</f>
        <v>Senior Officer General Ledger &amp; reporting</v>
      </c>
      <c r="F42" s="411" t="s">
        <v>18</v>
      </c>
      <c r="G42" s="411" t="s">
        <v>19</v>
      </c>
      <c r="H42" s="411">
        <v>2</v>
      </c>
      <c r="I42" s="411">
        <v>2</v>
      </c>
      <c r="J42" s="411" t="s">
        <v>20</v>
      </c>
      <c r="K42" s="423" t="s">
        <v>105</v>
      </c>
      <c r="L42" s="413">
        <v>26068</v>
      </c>
      <c r="M42" s="422" t="str">
        <f t="shared" ca="1" si="2"/>
        <v>46.11</v>
      </c>
      <c r="N42" s="789" t="s">
        <v>747</v>
      </c>
      <c r="O42" s="413">
        <v>34533</v>
      </c>
      <c r="P42" s="422" t="str">
        <f t="shared" ca="1" si="7"/>
        <v>23.9</v>
      </c>
      <c r="Q42" s="413">
        <v>46522</v>
      </c>
      <c r="R42" s="414" t="s">
        <v>22</v>
      </c>
      <c r="S42" s="411" t="s">
        <v>35</v>
      </c>
      <c r="T42" s="411" t="s">
        <v>23</v>
      </c>
      <c r="U42" s="418" t="s">
        <v>55</v>
      </c>
      <c r="V42" s="415" t="str">
        <f>VLOOKUP($B42,ALAMAT!$A$1:E273,4)</f>
        <v>Jl.Toras III Perum P4A Blok B1/21 RT.006 RW.011 Pudakpayung, Banyumanik</v>
      </c>
    </row>
    <row r="43" spans="1:22" s="407" customFormat="1" ht="12.95" customHeight="1">
      <c r="A43" s="421">
        <v>36</v>
      </c>
      <c r="B43" s="817">
        <v>8674</v>
      </c>
      <c r="C43" s="410" t="s">
        <v>496</v>
      </c>
      <c r="D43" s="411">
        <f>IFERROR(VLOOKUP(B43,'DATA KARYAWAN &amp; ALAMAT'!$B$8:$E$149,3,0),"")</f>
        <v>5</v>
      </c>
      <c r="E43" s="410" t="str">
        <f>IFERROR(VLOOKUP(B43,'DATA KARYAWAN &amp; ALAMAT'!$B$8:$E$149,4,0),"")</f>
        <v>Data Processing Officer</v>
      </c>
      <c r="F43" s="411" t="s">
        <v>18</v>
      </c>
      <c r="G43" s="411" t="s">
        <v>19</v>
      </c>
      <c r="H43" s="411">
        <v>2</v>
      </c>
      <c r="I43" s="411">
        <v>2</v>
      </c>
      <c r="J43" s="411" t="s">
        <v>20</v>
      </c>
      <c r="K43" s="423" t="s">
        <v>255</v>
      </c>
      <c r="L43" s="413">
        <v>26858</v>
      </c>
      <c r="M43" s="422" t="str">
        <f t="shared" ca="1" si="2"/>
        <v>44.9</v>
      </c>
      <c r="N43" s="789" t="s">
        <v>744</v>
      </c>
      <c r="O43" s="413">
        <v>35228</v>
      </c>
      <c r="P43" s="422" t="str">
        <f t="shared" ca="1" si="7"/>
        <v>21.10</v>
      </c>
      <c r="Q43" s="413">
        <v>47312</v>
      </c>
      <c r="R43" s="414" t="s">
        <v>22</v>
      </c>
      <c r="S43" s="411" t="s">
        <v>32</v>
      </c>
      <c r="T43" s="411" t="s">
        <v>23</v>
      </c>
      <c r="U43" s="424" t="s">
        <v>120</v>
      </c>
      <c r="V43" s="415" t="str">
        <f>VLOOKUP($B43,ALAMAT!$A$1:E314,4)</f>
        <v>Mantren RT.009 RW.003 Mantren Karangrejo Kab.Magetan</v>
      </c>
    </row>
    <row r="44" spans="1:22" s="8" customFormat="1" ht="12.95" customHeight="1">
      <c r="A44" s="408">
        <v>37</v>
      </c>
      <c r="B44" s="817">
        <v>8347</v>
      </c>
      <c r="C44" s="410" t="s">
        <v>2500</v>
      </c>
      <c r="D44" s="411" t="str">
        <f>IFERROR(VLOOKUP(B44,'DATA KARYAWAN &amp; ALAMAT'!$B$8:$E$149,3,0),"")</f>
        <v/>
      </c>
      <c r="E44" s="410" t="str">
        <f>IFERROR(VLOOKUP(B44,'DATA KARYAWAN &amp; ALAMAT'!$B$8:$E$149,4,0),"")</f>
        <v/>
      </c>
      <c r="F44" s="411" t="s">
        <v>18</v>
      </c>
      <c r="G44" s="411" t="s">
        <v>19</v>
      </c>
      <c r="H44" s="411">
        <v>1</v>
      </c>
      <c r="I44" s="411">
        <v>1</v>
      </c>
      <c r="J44" s="411" t="s">
        <v>20</v>
      </c>
      <c r="K44" s="437" t="s">
        <v>2505</v>
      </c>
      <c r="L44" s="438">
        <v>27135</v>
      </c>
      <c r="M44" s="607" t="str">
        <f t="shared" ca="1" si="2"/>
        <v>44.0</v>
      </c>
      <c r="N44" s="790" t="s">
        <v>744</v>
      </c>
      <c r="O44" s="438">
        <v>35052</v>
      </c>
      <c r="P44" s="607" t="str">
        <f t="shared" ref="P44:P45" ca="1" si="8">DATEDIF(O44,TODAY(),"Y") &amp; "." &amp;DATEDIF(O44,TODAY(),"YM")</f>
        <v>22.4</v>
      </c>
      <c r="Q44" s="438">
        <v>47589</v>
      </c>
      <c r="R44" s="440" t="s">
        <v>22</v>
      </c>
      <c r="S44" s="436" t="s">
        <v>23</v>
      </c>
      <c r="T44" s="436" t="s">
        <v>23</v>
      </c>
      <c r="U44" s="608" t="s">
        <v>55</v>
      </c>
      <c r="V44" s="415" t="str">
        <f>VLOOKUP($B44,ALAMAT!$A$1:E276,4)</f>
        <v>Perum Setu Indah Blok V No. 8 Setu Cipayung Jakarta Timur</v>
      </c>
    </row>
    <row r="45" spans="1:22" s="8" customFormat="1" ht="12.95" customHeight="1">
      <c r="A45" s="421">
        <v>38</v>
      </c>
      <c r="B45" s="818">
        <v>10428</v>
      </c>
      <c r="C45" s="435" t="s">
        <v>2411</v>
      </c>
      <c r="D45" s="411" t="str">
        <f>IFERROR(VLOOKUP(B45,'DATA KARYAWAN &amp; ALAMAT'!$B$8:$E$149,3,0),"")</f>
        <v>2.C</v>
      </c>
      <c r="E45" s="410" t="str">
        <f>IFERROR(VLOOKUP(B45,'DATA KARYAWAN &amp; ALAMAT'!$B$8:$E$149,4,0),"")</f>
        <v>Maintenance Administration Manager</v>
      </c>
      <c r="F45" s="436" t="s">
        <v>18</v>
      </c>
      <c r="G45" s="436" t="s">
        <v>19</v>
      </c>
      <c r="H45" s="434">
        <v>1</v>
      </c>
      <c r="I45" s="434">
        <v>1</v>
      </c>
      <c r="J45" s="436" t="s">
        <v>31</v>
      </c>
      <c r="K45" s="437" t="s">
        <v>26</v>
      </c>
      <c r="L45" s="438">
        <v>32353</v>
      </c>
      <c r="M45" s="607" t="str">
        <f t="shared" ref="M45:M78" ca="1" si="9">DATEDIF(L45,TODAY(),"Y") &amp; "." &amp;DATEDIF(L45,TODAY(),"YM")</f>
        <v>29.9</v>
      </c>
      <c r="N45" s="790" t="s">
        <v>729</v>
      </c>
      <c r="O45" s="438">
        <v>41092</v>
      </c>
      <c r="P45" s="607" t="str">
        <f t="shared" ca="1" si="8"/>
        <v>5.9</v>
      </c>
      <c r="Q45" s="438">
        <v>52807</v>
      </c>
      <c r="R45" s="440" t="s">
        <v>22</v>
      </c>
      <c r="S45" s="436" t="s">
        <v>23</v>
      </c>
      <c r="T45" s="436" t="s">
        <v>23</v>
      </c>
      <c r="U45" s="608"/>
      <c r="V45" s="415" t="str">
        <f>VLOOKUP($B45,ALAMAT!$A$1:E277,4)</f>
        <v>Jl. Cipinang Empang No. 6, RT. 003 RW. 015</v>
      </c>
    </row>
    <row r="46" spans="1:22" s="407" customFormat="1" ht="12.95" customHeight="1">
      <c r="A46" s="408">
        <v>39</v>
      </c>
      <c r="B46" s="819">
        <v>7692</v>
      </c>
      <c r="C46" s="735" t="s">
        <v>337</v>
      </c>
      <c r="D46" s="411" t="str">
        <f>IFERROR(VLOOKUP(B46,'DATA KARYAWAN &amp; ALAMAT'!$B$8:$E$149,3,0),"")</f>
        <v>4.C</v>
      </c>
      <c r="E46" s="410" t="str">
        <f>IFERROR(VLOOKUP(B46,'DATA KARYAWAN &amp; ALAMAT'!$B$8:$E$149,4,0),"")</f>
        <v>Senior Officer Maintenance Data Management</v>
      </c>
      <c r="F46" s="736" t="s">
        <v>18</v>
      </c>
      <c r="G46" s="736" t="s">
        <v>19</v>
      </c>
      <c r="H46" s="736">
        <v>2</v>
      </c>
      <c r="I46" s="736">
        <v>2</v>
      </c>
      <c r="J46" s="736" t="s">
        <v>20</v>
      </c>
      <c r="K46" s="737" t="s">
        <v>338</v>
      </c>
      <c r="L46" s="738">
        <v>27393</v>
      </c>
      <c r="M46" s="739" t="str">
        <f t="shared" ca="1" si="9"/>
        <v>43.4</v>
      </c>
      <c r="N46" s="791" t="s">
        <v>742</v>
      </c>
      <c r="O46" s="738">
        <v>34648</v>
      </c>
      <c r="P46" s="739" t="str">
        <f ca="1">DATEDIF(O46,TODAY(),"Y") &amp; "." &amp;DATEDIF(O46,TODAY(),"YM")</f>
        <v>23.5</v>
      </c>
      <c r="Q46" s="738">
        <v>47847</v>
      </c>
      <c r="R46" s="740" t="s">
        <v>22</v>
      </c>
      <c r="S46" s="736" t="s">
        <v>38</v>
      </c>
      <c r="T46" s="736" t="s">
        <v>23</v>
      </c>
      <c r="U46" s="744" t="s">
        <v>55</v>
      </c>
      <c r="V46" s="742" t="str">
        <f>VLOOKUP($B46,ALAMAT!$A$1:E267,4)</f>
        <v>Jl.Panasan V/3 RT.003 RW.003 Beji Ungaran Timur</v>
      </c>
    </row>
    <row r="47" spans="1:22" s="407" customFormat="1" ht="12.95" customHeight="1">
      <c r="A47" s="421">
        <v>40</v>
      </c>
      <c r="B47" s="821">
        <v>9538</v>
      </c>
      <c r="C47" s="410" t="s">
        <v>410</v>
      </c>
      <c r="D47" s="411">
        <f>IFERROR(VLOOKUP(B47,'DATA KARYAWAN &amp; ALAMAT'!$B$8:$E$149,3,0),"")</f>
        <v>5</v>
      </c>
      <c r="E47" s="410" t="str">
        <f>IFERROR(VLOOKUP(B47,'DATA KARYAWAN &amp; ALAMAT'!$B$8:$E$149,4,0),"")</f>
        <v>Data Processing Officer</v>
      </c>
      <c r="F47" s="411" t="s">
        <v>18</v>
      </c>
      <c r="G47" s="411" t="s">
        <v>19</v>
      </c>
      <c r="H47" s="411">
        <v>2</v>
      </c>
      <c r="I47" s="411">
        <v>2</v>
      </c>
      <c r="J47" s="411" t="s">
        <v>20</v>
      </c>
      <c r="K47" s="423" t="s">
        <v>21</v>
      </c>
      <c r="L47" s="413">
        <v>27799</v>
      </c>
      <c r="M47" s="422" t="str">
        <f ca="1">DATEDIF(L47,TODAY(),"Y") &amp; "." &amp;DATEDIF(L47,TODAY(),"YM")</f>
        <v>42.2</v>
      </c>
      <c r="N47" s="796" t="s">
        <v>742</v>
      </c>
      <c r="O47" s="413">
        <v>35807</v>
      </c>
      <c r="P47" s="422" t="str">
        <f ca="1">DATEDIF(O47,TODAY(),"Y") &amp; "." &amp;DATEDIF(O47,TODAY(),"YM")</f>
        <v>20.3</v>
      </c>
      <c r="Q47" s="413">
        <v>48253</v>
      </c>
      <c r="R47" s="414" t="s">
        <v>411</v>
      </c>
      <c r="S47" s="411" t="s">
        <v>35</v>
      </c>
      <c r="T47" s="411" t="s">
        <v>23</v>
      </c>
      <c r="U47" s="424" t="s">
        <v>1436</v>
      </c>
      <c r="V47" s="415" t="str">
        <f>VLOOKUP($B47,ALAMAT!$A$1:E444,4)</f>
        <v>Perum Griya Payung Asri Kav.37 RT.001 RW.016 Pudak Payung Banyumanik Semarang</v>
      </c>
    </row>
    <row r="48" spans="1:22" s="743" customFormat="1" ht="12.95" customHeight="1">
      <c r="A48" s="408">
        <v>41</v>
      </c>
      <c r="B48" s="822">
        <v>9024</v>
      </c>
      <c r="C48" s="735" t="s">
        <v>2478</v>
      </c>
      <c r="D48" s="411" t="str">
        <f>IFERROR(VLOOKUP(B48,'DATA KARYAWAN &amp; ALAMAT'!$B$8:$E$149,3,0),"")</f>
        <v>3.C</v>
      </c>
      <c r="E48" s="410" t="str">
        <f>IFERROR(VLOOKUP(B48,'DATA KARYAWAN &amp; ALAMAT'!$B$8:$E$149,4,0),"")</f>
        <v>Assistan Maintenance Execution Manager</v>
      </c>
      <c r="F48" s="736" t="s">
        <v>18</v>
      </c>
      <c r="G48" s="736" t="s">
        <v>19</v>
      </c>
      <c r="H48" s="736">
        <v>2</v>
      </c>
      <c r="I48" s="736">
        <v>2</v>
      </c>
      <c r="J48" s="736" t="s">
        <v>20</v>
      </c>
      <c r="K48" s="737" t="s">
        <v>2482</v>
      </c>
      <c r="L48" s="738">
        <v>27595</v>
      </c>
      <c r="M48" s="739" t="str">
        <f t="shared" ca="1" si="9"/>
        <v>42.9</v>
      </c>
      <c r="N48" s="791" t="s">
        <v>742</v>
      </c>
      <c r="O48" s="738">
        <v>35325</v>
      </c>
      <c r="P48" s="739" t="str">
        <f t="shared" ref="P48:P52" ca="1" si="10">DATEDIF(O48,TODAY(),"Y") &amp; "." &amp;DATEDIF(O48,TODAY(),"YM")</f>
        <v>21.7</v>
      </c>
      <c r="Q48" s="738">
        <v>48049</v>
      </c>
      <c r="R48" s="740" t="s">
        <v>22</v>
      </c>
      <c r="S48" s="736" t="s">
        <v>23</v>
      </c>
      <c r="T48" s="736" t="s">
        <v>23</v>
      </c>
      <c r="U48" s="741" t="s">
        <v>55</v>
      </c>
      <c r="V48" s="742" t="str">
        <f>VLOOKUP($B48,ALAMAT!$A$1:E290,4)</f>
        <v>KP. Baru RT 006 / 005 Sukabumi  Selatan Kebon Jeruk Jakarta Barat</v>
      </c>
    </row>
    <row r="49" spans="1:22" s="407" customFormat="1" ht="12.95" customHeight="1">
      <c r="A49" s="421">
        <v>42</v>
      </c>
      <c r="B49" s="821">
        <v>8205</v>
      </c>
      <c r="C49" s="410" t="s">
        <v>354</v>
      </c>
      <c r="D49" s="411" t="str">
        <f>IFERROR(VLOOKUP(B49,'DATA KARYAWAN &amp; ALAMAT'!$B$8:$E$149,3,0),"")</f>
        <v>4.C</v>
      </c>
      <c r="E49" s="410" t="str">
        <f>IFERROR(VLOOKUP(B49,'DATA KARYAWAN &amp; ALAMAT'!$B$8:$E$149,4,0),"")</f>
        <v>Senior Officer Road, Bridge, Environment Eng</v>
      </c>
      <c r="F49" s="411" t="s">
        <v>18</v>
      </c>
      <c r="G49" s="411" t="s">
        <v>19</v>
      </c>
      <c r="H49" s="411">
        <v>3</v>
      </c>
      <c r="I49" s="411">
        <v>3</v>
      </c>
      <c r="J49" s="411" t="s">
        <v>20</v>
      </c>
      <c r="K49" s="423" t="s">
        <v>80</v>
      </c>
      <c r="L49" s="413">
        <v>26087</v>
      </c>
      <c r="M49" s="422" t="str">
        <f ca="1">DATEDIF(L49,TODAY(),"Y") &amp; "." &amp;DATEDIF(L49,TODAY(),"YM")</f>
        <v>46.10</v>
      </c>
      <c r="N49" s="796" t="s">
        <v>747</v>
      </c>
      <c r="O49" s="413">
        <v>34957</v>
      </c>
      <c r="P49" s="422" t="str">
        <f ca="1">DATEDIF(O49,TODAY(),"Y") &amp; "." &amp;DATEDIF(O49,TODAY(),"YM")</f>
        <v>22.7</v>
      </c>
      <c r="Q49" s="413">
        <v>46541</v>
      </c>
      <c r="R49" s="414" t="s">
        <v>22</v>
      </c>
      <c r="S49" s="411" t="s">
        <v>35</v>
      </c>
      <c r="T49" s="411" t="s">
        <v>23</v>
      </c>
      <c r="U49" s="424" t="s">
        <v>1451</v>
      </c>
      <c r="V49" s="415" t="str">
        <f>VLOOKUP($B49,ALAMAT!$A$1:E345,4)</f>
        <v>Perum.Dinar Mas Utara I/68 RT.001 RW.019 Meteseh Tembalang Semarang</v>
      </c>
    </row>
    <row r="50" spans="1:22" s="407" customFormat="1" ht="12.95" customHeight="1">
      <c r="A50" s="408">
        <v>43</v>
      </c>
      <c r="B50" s="821">
        <v>4658</v>
      </c>
      <c r="C50" s="410" t="s">
        <v>136</v>
      </c>
      <c r="D50" s="411" t="str">
        <f>IFERROR(VLOOKUP(B50,'DATA KARYAWAN &amp; ALAMAT'!$B$8:$E$149,3,0),"")</f>
        <v>4.C</v>
      </c>
      <c r="E50" s="410" t="str">
        <f>IFERROR(VLOOKUP(B50,'DATA KARYAWAN &amp; ALAMAT'!$B$8:$E$149,4,0),"")</f>
        <v>Senior Officer Building Engineering</v>
      </c>
      <c r="F50" s="411" t="s">
        <v>18</v>
      </c>
      <c r="G50" s="411" t="s">
        <v>19</v>
      </c>
      <c r="H50" s="411">
        <v>2</v>
      </c>
      <c r="I50" s="411">
        <v>2</v>
      </c>
      <c r="J50" s="411" t="s">
        <v>20</v>
      </c>
      <c r="K50" s="423" t="s">
        <v>85</v>
      </c>
      <c r="L50" s="413">
        <v>23075</v>
      </c>
      <c r="M50" s="422" t="str">
        <f t="shared" ca="1" si="9"/>
        <v>55.1</v>
      </c>
      <c r="N50" s="789" t="s">
        <v>755</v>
      </c>
      <c r="O50" s="413">
        <v>32025</v>
      </c>
      <c r="P50" s="422" t="str">
        <f t="shared" ca="1" si="10"/>
        <v>30.7</v>
      </c>
      <c r="Q50" s="413">
        <v>43529</v>
      </c>
      <c r="R50" s="414" t="s">
        <v>22</v>
      </c>
      <c r="S50" s="411" t="s">
        <v>38</v>
      </c>
      <c r="T50" s="411" t="s">
        <v>23</v>
      </c>
      <c r="U50" s="418" t="s">
        <v>120</v>
      </c>
      <c r="V50" s="415" t="str">
        <f>VLOOKUP($B50,ALAMAT!$A$1:E293,4)</f>
        <v>Jl.Panasan VI/15 RT.003 RW.013 Beji Ungaran Kab.Semarang</v>
      </c>
    </row>
    <row r="51" spans="1:22" s="407" customFormat="1" ht="12.95" customHeight="1">
      <c r="A51" s="421">
        <v>44</v>
      </c>
      <c r="B51" s="821">
        <v>4684</v>
      </c>
      <c r="C51" s="410" t="s">
        <v>133</v>
      </c>
      <c r="D51" s="411" t="str">
        <f>IFERROR(VLOOKUP(B51,'DATA KARYAWAN &amp; ALAMAT'!$B$8:$E$149,3,0),"")</f>
        <v/>
      </c>
      <c r="E51" s="410" t="str">
        <f>IFERROR(VLOOKUP(B51,'DATA KARYAWAN &amp; ALAMAT'!$B$8:$E$149,4,0),"")</f>
        <v/>
      </c>
      <c r="F51" s="411" t="s">
        <v>18</v>
      </c>
      <c r="G51" s="411" t="s">
        <v>19</v>
      </c>
      <c r="H51" s="411">
        <v>1</v>
      </c>
      <c r="I51" s="411">
        <v>1</v>
      </c>
      <c r="J51" s="411" t="s">
        <v>20</v>
      </c>
      <c r="K51" s="423" t="s">
        <v>134</v>
      </c>
      <c r="L51" s="413">
        <v>24012</v>
      </c>
      <c r="M51" s="422" t="str">
        <f t="shared" ca="1" si="9"/>
        <v>52.7</v>
      </c>
      <c r="N51" s="789" t="s">
        <v>752</v>
      </c>
      <c r="O51" s="413">
        <v>32027</v>
      </c>
      <c r="P51" s="422" t="str">
        <f t="shared" ca="1" si="10"/>
        <v>30.7</v>
      </c>
      <c r="Q51" s="413">
        <v>44466</v>
      </c>
      <c r="R51" s="414" t="s">
        <v>19</v>
      </c>
      <c r="S51" s="411" t="s">
        <v>35</v>
      </c>
      <c r="T51" s="411" t="s">
        <v>529</v>
      </c>
      <c r="U51" s="429" t="s">
        <v>116</v>
      </c>
      <c r="V51" s="415" t="str">
        <f>VLOOKUP($B51,ALAMAT!$A$1:E273,4)</f>
        <v>Patosan RT.001 RW.008 Sedayu Muntilan Kab.Magelang</v>
      </c>
    </row>
    <row r="52" spans="1:22" s="407" customFormat="1" ht="12.95" customHeight="1">
      <c r="A52" s="408">
        <v>45</v>
      </c>
      <c r="B52" s="823">
        <v>5159</v>
      </c>
      <c r="C52" s="435" t="s">
        <v>452</v>
      </c>
      <c r="D52" s="411" t="str">
        <f>IFERROR(VLOOKUP(B52,'DATA KARYAWAN &amp; ALAMAT'!$B$8:$E$149,3,0),"")</f>
        <v>4.C</v>
      </c>
      <c r="E52" s="410" t="str">
        <f>IFERROR(VLOOKUP(B52,'DATA KARYAWAN &amp; ALAMAT'!$B$8:$E$149,4,0),"")</f>
        <v>Senior Officer Road Complementary Fac Build Eng</v>
      </c>
      <c r="F52" s="436" t="s">
        <v>18</v>
      </c>
      <c r="G52" s="436" t="s">
        <v>47</v>
      </c>
      <c r="H52" s="436">
        <v>2</v>
      </c>
      <c r="I52" s="436">
        <v>2</v>
      </c>
      <c r="J52" s="436" t="s">
        <v>31</v>
      </c>
      <c r="K52" s="437" t="s">
        <v>352</v>
      </c>
      <c r="L52" s="438">
        <v>24675</v>
      </c>
      <c r="M52" s="439" t="str">
        <f t="shared" ca="1" si="9"/>
        <v>50.9</v>
      </c>
      <c r="N52" s="789" t="s">
        <v>750</v>
      </c>
      <c r="O52" s="438">
        <v>32387</v>
      </c>
      <c r="P52" s="439" t="str">
        <f t="shared" ca="1" si="10"/>
        <v>29.7</v>
      </c>
      <c r="Q52" s="438">
        <v>45129</v>
      </c>
      <c r="R52" s="440" t="s">
        <v>22</v>
      </c>
      <c r="S52" s="436" t="s">
        <v>32</v>
      </c>
      <c r="T52" s="436" t="s">
        <v>529</v>
      </c>
      <c r="U52" s="441" t="s">
        <v>120</v>
      </c>
      <c r="V52" s="732" t="str">
        <f>VLOOKUP($B52,ALAMAT!$A$1:E331,4)</f>
        <v>Jl Megaraya No 220 Rt03 Rw07 Bringin Ngalian Semarang</v>
      </c>
    </row>
    <row r="53" spans="1:22" s="611" customFormat="1" ht="12.95" customHeight="1">
      <c r="A53" s="421">
        <v>46</v>
      </c>
      <c r="B53" s="817">
        <v>10453</v>
      </c>
      <c r="C53" s="410" t="s">
        <v>2373</v>
      </c>
      <c r="D53" s="411" t="str">
        <f>IFERROR(VLOOKUP(B53,'DATA KARYAWAN &amp; ALAMAT'!$B$8:$E$149,3,0),"")</f>
        <v>2.C</v>
      </c>
      <c r="E53" s="410" t="str">
        <f>IFERROR(VLOOKUP(B53,'DATA KARYAWAN &amp; ALAMAT'!$B$8:$E$149,4,0),"")</f>
        <v>Toll Collection Management Manager</v>
      </c>
      <c r="F53" s="411" t="s">
        <v>18</v>
      </c>
      <c r="G53" s="411" t="s">
        <v>19</v>
      </c>
      <c r="H53" s="409">
        <v>0</v>
      </c>
      <c r="I53" s="409">
        <v>0</v>
      </c>
      <c r="J53" s="411" t="s">
        <v>20</v>
      </c>
      <c r="K53" s="437" t="s">
        <v>2379</v>
      </c>
      <c r="L53" s="438">
        <v>32383</v>
      </c>
      <c r="M53" s="610" t="str">
        <f t="shared" ca="1" si="9"/>
        <v>29.8</v>
      </c>
      <c r="N53" s="792" t="s">
        <v>730</v>
      </c>
      <c r="O53" s="438">
        <v>41092</v>
      </c>
      <c r="P53" s="610" t="str">
        <f t="shared" ref="P53:P57" ca="1" si="11">DATEDIF(O53,TODAY(),"Y") &amp; "." &amp;DATEDIF(O53,TODAY(),"YM")</f>
        <v>5.9</v>
      </c>
      <c r="Q53" s="438">
        <v>52837</v>
      </c>
      <c r="R53" s="440" t="s">
        <v>31</v>
      </c>
      <c r="S53" s="436" t="s">
        <v>23</v>
      </c>
      <c r="T53" s="436" t="s">
        <v>23</v>
      </c>
      <c r="U53" s="434" t="s">
        <v>116</v>
      </c>
      <c r="V53" s="415" t="str">
        <f>VLOOKUP($B53,ALAMAT!$A$1:E279,4)</f>
        <v>Jl. HM. Rafi'i No.8, RT. 023 RW. 005 Madurejo, Kotawaringin Barat, KALIMANTAN TENGAH</v>
      </c>
    </row>
    <row r="54" spans="1:22" s="407" customFormat="1" ht="12.95" customHeight="1">
      <c r="A54" s="408">
        <v>47</v>
      </c>
      <c r="B54" s="821">
        <v>4413</v>
      </c>
      <c r="C54" s="410" t="s">
        <v>146</v>
      </c>
      <c r="D54" s="411" t="str">
        <f>IFERROR(VLOOKUP(B54,'DATA KARYAWAN &amp; ALAMAT'!$B$8:$E$149,3,0),"")</f>
        <v>4.C</v>
      </c>
      <c r="E54" s="410" t="str">
        <f>IFERROR(VLOOKUP(B54,'DATA KARYAWAN &amp; ALAMAT'!$B$8:$E$149,4,0),"")</f>
        <v>Senior Officer Prog, Evaluation &amp; Data Reporting</v>
      </c>
      <c r="F54" s="411" t="s">
        <v>18</v>
      </c>
      <c r="G54" s="411" t="s">
        <v>19</v>
      </c>
      <c r="H54" s="411">
        <v>2</v>
      </c>
      <c r="I54" s="411">
        <v>2</v>
      </c>
      <c r="J54" s="411" t="s">
        <v>31</v>
      </c>
      <c r="K54" s="423" t="s">
        <v>147</v>
      </c>
      <c r="L54" s="413">
        <v>24442</v>
      </c>
      <c r="M54" s="422" t="str">
        <f t="shared" ca="1" si="9"/>
        <v>51.4</v>
      </c>
      <c r="N54" s="789" t="s">
        <v>751</v>
      </c>
      <c r="O54" s="413">
        <v>31876</v>
      </c>
      <c r="P54" s="422" t="str">
        <f t="shared" ca="1" si="11"/>
        <v>31.0</v>
      </c>
      <c r="Q54" s="413">
        <v>44896</v>
      </c>
      <c r="R54" s="414" t="s">
        <v>22</v>
      </c>
      <c r="S54" s="411" t="s">
        <v>35</v>
      </c>
      <c r="T54" s="411" t="s">
        <v>23</v>
      </c>
      <c r="U54" s="418" t="s">
        <v>291</v>
      </c>
      <c r="V54" s="415" t="str">
        <f>VLOOKUP($B54,ALAMAT!$A$1:E300,4)</f>
        <v>Jl. Rasamala Barat I No. 168 RT.001 RW.004, Srondol Wetan, Banyumanik, Semarang</v>
      </c>
    </row>
    <row r="55" spans="1:22" s="407" customFormat="1" ht="12.95" customHeight="1">
      <c r="A55" s="421">
        <v>48</v>
      </c>
      <c r="B55" s="821">
        <v>4572</v>
      </c>
      <c r="C55" s="410" t="s">
        <v>43</v>
      </c>
      <c r="D55" s="411" t="str">
        <f>IFERROR(VLOOKUP(B55,'DATA KARYAWAN &amp; ALAMAT'!$B$8:$E$149,3,0),"")</f>
        <v>4.C</v>
      </c>
      <c r="E55" s="410" t="str">
        <f>IFERROR(VLOOKUP(B55,'DATA KARYAWAN &amp; ALAMAT'!$B$8:$E$149,4,0),"")</f>
        <v>Senior Officer Toll Collection Facility</v>
      </c>
      <c r="F55" s="411" t="s">
        <v>18</v>
      </c>
      <c r="G55" s="411" t="s">
        <v>566</v>
      </c>
      <c r="H55" s="411">
        <v>3</v>
      </c>
      <c r="I55" s="411">
        <v>1</v>
      </c>
      <c r="J55" s="411" t="s">
        <v>20</v>
      </c>
      <c r="K55" s="423" t="s">
        <v>44</v>
      </c>
      <c r="L55" s="413">
        <v>24451</v>
      </c>
      <c r="M55" s="422" t="str">
        <f t="shared" ca="1" si="9"/>
        <v>51.4</v>
      </c>
      <c r="N55" s="789" t="s">
        <v>751</v>
      </c>
      <c r="O55" s="413">
        <v>31992</v>
      </c>
      <c r="P55" s="422" t="str">
        <f t="shared" ca="1" si="11"/>
        <v>30.8</v>
      </c>
      <c r="Q55" s="413">
        <v>44905</v>
      </c>
      <c r="R55" s="414" t="s">
        <v>22</v>
      </c>
      <c r="S55" s="411" t="s">
        <v>35</v>
      </c>
      <c r="T55" s="411" t="s">
        <v>23</v>
      </c>
      <c r="U55" s="418" t="s">
        <v>120</v>
      </c>
      <c r="V55" s="415" t="str">
        <f>VLOOKUP($B55,ALAMAT!$A$1:E293,4)</f>
        <v>Pedukuhan VIII RT.032 RW.016  Gotakan, Panjatan, Kulon Progo</v>
      </c>
    </row>
    <row r="56" spans="1:22" s="407" customFormat="1" ht="12.95" customHeight="1">
      <c r="A56" s="408">
        <v>49</v>
      </c>
      <c r="B56" s="821">
        <v>9530</v>
      </c>
      <c r="C56" s="435" t="s">
        <v>403</v>
      </c>
      <c r="D56" s="434" t="s">
        <v>2336</v>
      </c>
      <c r="E56" s="435" t="s">
        <v>2782</v>
      </c>
      <c r="F56" s="436" t="s">
        <v>18</v>
      </c>
      <c r="G56" s="436" t="s">
        <v>19</v>
      </c>
      <c r="H56" s="436">
        <v>3</v>
      </c>
      <c r="I56" s="436">
        <v>3</v>
      </c>
      <c r="J56" s="436" t="s">
        <v>20</v>
      </c>
      <c r="K56" s="437" t="s">
        <v>404</v>
      </c>
      <c r="L56" s="438">
        <v>27432</v>
      </c>
      <c r="M56" s="439" t="str">
        <f t="shared" ca="1" si="9"/>
        <v>43.2</v>
      </c>
      <c r="N56" s="789" t="s">
        <v>742</v>
      </c>
      <c r="O56" s="438">
        <v>35807</v>
      </c>
      <c r="P56" s="439" t="str">
        <f t="shared" ca="1" si="11"/>
        <v>20.3</v>
      </c>
      <c r="Q56" s="438">
        <v>47886</v>
      </c>
      <c r="R56" s="440" t="s">
        <v>22</v>
      </c>
      <c r="S56" s="436" t="s">
        <v>35</v>
      </c>
      <c r="T56" s="436" t="s">
        <v>23</v>
      </c>
      <c r="U56" s="812" t="s">
        <v>120</v>
      </c>
      <c r="V56" s="415" t="str">
        <f>VLOOKUP($B56,ALAMAT!$A$1:E294,4)</f>
        <v>Jl.Rorojonggrang Timur X RT.008 RW.010 Manyaran Semarang Barat</v>
      </c>
    </row>
    <row r="57" spans="1:22" s="407" customFormat="1" ht="12.95" customHeight="1">
      <c r="A57" s="421">
        <v>50</v>
      </c>
      <c r="B57" s="821">
        <v>7578</v>
      </c>
      <c r="C57" s="410" t="s">
        <v>151</v>
      </c>
      <c r="D57" s="411">
        <f>IFERROR(VLOOKUP(B57,'DATA KARYAWAN &amp; ALAMAT'!$B$8:$E$149,3,0),"")</f>
        <v>5</v>
      </c>
      <c r="E57" s="410" t="str">
        <f>IFERROR(VLOOKUP(B57,'DATA KARYAWAN &amp; ALAMAT'!$B$8:$E$149,4,0),"")</f>
        <v xml:space="preserve">Teknisi Madya Listrik Dan Mekanikal </v>
      </c>
      <c r="F57" s="411" t="s">
        <v>18</v>
      </c>
      <c r="G57" s="411" t="s">
        <v>19</v>
      </c>
      <c r="H57" s="411">
        <v>2</v>
      </c>
      <c r="I57" s="411">
        <v>2</v>
      </c>
      <c r="J57" s="411" t="s">
        <v>20</v>
      </c>
      <c r="K57" s="423" t="s">
        <v>239</v>
      </c>
      <c r="L57" s="413">
        <v>25758</v>
      </c>
      <c r="M57" s="422" t="str">
        <f t="shared" ca="1" si="9"/>
        <v>47.9</v>
      </c>
      <c r="N57" s="789" t="s">
        <v>747</v>
      </c>
      <c r="O57" s="413">
        <v>34610</v>
      </c>
      <c r="P57" s="422" t="str">
        <f t="shared" ca="1" si="11"/>
        <v>23.6</v>
      </c>
      <c r="Q57" s="413">
        <v>46212</v>
      </c>
      <c r="R57" s="414" t="s">
        <v>22</v>
      </c>
      <c r="S57" s="411" t="s">
        <v>38</v>
      </c>
      <c r="T57" s="411" t="s">
        <v>529</v>
      </c>
      <c r="U57" s="429" t="s">
        <v>120</v>
      </c>
      <c r="V57" s="415" t="str">
        <f>VLOOKUP($B57,ALAMAT!$A$1:E303,4)</f>
        <v xml:space="preserve">DK.Kecubung DS Gondang RT.006 RW.002 Gondang-Subah </v>
      </c>
    </row>
    <row r="58" spans="1:22" s="407" customFormat="1" ht="12.75">
      <c r="A58" s="408">
        <v>51</v>
      </c>
      <c r="B58" s="821">
        <v>9514</v>
      </c>
      <c r="C58" s="410" t="s">
        <v>385</v>
      </c>
      <c r="D58" s="411">
        <f>IFERROR(VLOOKUP(B58,'DATA KARYAWAN &amp; ALAMAT'!$B$8:$E$149,3,0),"")</f>
        <v>5</v>
      </c>
      <c r="E58" s="410" t="str">
        <f>IFERROR(VLOOKUP(B58,'DATA KARYAWAN &amp; ALAMAT'!$B$8:$E$149,4,0),"")</f>
        <v>Adm. Officer</v>
      </c>
      <c r="F58" s="411" t="s">
        <v>18</v>
      </c>
      <c r="G58" s="411" t="s">
        <v>19</v>
      </c>
      <c r="H58" s="411">
        <v>3</v>
      </c>
      <c r="I58" s="411">
        <v>3</v>
      </c>
      <c r="J58" s="411" t="s">
        <v>31</v>
      </c>
      <c r="K58" s="423" t="s">
        <v>21</v>
      </c>
      <c r="L58" s="413">
        <v>28026</v>
      </c>
      <c r="M58" s="422" t="str">
        <f ca="1">DATEDIF(L58,TODAY(),"Y") &amp; "." &amp;DATEDIF(L58,TODAY(),"YM")</f>
        <v>41.7</v>
      </c>
      <c r="N58" s="796" t="s">
        <v>741</v>
      </c>
      <c r="O58" s="413">
        <v>35807</v>
      </c>
      <c r="P58" s="422" t="str">
        <f ca="1">DATEDIF(O58,TODAY(),"Y") &amp; "." &amp;DATEDIF(O58,TODAY(),"YM")</f>
        <v>20.3</v>
      </c>
      <c r="Q58" s="413">
        <v>48480</v>
      </c>
      <c r="R58" s="414" t="s">
        <v>22</v>
      </c>
      <c r="S58" s="411" t="s">
        <v>35</v>
      </c>
      <c r="T58" s="411" t="s">
        <v>23</v>
      </c>
      <c r="U58" s="409" t="s">
        <v>116</v>
      </c>
      <c r="V58" s="415" t="str">
        <f>VLOOKUP($B58,ALAMAT!$A$1:E431,4)</f>
        <v>Jl Wonodri Krajan Rt 04./01 Wonodri semarang</v>
      </c>
    </row>
    <row r="59" spans="1:22" s="407" customFormat="1" ht="12.95" customHeight="1">
      <c r="A59" s="421">
        <v>52</v>
      </c>
      <c r="B59" s="817">
        <v>7667</v>
      </c>
      <c r="C59" s="410" t="s">
        <v>2308</v>
      </c>
      <c r="D59" s="411" t="str">
        <f>IFERROR(VLOOKUP(B59,'DATA KARYAWAN &amp; ALAMAT'!$B$8:$E$149,3,0),"")</f>
        <v>2.C</v>
      </c>
      <c r="E59" s="410" t="str">
        <f>IFERROR(VLOOKUP(B59,'DATA KARYAWAN &amp; ALAMAT'!$B$8:$E$149,4,0),"")</f>
        <v>Traffic Management Manager</v>
      </c>
      <c r="F59" s="411" t="s">
        <v>18</v>
      </c>
      <c r="G59" s="411" t="s">
        <v>19</v>
      </c>
      <c r="H59" s="411">
        <v>2</v>
      </c>
      <c r="I59" s="411">
        <v>2</v>
      </c>
      <c r="J59" s="411" t="s">
        <v>20</v>
      </c>
      <c r="K59" s="423" t="s">
        <v>112</v>
      </c>
      <c r="L59" s="413">
        <v>25616</v>
      </c>
      <c r="M59" s="422" t="str">
        <f t="shared" ca="1" si="9"/>
        <v>48.2</v>
      </c>
      <c r="N59" s="789" t="s">
        <v>748</v>
      </c>
      <c r="O59" s="413">
        <v>34648</v>
      </c>
      <c r="P59" s="422" t="str">
        <f t="shared" ref="P59:P87" ca="1" si="12">DATEDIF(O59,TODAY(),"Y") &amp; "." &amp;DATEDIF(O59,TODAY(),"YM")</f>
        <v>23.5</v>
      </c>
      <c r="Q59" s="413">
        <v>46070</v>
      </c>
      <c r="R59" s="414" t="s">
        <v>22</v>
      </c>
      <c r="S59" s="411" t="s">
        <v>23</v>
      </c>
      <c r="T59" s="411" t="s">
        <v>23</v>
      </c>
      <c r="U59" s="418" t="s">
        <v>55</v>
      </c>
      <c r="V59" s="415" t="str">
        <f>VLOOKUP($B59,ALAMAT!$A$1:E307,4)</f>
        <v>Jl. Pang Hidayat 12 RT 7 RW 2 Bulu sidokare Sidoarjo - Jawa Timur</v>
      </c>
    </row>
    <row r="60" spans="1:22" s="407" customFormat="1" ht="12.95" customHeight="1">
      <c r="A60" s="408">
        <v>53</v>
      </c>
      <c r="B60" s="821">
        <v>2195</v>
      </c>
      <c r="C60" s="410" t="s">
        <v>2565</v>
      </c>
      <c r="D60" s="411" t="str">
        <f>IFERROR(VLOOKUP(B60,'DATA KARYAWAN &amp; ALAMAT'!$B$8:$E$149,3,0),"")</f>
        <v/>
      </c>
      <c r="E60" s="410" t="str">
        <f>IFERROR(VLOOKUP(B60,'DATA KARYAWAN &amp; ALAMAT'!$B$8:$E$149,4,0),"")</f>
        <v/>
      </c>
      <c r="F60" s="411" t="s">
        <v>18</v>
      </c>
      <c r="G60" s="411" t="s">
        <v>19</v>
      </c>
      <c r="H60" s="411">
        <v>2</v>
      </c>
      <c r="I60" s="411">
        <v>1</v>
      </c>
      <c r="J60" s="411" t="s">
        <v>31</v>
      </c>
      <c r="K60" s="423" t="s">
        <v>174</v>
      </c>
      <c r="L60" s="413">
        <v>22699</v>
      </c>
      <c r="M60" s="422" t="str">
        <f t="shared" ca="1" si="9"/>
        <v>56.2</v>
      </c>
      <c r="N60" s="789" t="s">
        <v>756</v>
      </c>
      <c r="O60" s="413">
        <v>30501</v>
      </c>
      <c r="P60" s="422" t="str">
        <f ca="1">DATEDIF(O60,TODAY(),"Y") &amp; "." &amp;DATEDIF(O60,TODAY(),"YM")</f>
        <v>34.9</v>
      </c>
      <c r="Q60" s="413">
        <v>43153</v>
      </c>
      <c r="R60" s="414" t="s">
        <v>19</v>
      </c>
      <c r="S60" s="411" t="s">
        <v>35</v>
      </c>
      <c r="T60" s="411" t="s">
        <v>175</v>
      </c>
      <c r="U60" s="418" t="s">
        <v>55</v>
      </c>
      <c r="V60" s="415" t="str">
        <f>VLOOKUP($B60,ALAMAT!$A$1:E314,4)</f>
        <v>JL. Jangli Perbalan No.60 RT.009 RW.006 Ngesrep Banyumanik, Semarang</v>
      </c>
    </row>
    <row r="61" spans="1:22" s="407" customFormat="1" ht="12.95" customHeight="1">
      <c r="A61" s="421">
        <v>54</v>
      </c>
      <c r="B61" s="821">
        <v>4652</v>
      </c>
      <c r="C61" s="410" t="s">
        <v>182</v>
      </c>
      <c r="D61" s="411" t="str">
        <f>IFERROR(VLOOKUP(B61,'DATA KARYAWAN &amp; ALAMAT'!$B$8:$E$149,3,0),"")</f>
        <v>4.C</v>
      </c>
      <c r="E61" s="410" t="str">
        <f>IFERROR(VLOOKUP(B61,'DATA KARYAWAN &amp; ALAMAT'!$B$8:$E$149,4,0),"")</f>
        <v>Senior Officer Securing Asset</v>
      </c>
      <c r="F61" s="411" t="s">
        <v>18</v>
      </c>
      <c r="G61" s="411" t="s">
        <v>19</v>
      </c>
      <c r="H61" s="411">
        <v>4</v>
      </c>
      <c r="I61" s="411">
        <v>3</v>
      </c>
      <c r="J61" s="411" t="s">
        <v>20</v>
      </c>
      <c r="K61" s="423" t="s">
        <v>21</v>
      </c>
      <c r="L61" s="413">
        <v>23551</v>
      </c>
      <c r="M61" s="422" t="str">
        <f t="shared" ca="1" si="9"/>
        <v>53.10</v>
      </c>
      <c r="N61" s="789" t="s">
        <v>754</v>
      </c>
      <c r="O61" s="413">
        <v>32025</v>
      </c>
      <c r="P61" s="422" t="str">
        <f t="shared" ref="P61" ca="1" si="13">DATEDIF(O61,TODAY(),"Y") &amp; "." &amp;DATEDIF(O61,TODAY(),"YM")</f>
        <v>30.7</v>
      </c>
      <c r="Q61" s="413">
        <v>44005</v>
      </c>
      <c r="R61" s="414" t="s">
        <v>22</v>
      </c>
      <c r="S61" s="411" t="s">
        <v>38</v>
      </c>
      <c r="T61" s="411" t="s">
        <v>23</v>
      </c>
      <c r="U61" s="429" t="s">
        <v>116</v>
      </c>
      <c r="V61" s="415" t="str">
        <f>VLOOKUP($B61,ALAMAT!$A$1:E310,4)</f>
        <v>Jl Candi Penataran I Rt 08. Rw 03 Kalipancur Ngalian Smg</v>
      </c>
    </row>
    <row r="62" spans="1:22" s="407" customFormat="1" ht="12.95" customHeight="1">
      <c r="A62" s="408">
        <v>55</v>
      </c>
      <c r="B62" s="817">
        <v>8256</v>
      </c>
      <c r="C62" s="410" t="s">
        <v>193</v>
      </c>
      <c r="D62" s="411" t="str">
        <f>IFERROR(VLOOKUP(B62,'DATA KARYAWAN &amp; ALAMAT'!$B$8:$E$149,3,0),"")</f>
        <v>4.C</v>
      </c>
      <c r="E62" s="410" t="str">
        <f>IFERROR(VLOOKUP(B62,'DATA KARYAWAN &amp; ALAMAT'!$B$8:$E$149,4,0),"")</f>
        <v>Senior Officer Traffic Service</v>
      </c>
      <c r="F62" s="411" t="s">
        <v>18</v>
      </c>
      <c r="G62" s="411" t="s">
        <v>19</v>
      </c>
      <c r="H62" s="411">
        <v>1</v>
      </c>
      <c r="I62" s="411">
        <v>1</v>
      </c>
      <c r="J62" s="411" t="s">
        <v>20</v>
      </c>
      <c r="K62" s="431" t="s">
        <v>194</v>
      </c>
      <c r="L62" s="432">
        <v>26738</v>
      </c>
      <c r="M62" s="422" t="str">
        <f t="shared" ca="1" si="9"/>
        <v>45.1</v>
      </c>
      <c r="N62" s="789" t="s">
        <v>745</v>
      </c>
      <c r="O62" s="432">
        <v>35023</v>
      </c>
      <c r="P62" s="422" t="str">
        <f ca="1">DATEDIF(O62,TODAY(),"Y") &amp; "." &amp;DATEDIF(O62,TODAY(),"YM")</f>
        <v>22.5</v>
      </c>
      <c r="Q62" s="432">
        <v>47192</v>
      </c>
      <c r="R62" s="433" t="s">
        <v>31</v>
      </c>
      <c r="S62" s="433" t="s">
        <v>35</v>
      </c>
      <c r="T62" s="433" t="s">
        <v>175</v>
      </c>
      <c r="U62" s="433" t="s">
        <v>120</v>
      </c>
      <c r="V62" s="415" t="str">
        <f>VLOOKUP($B62,ALAMAT!$A$1:E316,4)</f>
        <v xml:space="preserve">Jurangombo Utara Magelang </v>
      </c>
    </row>
    <row r="63" spans="1:22" s="407" customFormat="1" ht="12.95" customHeight="1">
      <c r="A63" s="421">
        <v>56</v>
      </c>
      <c r="B63" s="821">
        <v>7688</v>
      </c>
      <c r="C63" s="410" t="s">
        <v>180</v>
      </c>
      <c r="D63" s="411" t="str">
        <f>IFERROR(VLOOKUP(B63,'DATA KARYAWAN &amp; ALAMAT'!$B$8:$E$149,3,0),"")</f>
        <v>4.C</v>
      </c>
      <c r="E63" s="410" t="str">
        <f>IFERROR(VLOOKUP(B63,'DATA KARYAWAN &amp; ALAMAT'!$B$8:$E$149,4,0),"")</f>
        <v>Senior Officer Traffic Reporting &amp; Controlling</v>
      </c>
      <c r="F63" s="411" t="s">
        <v>18</v>
      </c>
      <c r="G63" s="411" t="s">
        <v>19</v>
      </c>
      <c r="H63" s="411">
        <v>2</v>
      </c>
      <c r="I63" s="411">
        <v>2</v>
      </c>
      <c r="J63" s="411" t="s">
        <v>20</v>
      </c>
      <c r="K63" s="423" t="s">
        <v>96</v>
      </c>
      <c r="L63" s="413">
        <v>27115</v>
      </c>
      <c r="M63" s="422" t="str">
        <f t="shared" ca="1" si="9"/>
        <v>44.1</v>
      </c>
      <c r="N63" s="789" t="s">
        <v>744</v>
      </c>
      <c r="O63" s="413">
        <v>34648</v>
      </c>
      <c r="P63" s="422" t="str">
        <f ca="1">DATEDIF(O63,TODAY(),"Y") &amp; "." &amp;DATEDIF(O63,TODAY(),"YM")</f>
        <v>23.5</v>
      </c>
      <c r="Q63" s="413">
        <v>47569</v>
      </c>
      <c r="R63" s="414" t="s">
        <v>19</v>
      </c>
      <c r="S63" s="411" t="s">
        <v>38</v>
      </c>
      <c r="T63" s="411" t="s">
        <v>23</v>
      </c>
      <c r="U63" s="418" t="s">
        <v>120</v>
      </c>
      <c r="V63" s="415" t="str">
        <f>VLOOKUP($B63,ALAMAT!$A$1:E316,4)</f>
        <v>Jl.Sinar Mas IV/972C RT.012  RW.001 Kedungmundu Tembalang</v>
      </c>
    </row>
    <row r="64" spans="1:22" s="407" customFormat="1" ht="12.95" customHeight="1">
      <c r="A64" s="408">
        <v>57</v>
      </c>
      <c r="B64" s="821">
        <v>4625</v>
      </c>
      <c r="C64" s="410" t="s">
        <v>164</v>
      </c>
      <c r="D64" s="411" t="str">
        <f>IFERROR(VLOOKUP(B64,'DATA KARYAWAN &amp; ALAMAT'!$B$8:$E$149,3,0),"")</f>
        <v>O2.C</v>
      </c>
      <c r="E64" s="410" t="str">
        <f>IFERROR(VLOOKUP(B64,'DATA KARYAWAN &amp; ALAMAT'!$B$8:$E$149,4,0),"")</f>
        <v>Kepala Shift Layanan Jalan Tol</v>
      </c>
      <c r="F64" s="411" t="s">
        <v>18</v>
      </c>
      <c r="G64" s="411" t="s">
        <v>19</v>
      </c>
      <c r="H64" s="411">
        <v>2</v>
      </c>
      <c r="I64" s="411">
        <v>2</v>
      </c>
      <c r="J64" s="411" t="s">
        <v>20</v>
      </c>
      <c r="K64" s="423" t="s">
        <v>21</v>
      </c>
      <c r="L64" s="413">
        <v>23561</v>
      </c>
      <c r="M64" s="422" t="str">
        <f t="shared" ca="1" si="9"/>
        <v>53.9</v>
      </c>
      <c r="N64" s="789" t="s">
        <v>754</v>
      </c>
      <c r="O64" s="413">
        <v>32025</v>
      </c>
      <c r="P64" s="422" t="str">
        <f t="shared" ca="1" si="12"/>
        <v>30.7</v>
      </c>
      <c r="Q64" s="413">
        <v>44015</v>
      </c>
      <c r="R64" s="414" t="s">
        <v>22</v>
      </c>
      <c r="S64" s="411" t="s">
        <v>35</v>
      </c>
      <c r="T64" s="411" t="s">
        <v>529</v>
      </c>
      <c r="U64" s="418" t="s">
        <v>55</v>
      </c>
      <c r="V64" s="415" t="str">
        <f>VLOOKUP($B64,ALAMAT!$A$1:E310,4)</f>
        <v>Pakintelan RT.003 RW.002  Pakintelan, Gunungpati Semarang</v>
      </c>
    </row>
    <row r="65" spans="1:22" s="407" customFormat="1" ht="12.95" customHeight="1">
      <c r="A65" s="421">
        <v>58</v>
      </c>
      <c r="B65" s="821">
        <v>4673</v>
      </c>
      <c r="C65" s="410" t="s">
        <v>166</v>
      </c>
      <c r="D65" s="411" t="str">
        <f>IFERROR(VLOOKUP(B65,'DATA KARYAWAN &amp; ALAMAT'!$B$8:$E$149,3,0),"")</f>
        <v>O2.C</v>
      </c>
      <c r="E65" s="410" t="str">
        <f>IFERROR(VLOOKUP(B65,'DATA KARYAWAN &amp; ALAMAT'!$B$8:$E$149,4,0),"")</f>
        <v>Kepala Shift Layanan Jalan Tol</v>
      </c>
      <c r="F65" s="411" t="s">
        <v>18</v>
      </c>
      <c r="G65" s="411" t="s">
        <v>19</v>
      </c>
      <c r="H65" s="411">
        <v>3</v>
      </c>
      <c r="I65" s="411">
        <v>2</v>
      </c>
      <c r="J65" s="411" t="s">
        <v>20</v>
      </c>
      <c r="K65" s="423" t="s">
        <v>21</v>
      </c>
      <c r="L65" s="413">
        <v>23069</v>
      </c>
      <c r="M65" s="422" t="str">
        <f t="shared" ca="1" si="9"/>
        <v>55.2</v>
      </c>
      <c r="N65" s="789" t="s">
        <v>755</v>
      </c>
      <c r="O65" s="413">
        <v>32025</v>
      </c>
      <c r="P65" s="422" t="str">
        <f t="shared" ca="1" si="12"/>
        <v>30.7</v>
      </c>
      <c r="Q65" s="413">
        <v>43523</v>
      </c>
      <c r="R65" s="414" t="s">
        <v>22</v>
      </c>
      <c r="S65" s="411" t="s">
        <v>35</v>
      </c>
      <c r="T65" s="411" t="s">
        <v>529</v>
      </c>
      <c r="U65" s="418" t="s">
        <v>120</v>
      </c>
      <c r="V65" s="415" t="str">
        <f>VLOOKUP($B65,ALAMAT!$A$1:E311,4)</f>
        <v>Gemahsari V No.178 RT.001 RW.004 Kedungmundu, Tembalang, Semarang</v>
      </c>
    </row>
    <row r="66" spans="1:22" s="407" customFormat="1" ht="12.95" customHeight="1">
      <c r="A66" s="408">
        <v>59</v>
      </c>
      <c r="B66" s="821">
        <v>8261</v>
      </c>
      <c r="C66" s="410" t="s">
        <v>168</v>
      </c>
      <c r="D66" s="411" t="str">
        <f>IFERROR(VLOOKUP(B66,'DATA KARYAWAN &amp; ALAMAT'!$B$8:$E$149,3,0),"")</f>
        <v>O2.C</v>
      </c>
      <c r="E66" s="410" t="str">
        <f>IFERROR(VLOOKUP(B66,'DATA KARYAWAN &amp; ALAMAT'!$B$8:$E$149,4,0),"")</f>
        <v>Kepala Shift Layanan Jalan Tol</v>
      </c>
      <c r="F66" s="411" t="s">
        <v>18</v>
      </c>
      <c r="G66" s="411" t="s">
        <v>19</v>
      </c>
      <c r="H66" s="411">
        <v>2</v>
      </c>
      <c r="I66" s="411">
        <v>2</v>
      </c>
      <c r="J66" s="411" t="s">
        <v>20</v>
      </c>
      <c r="K66" s="423" t="s">
        <v>169</v>
      </c>
      <c r="L66" s="413">
        <v>26561</v>
      </c>
      <c r="M66" s="422" t="str">
        <f t="shared" ca="1" si="9"/>
        <v>45.7</v>
      </c>
      <c r="N66" s="789" t="s">
        <v>745</v>
      </c>
      <c r="O66" s="413">
        <v>34922</v>
      </c>
      <c r="P66" s="422" t="str">
        <f t="shared" ca="1" si="12"/>
        <v>22.8</v>
      </c>
      <c r="Q66" s="413">
        <v>47015</v>
      </c>
      <c r="R66" s="414" t="s">
        <v>22</v>
      </c>
      <c r="S66" s="411" t="s">
        <v>38</v>
      </c>
      <c r="T66" s="411" t="s">
        <v>23</v>
      </c>
      <c r="U66" s="418" t="s">
        <v>55</v>
      </c>
      <c r="V66" s="415" t="str">
        <f>VLOOKUP($B66,ALAMAT!$A$1:E312,4)</f>
        <v>Jl. Rorojonggrang XIX RT.004 RW.010 Manyaran ,  Semarang Barat</v>
      </c>
    </row>
    <row r="67" spans="1:22" s="407" customFormat="1" ht="12.95" customHeight="1">
      <c r="A67" s="421">
        <v>60</v>
      </c>
      <c r="B67" s="821">
        <v>7606</v>
      </c>
      <c r="C67" s="410" t="s">
        <v>230</v>
      </c>
      <c r="D67" s="411" t="str">
        <f>IFERROR(VLOOKUP(B67,'DATA KARYAWAN &amp; ALAMAT'!$B$8:$E$149,3,0),"")</f>
        <v>O2.C</v>
      </c>
      <c r="E67" s="410" t="str">
        <f>IFERROR(VLOOKUP(B67,'DATA KARYAWAN &amp; ALAMAT'!$B$8:$E$149,4,0),"")</f>
        <v>Kepala Shift Layanan Jalan Tol</v>
      </c>
      <c r="F67" s="411" t="s">
        <v>18</v>
      </c>
      <c r="G67" s="411" t="s">
        <v>19</v>
      </c>
      <c r="H67" s="411">
        <v>2</v>
      </c>
      <c r="I67" s="411">
        <v>2</v>
      </c>
      <c r="J67" s="411" t="s">
        <v>20</v>
      </c>
      <c r="K67" s="423" t="s">
        <v>231</v>
      </c>
      <c r="L67" s="413">
        <v>26644</v>
      </c>
      <c r="M67" s="793" t="str">
        <f t="shared" ca="1" si="9"/>
        <v>45.4</v>
      </c>
      <c r="N67" s="794" t="s">
        <v>745</v>
      </c>
      <c r="O67" s="413">
        <v>34648</v>
      </c>
      <c r="P67" s="422" t="str">
        <f t="shared" ca="1" si="12"/>
        <v>23.5</v>
      </c>
      <c r="Q67" s="413">
        <v>47098</v>
      </c>
      <c r="R67" s="414" t="s">
        <v>31</v>
      </c>
      <c r="S67" s="411" t="s">
        <v>35</v>
      </c>
      <c r="T67" s="411" t="s">
        <v>23</v>
      </c>
      <c r="U67" s="418" t="s">
        <v>55</v>
      </c>
      <c r="V67" s="415" t="str">
        <f>VLOOKUP($B67,ALAMAT!$A$1:E329,4)</f>
        <v xml:space="preserve">Jl.Argo Mulyo Mukti III/D-137 RT.001 RW.010 Tlogomulyo, Pedurungan </v>
      </c>
    </row>
    <row r="68" spans="1:22" s="407" customFormat="1" ht="12.95" customHeight="1">
      <c r="A68" s="408">
        <v>61</v>
      </c>
      <c r="B68" s="821">
        <v>7614</v>
      </c>
      <c r="C68" s="410" t="s">
        <v>233</v>
      </c>
      <c r="D68" s="411" t="str">
        <f>IFERROR(VLOOKUP(B68,'DATA KARYAWAN &amp; ALAMAT'!$B$8:$E$149,3,0),"")</f>
        <v>O2.C</v>
      </c>
      <c r="E68" s="410" t="str">
        <f>IFERROR(VLOOKUP(B68,'DATA KARYAWAN &amp; ALAMAT'!$B$8:$E$149,4,0),"")</f>
        <v>Kepala Shift Layanan Jalan Tol</v>
      </c>
      <c r="F68" s="411" t="s">
        <v>18</v>
      </c>
      <c r="G68" s="411" t="s">
        <v>19</v>
      </c>
      <c r="H68" s="411">
        <v>1</v>
      </c>
      <c r="I68" s="411">
        <v>1</v>
      </c>
      <c r="J68" s="411" t="s">
        <v>20</v>
      </c>
      <c r="K68" s="423" t="s">
        <v>234</v>
      </c>
      <c r="L68" s="413">
        <v>25630</v>
      </c>
      <c r="M68" s="422" t="str">
        <f ca="1">DATEDIF(L68,TODAY(),"Y") &amp; "." &amp;DATEDIF(L68,TODAY(),"YM")</f>
        <v>48.1</v>
      </c>
      <c r="N68" s="789" t="s">
        <v>748</v>
      </c>
      <c r="O68" s="413">
        <v>34648</v>
      </c>
      <c r="P68" s="422" t="str">
        <f ca="1">DATEDIF(O68,TODAY(),"Y") &amp; "." &amp;DATEDIF(O68,TODAY(),"YM")</f>
        <v>23.5</v>
      </c>
      <c r="Q68" s="413">
        <v>46084</v>
      </c>
      <c r="R68" s="414" t="s">
        <v>22</v>
      </c>
      <c r="S68" s="411" t="s">
        <v>35</v>
      </c>
      <c r="T68" s="411" t="s">
        <v>529</v>
      </c>
      <c r="U68" s="418" t="s">
        <v>55</v>
      </c>
      <c r="V68" s="415" t="str">
        <f>VLOOKUP($B68,ALAMAT!$A$1:E334,4)</f>
        <v>Jl.Kalimantan 325 RT.007 Rw.009 Gedang Anak Ungaran</v>
      </c>
    </row>
    <row r="69" spans="1:22" s="407" customFormat="1" ht="12" customHeight="1">
      <c r="A69" s="421">
        <v>62</v>
      </c>
      <c r="B69" s="817">
        <v>2227</v>
      </c>
      <c r="C69" s="410" t="s">
        <v>2584</v>
      </c>
      <c r="D69" s="411" t="str">
        <f>IFERROR(VLOOKUP(B69,'DATA KARYAWAN &amp; ALAMAT'!$B$8:$E$149,3,0),"")</f>
        <v>O2.B</v>
      </c>
      <c r="E69" s="410" t="str">
        <f>IFERROR(VLOOKUP(B69,'DATA KARYAWAN &amp; ALAMAT'!$B$8:$E$149,4,0),"")</f>
        <v xml:space="preserve">Petugas Informasi dan Komunikasi </v>
      </c>
      <c r="F69" s="411" t="s">
        <v>18</v>
      </c>
      <c r="G69" s="411" t="s">
        <v>19</v>
      </c>
      <c r="H69" s="411">
        <v>3</v>
      </c>
      <c r="I69" s="411">
        <v>1</v>
      </c>
      <c r="J69" s="411" t="s">
        <v>20</v>
      </c>
      <c r="K69" s="423" t="s">
        <v>21</v>
      </c>
      <c r="L69" s="413">
        <v>22716</v>
      </c>
      <c r="M69" s="422" t="str">
        <f t="shared" ca="1" si="9"/>
        <v>56.1</v>
      </c>
      <c r="N69" s="795" t="s">
        <v>756</v>
      </c>
      <c r="O69" s="413">
        <v>30501</v>
      </c>
      <c r="P69" s="422" t="str">
        <f t="shared" ca="1" si="12"/>
        <v>34.9</v>
      </c>
      <c r="Q69" s="413">
        <v>43170</v>
      </c>
      <c r="R69" s="414" t="s">
        <v>22</v>
      </c>
      <c r="S69" s="411" t="s">
        <v>35</v>
      </c>
      <c r="T69" s="411" t="s">
        <v>23</v>
      </c>
      <c r="U69" s="418" t="s">
        <v>55</v>
      </c>
      <c r="V69" s="415" t="str">
        <f>VLOOKUP($B69,ALAMAT!$A$1:E319,4)</f>
        <v>JL. Jomblang Barat 520 RT.004 RW.003  Candi,Candisari Semarang</v>
      </c>
    </row>
    <row r="70" spans="1:22" s="407" customFormat="1" ht="12.95" customHeight="1">
      <c r="A70" s="408">
        <v>63</v>
      </c>
      <c r="B70" s="821">
        <v>4624</v>
      </c>
      <c r="C70" s="410" t="s">
        <v>161</v>
      </c>
      <c r="D70" s="411" t="str">
        <f>IFERROR(VLOOKUP(B70,'DATA KARYAWAN &amp; ALAMAT'!$B$8:$E$149,3,0),"")</f>
        <v>O2.B</v>
      </c>
      <c r="E70" s="410" t="str">
        <f>IFERROR(VLOOKUP(B70,'DATA KARYAWAN &amp; ALAMAT'!$B$8:$E$149,4,0),"")</f>
        <v xml:space="preserve">Petugas Informasi dan Komunikasi </v>
      </c>
      <c r="F70" s="411" t="s">
        <v>18</v>
      </c>
      <c r="G70" s="411" t="s">
        <v>19</v>
      </c>
      <c r="H70" s="411">
        <v>3</v>
      </c>
      <c r="I70" s="411">
        <v>2</v>
      </c>
      <c r="J70" s="411" t="s">
        <v>20</v>
      </c>
      <c r="K70" s="423" t="s">
        <v>162</v>
      </c>
      <c r="L70" s="413">
        <v>23529</v>
      </c>
      <c r="M70" s="422" t="str">
        <f t="shared" ca="1" si="9"/>
        <v>53.10</v>
      </c>
      <c r="N70" s="789" t="s">
        <v>754</v>
      </c>
      <c r="O70" s="413">
        <v>32025</v>
      </c>
      <c r="P70" s="422" t="str">
        <f t="shared" ca="1" si="12"/>
        <v>30.7</v>
      </c>
      <c r="Q70" s="413">
        <v>43983</v>
      </c>
      <c r="R70" s="414" t="s">
        <v>22</v>
      </c>
      <c r="S70" s="411" t="s">
        <v>35</v>
      </c>
      <c r="T70" s="411" t="s">
        <v>23</v>
      </c>
      <c r="U70" s="418" t="s">
        <v>120</v>
      </c>
      <c r="V70" s="415" t="str">
        <f>VLOOKUP($B70,ALAMAT!$A$1:E318,4)</f>
        <v>Jl. Panasan V/14 RT.003 RW.013  Beji Ungaran</v>
      </c>
    </row>
    <row r="71" spans="1:22" s="407" customFormat="1" ht="12.95" customHeight="1">
      <c r="A71" s="421">
        <v>64</v>
      </c>
      <c r="B71" s="821">
        <v>4661</v>
      </c>
      <c r="C71" s="410" t="s">
        <v>185</v>
      </c>
      <c r="D71" s="411" t="str">
        <f>IFERROR(VLOOKUP(B71,'DATA KARYAWAN &amp; ALAMAT'!$B$8:$E$149,3,0),"")</f>
        <v>O2.B</v>
      </c>
      <c r="E71" s="410" t="str">
        <f>IFERROR(VLOOKUP(B71,'DATA KARYAWAN &amp; ALAMAT'!$B$8:$E$149,4,0),"")</f>
        <v xml:space="preserve">Petugas Informasi dan Komunikasi </v>
      </c>
      <c r="F71" s="411" t="s">
        <v>18</v>
      </c>
      <c r="G71" s="411" t="s">
        <v>19</v>
      </c>
      <c r="H71" s="411">
        <v>2</v>
      </c>
      <c r="I71" s="411">
        <v>2</v>
      </c>
      <c r="J71" s="411" t="s">
        <v>20</v>
      </c>
      <c r="K71" s="423" t="s">
        <v>21</v>
      </c>
      <c r="L71" s="413">
        <v>23469</v>
      </c>
      <c r="M71" s="422" t="str">
        <f t="shared" ca="1" si="9"/>
        <v>54.0</v>
      </c>
      <c r="N71" s="789" t="s">
        <v>754</v>
      </c>
      <c r="O71" s="413">
        <v>32025</v>
      </c>
      <c r="P71" s="422" t="str">
        <f t="shared" ca="1" si="12"/>
        <v>30.7</v>
      </c>
      <c r="Q71" s="413">
        <v>43923</v>
      </c>
      <c r="R71" s="414" t="s">
        <v>22</v>
      </c>
      <c r="S71" s="411" t="s">
        <v>38</v>
      </c>
      <c r="T71" s="411" t="s">
        <v>529</v>
      </c>
      <c r="U71" s="418" t="s">
        <v>131</v>
      </c>
      <c r="V71" s="415" t="str">
        <f>VLOOKUP($B71,ALAMAT!$A$1:E320,4)</f>
        <v>Pringsari RT.001 RW.002 Pringsari Pringapus/Klepu Kab.Semarang</v>
      </c>
    </row>
    <row r="72" spans="1:22" s="407" customFormat="1" ht="12.95" customHeight="1">
      <c r="A72" s="408">
        <v>65</v>
      </c>
      <c r="B72" s="821">
        <v>6791</v>
      </c>
      <c r="C72" s="410" t="s">
        <v>223</v>
      </c>
      <c r="D72" s="411" t="str">
        <f>IFERROR(VLOOKUP(B72,'DATA KARYAWAN &amp; ALAMAT'!$B$8:$E$149,3,0),"")</f>
        <v/>
      </c>
      <c r="E72" s="410" t="str">
        <f>IFERROR(VLOOKUP(B72,'DATA KARYAWAN &amp; ALAMAT'!$B$8:$E$149,4,0),"")</f>
        <v/>
      </c>
      <c r="F72" s="411" t="s">
        <v>18</v>
      </c>
      <c r="G72" s="411" t="s">
        <v>19</v>
      </c>
      <c r="H72" s="411">
        <v>2</v>
      </c>
      <c r="I72" s="411">
        <v>2</v>
      </c>
      <c r="J72" s="411" t="s">
        <v>20</v>
      </c>
      <c r="K72" s="423" t="s">
        <v>85</v>
      </c>
      <c r="L72" s="413">
        <v>26020</v>
      </c>
      <c r="M72" s="422" t="str">
        <f t="shared" ca="1" si="9"/>
        <v>47.1</v>
      </c>
      <c r="N72" s="789" t="s">
        <v>747</v>
      </c>
      <c r="O72" s="413">
        <v>33527</v>
      </c>
      <c r="P72" s="422" t="str">
        <f t="shared" ca="1" si="12"/>
        <v>26.6</v>
      </c>
      <c r="Q72" s="413">
        <v>46474</v>
      </c>
      <c r="R72" s="414" t="s">
        <v>22</v>
      </c>
      <c r="S72" s="411" t="s">
        <v>35</v>
      </c>
      <c r="T72" s="411" t="s">
        <v>529</v>
      </c>
      <c r="U72" s="418" t="s">
        <v>131</v>
      </c>
      <c r="V72" s="415" t="str">
        <f>VLOOKUP($B72,ALAMAT!$A$1:E322,4)</f>
        <v>Jl.Candi Penataran Utara I RT.002 RW.012 Kalipancur Ngaliyan</v>
      </c>
    </row>
    <row r="73" spans="1:22" s="407" customFormat="1" ht="12.95" customHeight="1">
      <c r="A73" s="421">
        <v>66</v>
      </c>
      <c r="B73" s="817">
        <v>7438</v>
      </c>
      <c r="C73" s="410" t="s">
        <v>472</v>
      </c>
      <c r="D73" s="411" t="str">
        <f>IFERROR(VLOOKUP(B73,'DATA KARYAWAN &amp; ALAMAT'!$B$8:$E$149,3,0),"")</f>
        <v>O2.B</v>
      </c>
      <c r="E73" s="410" t="str">
        <f>IFERROR(VLOOKUP(B73,'DATA KARYAWAN &amp; ALAMAT'!$B$8:$E$149,4,0),"")</f>
        <v xml:space="preserve">Petugas Informasi dan Komunikasi </v>
      </c>
      <c r="F73" s="411" t="s">
        <v>18</v>
      </c>
      <c r="G73" s="411" t="s">
        <v>19</v>
      </c>
      <c r="H73" s="411">
        <v>3</v>
      </c>
      <c r="I73" s="411">
        <v>3</v>
      </c>
      <c r="J73" s="411" t="s">
        <v>20</v>
      </c>
      <c r="K73" s="423" t="s">
        <v>468</v>
      </c>
      <c r="L73" s="413">
        <v>25215</v>
      </c>
      <c r="M73" s="422" t="str">
        <f ca="1">DATEDIF(L73,TODAY(),"Y") &amp; "." &amp;DATEDIF(L73,TODAY(),"YM")</f>
        <v>49.3</v>
      </c>
      <c r="N73" s="796" t="s">
        <v>749</v>
      </c>
      <c r="O73" s="413">
        <v>34500</v>
      </c>
      <c r="P73" s="422" t="str">
        <f ca="1">DATEDIF(O73,TODAY(),"Y") &amp; "." &amp;DATEDIF(O73,TODAY(),"YM")</f>
        <v>23.10</v>
      </c>
      <c r="Q73" s="413">
        <v>45669</v>
      </c>
      <c r="R73" s="414" t="s">
        <v>22</v>
      </c>
      <c r="S73" s="411" t="s">
        <v>35</v>
      </c>
      <c r="T73" s="411" t="s">
        <v>529</v>
      </c>
      <c r="U73" s="582" t="s">
        <v>116</v>
      </c>
      <c r="V73" s="415" t="str">
        <f>VLOOKUP($B73,ALAMAT!$A$1:E398,4)</f>
        <v>Komp.Jaka Kencana A/86 RT.002  RW.004 Jaka Setya Bekasi Selatan</v>
      </c>
    </row>
    <row r="74" spans="1:22" s="407" customFormat="1" ht="12.95" customHeight="1">
      <c r="A74" s="408">
        <v>67</v>
      </c>
      <c r="B74" s="821">
        <v>8415</v>
      </c>
      <c r="C74" s="410" t="s">
        <v>364</v>
      </c>
      <c r="D74" s="411" t="str">
        <f>IFERROR(VLOOKUP(B74,'DATA KARYAWAN &amp; ALAMAT'!$B$8:$E$149,3,0),"")</f>
        <v>O2.B</v>
      </c>
      <c r="E74" s="410" t="str">
        <f>IFERROR(VLOOKUP(B74,'DATA KARYAWAN &amp; ALAMAT'!$B$8:$E$149,4,0),"")</f>
        <v xml:space="preserve">Petugas Informasi dan Komunikasi </v>
      </c>
      <c r="F74" s="411" t="s">
        <v>18</v>
      </c>
      <c r="G74" s="411" t="s">
        <v>19</v>
      </c>
      <c r="H74" s="411">
        <v>1</v>
      </c>
      <c r="I74" s="411">
        <v>1</v>
      </c>
      <c r="J74" s="411" t="s">
        <v>20</v>
      </c>
      <c r="K74" s="423" t="s">
        <v>365</v>
      </c>
      <c r="L74" s="413">
        <v>27766</v>
      </c>
      <c r="M74" s="422" t="str">
        <f ca="1">DATEDIF(L74,TODAY(),"Y") &amp; "." &amp;DATEDIF(L74,TODAY(),"YM")</f>
        <v>42.3</v>
      </c>
      <c r="N74" s="796" t="s">
        <v>742</v>
      </c>
      <c r="O74" s="413">
        <v>35096</v>
      </c>
      <c r="P74" s="422" t="str">
        <f ca="1">DATEDIF(O74,TODAY(),"Y") &amp; "." &amp;DATEDIF(O74,TODAY(),"YM")</f>
        <v>22.2</v>
      </c>
      <c r="Q74" s="413">
        <v>48220</v>
      </c>
      <c r="R74" s="414" t="s">
        <v>22</v>
      </c>
      <c r="S74" s="411" t="s">
        <v>35</v>
      </c>
      <c r="T74" s="411" t="s">
        <v>529</v>
      </c>
      <c r="U74" s="424" t="s">
        <v>120</v>
      </c>
      <c r="V74" s="415" t="str">
        <f>VLOOKUP($B74,ALAMAT!$A$1:E422,4)</f>
        <v>Puri Asri Jl.Merdeka III No.16  RT.004 RW.004 Beji Ungaran Timur</v>
      </c>
    </row>
    <row r="75" spans="1:22" s="407" customFormat="1" ht="12.75" customHeight="1">
      <c r="A75" s="421">
        <v>68</v>
      </c>
      <c r="B75" s="821">
        <v>4883</v>
      </c>
      <c r="C75" s="410" t="s">
        <v>202</v>
      </c>
      <c r="D75" s="411" t="str">
        <f>IFERROR(VLOOKUP(B75,'DATA KARYAWAN &amp; ALAMAT'!$B$8:$E$149,3,0),"")</f>
        <v>O3.D</v>
      </c>
      <c r="E75" s="410" t="str">
        <f>IFERROR(VLOOKUP(B75,'DATA KARYAWAN &amp; ALAMAT'!$B$8:$E$149,4,0),"")</f>
        <v xml:space="preserve">Petugas Pratama Layanan Jalan Tol </v>
      </c>
      <c r="F75" s="411" t="s">
        <v>18</v>
      </c>
      <c r="G75" s="411" t="s">
        <v>19</v>
      </c>
      <c r="H75" s="411">
        <v>3</v>
      </c>
      <c r="I75" s="411">
        <v>3</v>
      </c>
      <c r="J75" s="411" t="s">
        <v>20</v>
      </c>
      <c r="K75" s="423" t="s">
        <v>203</v>
      </c>
      <c r="L75" s="413">
        <v>25733</v>
      </c>
      <c r="M75" s="422" t="str">
        <f t="shared" ca="1" si="9"/>
        <v>47.10</v>
      </c>
      <c r="N75" s="789" t="s">
        <v>748</v>
      </c>
      <c r="O75" s="413">
        <v>32235</v>
      </c>
      <c r="P75" s="422" t="str">
        <f t="shared" ca="1" si="12"/>
        <v>30.0</v>
      </c>
      <c r="Q75" s="413">
        <v>46156</v>
      </c>
      <c r="R75" s="414" t="s">
        <v>22</v>
      </c>
      <c r="S75" s="411" t="s">
        <v>67</v>
      </c>
      <c r="T75" s="411" t="s">
        <v>530</v>
      </c>
      <c r="U75" s="418" t="s">
        <v>55</v>
      </c>
      <c r="V75" s="415" t="str">
        <f>VLOOKUP($B75,ALAMAT!$A$1:E327,4)</f>
        <v>Tegalmelik RT.003 RW.002 Gebugan Bergas Kab.Semarang</v>
      </c>
    </row>
    <row r="76" spans="1:22" s="407" customFormat="1" ht="12.95" customHeight="1">
      <c r="A76" s="408">
        <v>69</v>
      </c>
      <c r="B76" s="821">
        <v>4676</v>
      </c>
      <c r="C76" s="410" t="s">
        <v>217</v>
      </c>
      <c r="D76" s="411" t="str">
        <f>IFERROR(VLOOKUP(B76,'DATA KARYAWAN &amp; ALAMAT'!$B$8:$E$149,3,0),"")</f>
        <v>O3.A</v>
      </c>
      <c r="E76" s="410" t="str">
        <f>IFERROR(VLOOKUP(B76,'DATA KARYAWAN &amp; ALAMAT'!$B$8:$E$149,4,0),"")</f>
        <v xml:space="preserve">Petugas Utama Layanan Jalan Tol </v>
      </c>
      <c r="F76" s="411" t="s">
        <v>18</v>
      </c>
      <c r="G76" s="411" t="s">
        <v>19</v>
      </c>
      <c r="H76" s="411">
        <v>2</v>
      </c>
      <c r="I76" s="411">
        <v>1</v>
      </c>
      <c r="J76" s="411" t="s">
        <v>20</v>
      </c>
      <c r="K76" s="423" t="s">
        <v>21</v>
      </c>
      <c r="L76" s="413">
        <v>23865</v>
      </c>
      <c r="M76" s="422" t="str">
        <f t="shared" ca="1" si="9"/>
        <v>52.11</v>
      </c>
      <c r="N76" s="789" t="s">
        <v>753</v>
      </c>
      <c r="O76" s="413">
        <v>32025</v>
      </c>
      <c r="P76" s="422" t="str">
        <f t="shared" ca="1" si="12"/>
        <v>30.7</v>
      </c>
      <c r="Q76" s="413">
        <v>44319</v>
      </c>
      <c r="R76" s="414" t="s">
        <v>22</v>
      </c>
      <c r="S76" s="411" t="s">
        <v>35</v>
      </c>
      <c r="T76" s="411" t="s">
        <v>23</v>
      </c>
      <c r="U76" s="418" t="s">
        <v>291</v>
      </c>
      <c r="V76" s="415" t="str">
        <f>VLOOKUP($B76,ALAMAT!$A$1:E335,4)</f>
        <v>Jl.Kenanga Raya 28 Rejosari RT.005 RW.002 Genuk Ungaran</v>
      </c>
    </row>
    <row r="77" spans="1:22" s="407" customFormat="1" ht="12.95" customHeight="1">
      <c r="A77" s="421">
        <v>70</v>
      </c>
      <c r="B77" s="821">
        <v>4884</v>
      </c>
      <c r="C77" s="410" t="s">
        <v>219</v>
      </c>
      <c r="D77" s="411" t="str">
        <f>IFERROR(VLOOKUP(B77,'DATA KARYAWAN &amp; ALAMAT'!$B$8:$E$149,3,0),"")</f>
        <v>O3.A</v>
      </c>
      <c r="E77" s="410" t="str">
        <f>IFERROR(VLOOKUP(B77,'DATA KARYAWAN &amp; ALAMAT'!$B$8:$E$149,4,0),"")</f>
        <v xml:space="preserve">Petugas Utama Layanan Jalan Tol </v>
      </c>
      <c r="F77" s="411" t="s">
        <v>18</v>
      </c>
      <c r="G77" s="411" t="s">
        <v>19</v>
      </c>
      <c r="H77" s="411">
        <v>4</v>
      </c>
      <c r="I77" s="411">
        <v>2</v>
      </c>
      <c r="J77" s="411" t="s">
        <v>20</v>
      </c>
      <c r="K77" s="423" t="s">
        <v>21</v>
      </c>
      <c r="L77" s="413">
        <v>24630</v>
      </c>
      <c r="M77" s="422" t="str">
        <f t="shared" ca="1" si="9"/>
        <v>50.10</v>
      </c>
      <c r="N77" s="789" t="s">
        <v>751</v>
      </c>
      <c r="O77" s="413">
        <v>32235</v>
      </c>
      <c r="P77" s="422" t="str">
        <f t="shared" ca="1" si="12"/>
        <v>30.0</v>
      </c>
      <c r="Q77" s="413">
        <v>45084</v>
      </c>
      <c r="R77" s="414" t="s">
        <v>22</v>
      </c>
      <c r="S77" s="411" t="s">
        <v>35</v>
      </c>
      <c r="T77" s="411" t="s">
        <v>529</v>
      </c>
      <c r="U77" s="418" t="s">
        <v>291</v>
      </c>
      <c r="V77" s="415" t="str">
        <f>VLOOKUP($B77,ALAMAT!$A$1:E336,4)</f>
        <v>Jl. Waru Timur II RT.009 RW.001Pedalangan Banyumanik, Semarang</v>
      </c>
    </row>
    <row r="78" spans="1:22" s="407" customFormat="1" ht="12.75">
      <c r="A78" s="408">
        <v>71</v>
      </c>
      <c r="B78" s="821">
        <v>5372</v>
      </c>
      <c r="C78" s="410" t="s">
        <v>221</v>
      </c>
      <c r="D78" s="411" t="str">
        <f>IFERROR(VLOOKUP(B78,'DATA KARYAWAN &amp; ALAMAT'!$B$8:$E$149,3,0),"")</f>
        <v>O3.A</v>
      </c>
      <c r="E78" s="410" t="str">
        <f>IFERROR(VLOOKUP(B78,'DATA KARYAWAN &amp; ALAMAT'!$B$8:$E$149,4,0),"")</f>
        <v xml:space="preserve">Petugas Utama Layanan Jalan Tol </v>
      </c>
      <c r="F78" s="411" t="s">
        <v>18</v>
      </c>
      <c r="G78" s="411" t="s">
        <v>19</v>
      </c>
      <c r="H78" s="411">
        <v>2</v>
      </c>
      <c r="I78" s="411">
        <v>1</v>
      </c>
      <c r="J78" s="411" t="s">
        <v>20</v>
      </c>
      <c r="K78" s="423" t="s">
        <v>66</v>
      </c>
      <c r="L78" s="413">
        <v>23894</v>
      </c>
      <c r="M78" s="422" t="str">
        <f t="shared" ca="1" si="9"/>
        <v>52.10</v>
      </c>
      <c r="N78" s="789" t="s">
        <v>753</v>
      </c>
      <c r="O78" s="413">
        <v>32524</v>
      </c>
      <c r="P78" s="422" t="str">
        <f t="shared" ca="1" si="12"/>
        <v>29.3</v>
      </c>
      <c r="Q78" s="413">
        <v>44348</v>
      </c>
      <c r="R78" s="414" t="s">
        <v>22</v>
      </c>
      <c r="S78" s="411" t="s">
        <v>38</v>
      </c>
      <c r="T78" s="411" t="s">
        <v>529</v>
      </c>
      <c r="U78" s="418" t="s">
        <v>55</v>
      </c>
      <c r="V78" s="415" t="str">
        <f>VLOOKUP($B78,ALAMAT!$A$1:E337,4)</f>
        <v>Jl.Brantas I No.4 RT.002 RW.013 Beji Ungaran Timur</v>
      </c>
    </row>
    <row r="79" spans="1:22" s="407" customFormat="1" ht="12.95" customHeight="1">
      <c r="A79" s="421">
        <v>72</v>
      </c>
      <c r="B79" s="821">
        <v>7404</v>
      </c>
      <c r="C79" s="410" t="s">
        <v>226</v>
      </c>
      <c r="D79" s="411" t="str">
        <f>IFERROR(VLOOKUP(B79,'DATA KARYAWAN &amp; ALAMAT'!$B$8:$E$149,3,0),"")</f>
        <v>O3.A</v>
      </c>
      <c r="E79" s="410" t="str">
        <f>IFERROR(VLOOKUP(B79,'DATA KARYAWAN &amp; ALAMAT'!$B$8:$E$149,4,0),"")</f>
        <v xml:space="preserve">Petugas Utama Layanan Jalan Tol </v>
      </c>
      <c r="F79" s="411" t="s">
        <v>18</v>
      </c>
      <c r="G79" s="411" t="s">
        <v>19</v>
      </c>
      <c r="H79" s="411">
        <v>1</v>
      </c>
      <c r="I79" s="411">
        <v>1</v>
      </c>
      <c r="J79" s="411" t="s">
        <v>20</v>
      </c>
      <c r="K79" s="423" t="s">
        <v>21</v>
      </c>
      <c r="L79" s="413">
        <v>25962</v>
      </c>
      <c r="M79" s="422" t="str">
        <f t="shared" ref="M79:M100" ca="1" si="14">DATEDIF(L79,TODAY(),"Y") &amp; "." &amp;DATEDIF(L79,TODAY(),"YM")</f>
        <v>47.3</v>
      </c>
      <c r="N79" s="789" t="s">
        <v>747</v>
      </c>
      <c r="O79" s="413">
        <v>34379</v>
      </c>
      <c r="P79" s="422" t="str">
        <f t="shared" ca="1" si="12"/>
        <v>24.2</v>
      </c>
      <c r="Q79" s="413">
        <v>46416</v>
      </c>
      <c r="R79" s="414" t="s">
        <v>22</v>
      </c>
      <c r="S79" s="411" t="s">
        <v>35</v>
      </c>
      <c r="T79" s="411" t="s">
        <v>529</v>
      </c>
      <c r="U79" s="418" t="s">
        <v>55</v>
      </c>
      <c r="V79" s="415" t="str">
        <f>VLOOKUP($B79,ALAMAT!$A$1:E339,4)</f>
        <v>Jl Mugas DalamVI/14Rt 08 Rw 03 Mugassari Semarang</v>
      </c>
    </row>
    <row r="80" spans="1:22" s="407" customFormat="1" ht="12.95" customHeight="1">
      <c r="A80" s="408">
        <v>73</v>
      </c>
      <c r="B80" s="821">
        <v>7616</v>
      </c>
      <c r="C80" s="410" t="s">
        <v>236</v>
      </c>
      <c r="D80" s="411" t="str">
        <f>IFERROR(VLOOKUP(B80,'DATA KARYAWAN &amp; ALAMAT'!$B$8:$E$149,3,0),"")</f>
        <v/>
      </c>
      <c r="E80" s="410" t="str">
        <f>IFERROR(VLOOKUP(B80,'DATA KARYAWAN &amp; ALAMAT'!$B$8:$E$149,4,0),"")</f>
        <v/>
      </c>
      <c r="F80" s="411" t="s">
        <v>18</v>
      </c>
      <c r="G80" s="411" t="s">
        <v>19</v>
      </c>
      <c r="H80" s="411">
        <v>2</v>
      </c>
      <c r="I80" s="411">
        <v>2</v>
      </c>
      <c r="J80" s="411" t="s">
        <v>20</v>
      </c>
      <c r="K80" s="423" t="s">
        <v>96</v>
      </c>
      <c r="L80" s="413">
        <v>26063</v>
      </c>
      <c r="M80" s="422" t="str">
        <f t="shared" ca="1" si="14"/>
        <v>46.11</v>
      </c>
      <c r="N80" s="789" t="s">
        <v>747</v>
      </c>
      <c r="O80" s="413">
        <v>34648</v>
      </c>
      <c r="P80" s="422" t="str">
        <f t="shared" ca="1" si="12"/>
        <v>23.5</v>
      </c>
      <c r="Q80" s="413">
        <v>46517</v>
      </c>
      <c r="R80" s="414" t="s">
        <v>22</v>
      </c>
      <c r="S80" s="411" t="s">
        <v>35</v>
      </c>
      <c r="T80" s="411" t="s">
        <v>23</v>
      </c>
      <c r="U80" s="418" t="s">
        <v>131</v>
      </c>
      <c r="V80" s="415" t="str">
        <f>VLOOKUP($B80,ALAMAT!$A$1:E343,4)</f>
        <v>Perum Ungaran Baru A.133 RT.002 RW.012 Leyangan Ungaran Timur</v>
      </c>
    </row>
    <row r="81" spans="1:22" s="407" customFormat="1" ht="12.95" customHeight="1">
      <c r="A81" s="421">
        <v>74</v>
      </c>
      <c r="B81" s="817">
        <v>8259</v>
      </c>
      <c r="C81" s="410" t="s">
        <v>238</v>
      </c>
      <c r="D81" s="411" t="str">
        <f>IFERROR(VLOOKUP(B81,'DATA KARYAWAN &amp; ALAMAT'!$B$8:$E$149,3,0),"")</f>
        <v>O3.A</v>
      </c>
      <c r="E81" s="410" t="str">
        <f>IFERROR(VLOOKUP(B81,'DATA KARYAWAN &amp; ALAMAT'!$B$8:$E$149,4,0),"")</f>
        <v xml:space="preserve">Petugas Utama Layanan Jalan Tol </v>
      </c>
      <c r="F81" s="411" t="s">
        <v>18</v>
      </c>
      <c r="G81" s="411" t="s">
        <v>19</v>
      </c>
      <c r="H81" s="411">
        <v>3</v>
      </c>
      <c r="I81" s="411">
        <v>3</v>
      </c>
      <c r="J81" s="411" t="s">
        <v>20</v>
      </c>
      <c r="K81" s="423" t="s">
        <v>239</v>
      </c>
      <c r="L81" s="413">
        <v>26453</v>
      </c>
      <c r="M81" s="422" t="str">
        <f t="shared" ca="1" si="14"/>
        <v>45.10</v>
      </c>
      <c r="N81" s="796" t="s">
        <v>746</v>
      </c>
      <c r="O81" s="413">
        <v>33208</v>
      </c>
      <c r="P81" s="422" t="str">
        <f t="shared" ca="1" si="12"/>
        <v>27.4</v>
      </c>
      <c r="Q81" s="413">
        <v>47272</v>
      </c>
      <c r="R81" s="414" t="s">
        <v>22</v>
      </c>
      <c r="S81" s="411" t="s">
        <v>35</v>
      </c>
      <c r="T81" s="411" t="s">
        <v>529</v>
      </c>
      <c r="U81" s="429" t="s">
        <v>116</v>
      </c>
      <c r="V81" s="415" t="str">
        <f>VLOOKUP($B81,ALAMAT!$A$1:E344,4)</f>
        <v>jl Jatisari Rt04 Rw 01Jatisari Subah Batang</v>
      </c>
    </row>
    <row r="82" spans="1:22" s="407" customFormat="1" ht="12.95" customHeight="1">
      <c r="A82" s="408">
        <v>75</v>
      </c>
      <c r="B82" s="817">
        <v>8617</v>
      </c>
      <c r="C82" s="410" t="s">
        <v>367</v>
      </c>
      <c r="D82" s="411" t="str">
        <f>IFERROR(VLOOKUP(B82,'DATA KARYAWAN &amp; ALAMAT'!$B$8:$E$149,3,0),"")</f>
        <v>O3.B</v>
      </c>
      <c r="E82" s="410" t="str">
        <f>IFERROR(VLOOKUP(B82,'DATA KARYAWAN &amp; ALAMAT'!$B$8:$E$149,4,0),"")</f>
        <v xml:space="preserve">Petugas Madya Layanan Jalan Tol </v>
      </c>
      <c r="F82" s="411" t="s">
        <v>18</v>
      </c>
      <c r="G82" s="411" t="s">
        <v>19</v>
      </c>
      <c r="H82" s="411">
        <v>2</v>
      </c>
      <c r="I82" s="411">
        <v>2</v>
      </c>
      <c r="J82" s="411" t="s">
        <v>20</v>
      </c>
      <c r="K82" s="423" t="s">
        <v>44</v>
      </c>
      <c r="L82" s="413">
        <v>28080</v>
      </c>
      <c r="M82" s="422" t="str">
        <f t="shared" ca="1" si="14"/>
        <v>41.5</v>
      </c>
      <c r="N82" s="796" t="s">
        <v>741</v>
      </c>
      <c r="O82" s="413">
        <v>35289</v>
      </c>
      <c r="P82" s="422" t="str">
        <f t="shared" ca="1" si="12"/>
        <v>21.8</v>
      </c>
      <c r="Q82" s="413">
        <v>48369</v>
      </c>
      <c r="R82" s="414" t="s">
        <v>22</v>
      </c>
      <c r="S82" s="411" t="s">
        <v>32</v>
      </c>
      <c r="T82" s="411" t="s">
        <v>529</v>
      </c>
      <c r="U82" s="424" t="s">
        <v>131</v>
      </c>
      <c r="V82" s="415" t="str">
        <f>VLOOKUP($B82,ALAMAT!$A$1:E358,4)</f>
        <v>Puri Dinar Elok F13 No.2 RT.008 RW.021 Meteseh Tembalang Semarang</v>
      </c>
    </row>
    <row r="83" spans="1:22" s="407" customFormat="1" ht="12.95" customHeight="1">
      <c r="A83" s="421">
        <v>76</v>
      </c>
      <c r="B83" s="821">
        <v>9539</v>
      </c>
      <c r="C83" s="410" t="s">
        <v>244</v>
      </c>
      <c r="D83" s="411" t="str">
        <f>IFERROR(VLOOKUP(B83,'DATA KARYAWAN &amp; ALAMAT'!$B$8:$E$149,3,0),"")</f>
        <v>O3.B</v>
      </c>
      <c r="E83" s="410" t="str">
        <f>IFERROR(VLOOKUP(B83,'DATA KARYAWAN &amp; ALAMAT'!$B$8:$E$149,4,0),"")</f>
        <v xml:space="preserve">Petugas Madya Layanan Jalan Tol </v>
      </c>
      <c r="F83" s="411" t="s">
        <v>18</v>
      </c>
      <c r="G83" s="411" t="s">
        <v>19</v>
      </c>
      <c r="H83" s="411">
        <v>2</v>
      </c>
      <c r="I83" s="411">
        <v>2</v>
      </c>
      <c r="J83" s="411" t="s">
        <v>20</v>
      </c>
      <c r="K83" s="423" t="s">
        <v>21</v>
      </c>
      <c r="L83" s="413">
        <v>27090</v>
      </c>
      <c r="M83" s="422" t="str">
        <f t="shared" ca="1" si="14"/>
        <v>44.1</v>
      </c>
      <c r="N83" s="796" t="s">
        <v>744</v>
      </c>
      <c r="O83" s="413">
        <v>35807</v>
      </c>
      <c r="P83" s="422" t="str">
        <f t="shared" ca="1" si="12"/>
        <v>20.3</v>
      </c>
      <c r="Q83" s="413">
        <v>47544</v>
      </c>
      <c r="R83" s="414" t="s">
        <v>22</v>
      </c>
      <c r="S83" s="411" t="s">
        <v>35</v>
      </c>
      <c r="T83" s="411" t="s">
        <v>529</v>
      </c>
      <c r="U83" s="429" t="s">
        <v>116</v>
      </c>
      <c r="V83" s="415" t="str">
        <f>VLOOKUP($B83,ALAMAT!$A$1:E346,4)</f>
        <v>Jl Satria Selatan V Bl H No 362A Rt 08 Rw 04 Plombokan Semarang</v>
      </c>
    </row>
    <row r="84" spans="1:22" s="407" customFormat="1" ht="12.95" customHeight="1">
      <c r="A84" s="408">
        <v>77</v>
      </c>
      <c r="B84" s="817">
        <v>9315</v>
      </c>
      <c r="C84" s="410" t="s">
        <v>498</v>
      </c>
      <c r="D84" s="411" t="str">
        <f>IFERROR(VLOOKUP(B84,'DATA KARYAWAN &amp; ALAMAT'!$B$8:$E$149,3,0),"")</f>
        <v/>
      </c>
      <c r="E84" s="410" t="str">
        <f>IFERROR(VLOOKUP(B84,'DATA KARYAWAN &amp; ALAMAT'!$B$8:$E$149,4,0),"")</f>
        <v/>
      </c>
      <c r="F84" s="411" t="s">
        <v>18</v>
      </c>
      <c r="G84" s="411" t="s">
        <v>19</v>
      </c>
      <c r="H84" s="411">
        <v>2</v>
      </c>
      <c r="I84" s="411">
        <v>2</v>
      </c>
      <c r="J84" s="411" t="s">
        <v>20</v>
      </c>
      <c r="K84" s="423" t="s">
        <v>231</v>
      </c>
      <c r="L84" s="413">
        <v>27888</v>
      </c>
      <c r="M84" s="422" t="str">
        <f t="shared" ca="1" si="14"/>
        <v>41.11</v>
      </c>
      <c r="N84" s="796" t="s">
        <v>742</v>
      </c>
      <c r="O84" s="413">
        <v>35691</v>
      </c>
      <c r="P84" s="422" t="str">
        <f ca="1">DATEDIF(O84,TODAY(),"Y") &amp; "." &amp;DATEDIF(O84,TODAY(),"YM")</f>
        <v>20.7</v>
      </c>
      <c r="Q84" s="413">
        <v>48342</v>
      </c>
      <c r="R84" s="414" t="s">
        <v>22</v>
      </c>
      <c r="S84" s="411" t="s">
        <v>38</v>
      </c>
      <c r="T84" s="411" t="s">
        <v>529</v>
      </c>
      <c r="U84" s="409" t="s">
        <v>116</v>
      </c>
      <c r="V84" s="415" t="str">
        <f>VLOOKUP($B84,ALAMAT!$A$1:E431,4)</f>
        <v>Mutiara gading Timur Blok H-5 No 30 Bantar Gebang Bekasi</v>
      </c>
    </row>
    <row r="85" spans="1:22" s="407" customFormat="1" ht="12.95" customHeight="1">
      <c r="A85" s="421">
        <v>78</v>
      </c>
      <c r="B85" s="817">
        <v>9997</v>
      </c>
      <c r="C85" s="410" t="s">
        <v>422</v>
      </c>
      <c r="D85" s="411" t="str">
        <f>IFERROR(VLOOKUP(B85,'DATA KARYAWAN &amp; ALAMAT'!$B$8:$E$149,3,0),"")</f>
        <v>O3.B</v>
      </c>
      <c r="E85" s="410" t="str">
        <f>IFERROR(VLOOKUP(B85,'DATA KARYAWAN &amp; ALAMAT'!$B$8:$E$149,4,0),"")</f>
        <v xml:space="preserve">Petugas Madya Layanan Jalan Tol </v>
      </c>
      <c r="F85" s="411" t="s">
        <v>18</v>
      </c>
      <c r="G85" s="411" t="s">
        <v>19</v>
      </c>
      <c r="H85" s="411">
        <v>2</v>
      </c>
      <c r="I85" s="411">
        <v>2</v>
      </c>
      <c r="J85" s="411" t="s">
        <v>20</v>
      </c>
      <c r="K85" s="423" t="s">
        <v>1619</v>
      </c>
      <c r="L85" s="413">
        <v>29841</v>
      </c>
      <c r="M85" s="422" t="str">
        <f t="shared" ca="1" si="14"/>
        <v>36.7</v>
      </c>
      <c r="N85" s="796" t="s">
        <v>736</v>
      </c>
      <c r="O85" s="413">
        <v>36720</v>
      </c>
      <c r="P85" s="422" t="str">
        <f t="shared" ca="1" si="12"/>
        <v>17.9</v>
      </c>
      <c r="Q85" s="413">
        <v>50295</v>
      </c>
      <c r="R85" s="414" t="s">
        <v>22</v>
      </c>
      <c r="S85" s="411" t="s">
        <v>35</v>
      </c>
      <c r="T85" s="411" t="s">
        <v>529</v>
      </c>
      <c r="U85" s="409" t="s">
        <v>116</v>
      </c>
      <c r="V85" s="415" t="str">
        <f>VLOOKUP($B85,ALAMAT!$A$1:E350,4)</f>
        <v>Kintelan Lor RT.003 RW.003 Candi Rejo Tuntang Semarang</v>
      </c>
    </row>
    <row r="86" spans="1:22" s="407" customFormat="1" ht="12.95" customHeight="1">
      <c r="A86" s="408">
        <v>79</v>
      </c>
      <c r="B86" s="817">
        <v>10160</v>
      </c>
      <c r="C86" s="410" t="s">
        <v>248</v>
      </c>
      <c r="D86" s="411" t="str">
        <f>IFERROR(VLOOKUP(B86,'DATA KARYAWAN &amp; ALAMAT'!$B$8:$E$149,3,0),"")</f>
        <v>O3.B</v>
      </c>
      <c r="E86" s="410" t="str">
        <f>IFERROR(VLOOKUP(B86,'DATA KARYAWAN &amp; ALAMAT'!$B$8:$E$149,4,0),"")</f>
        <v xml:space="preserve">Petugas Madya Layanan Jalan Tol </v>
      </c>
      <c r="F86" s="411" t="s">
        <v>18</v>
      </c>
      <c r="G86" s="411" t="s">
        <v>19</v>
      </c>
      <c r="H86" s="411">
        <v>2</v>
      </c>
      <c r="I86" s="411">
        <v>2</v>
      </c>
      <c r="J86" s="411" t="s">
        <v>20</v>
      </c>
      <c r="K86" s="423" t="s">
        <v>140</v>
      </c>
      <c r="L86" s="413">
        <v>28816</v>
      </c>
      <c r="M86" s="422" t="str">
        <f t="shared" ca="1" si="14"/>
        <v>39.5</v>
      </c>
      <c r="N86" s="796" t="s">
        <v>739</v>
      </c>
      <c r="O86" s="413">
        <v>36997</v>
      </c>
      <c r="P86" s="422" t="str">
        <f t="shared" ca="1" si="12"/>
        <v>17.0</v>
      </c>
      <c r="Q86" s="413">
        <v>49270</v>
      </c>
      <c r="R86" s="414" t="s">
        <v>22</v>
      </c>
      <c r="S86" s="411" t="s">
        <v>35</v>
      </c>
      <c r="T86" s="411" t="s">
        <v>529</v>
      </c>
      <c r="U86" s="418" t="s">
        <v>291</v>
      </c>
      <c r="V86" s="415" t="str">
        <f>VLOOKUP($B86,ALAMAT!$A$1:E348,4)</f>
        <v>Dsn. Jambu Lor RT.006 RW.001 Jambu Kab.Semarang</v>
      </c>
    </row>
    <row r="87" spans="1:22" s="407" customFormat="1" ht="12.95" customHeight="1">
      <c r="A87" s="421">
        <v>80</v>
      </c>
      <c r="B87" s="817">
        <v>10308</v>
      </c>
      <c r="C87" s="410" t="s">
        <v>511</v>
      </c>
      <c r="D87" s="411" t="str">
        <f>IFERROR(VLOOKUP(B87,'DATA KARYAWAN &amp; ALAMAT'!$B$8:$E$149,3,0),"")</f>
        <v>O3.B</v>
      </c>
      <c r="E87" s="410" t="str">
        <f>IFERROR(VLOOKUP(B87,'DATA KARYAWAN &amp; ALAMAT'!$B$8:$E$149,4,0),"")</f>
        <v xml:space="preserve">Petugas Madya Layanan Jalan Tol </v>
      </c>
      <c r="F87" s="411" t="s">
        <v>18</v>
      </c>
      <c r="G87" s="411" t="s">
        <v>19</v>
      </c>
      <c r="H87" s="411">
        <v>1</v>
      </c>
      <c r="I87" s="411">
        <v>1</v>
      </c>
      <c r="J87" s="411" t="s">
        <v>20</v>
      </c>
      <c r="K87" s="423" t="s">
        <v>71</v>
      </c>
      <c r="L87" s="413">
        <v>29079</v>
      </c>
      <c r="M87" s="422" t="str">
        <f t="shared" ca="1" si="14"/>
        <v>38.8</v>
      </c>
      <c r="N87" s="796" t="s">
        <v>738</v>
      </c>
      <c r="O87" s="413">
        <v>37510</v>
      </c>
      <c r="P87" s="422" t="str">
        <f t="shared" ca="1" si="12"/>
        <v>15.7</v>
      </c>
      <c r="Q87" s="413">
        <v>49533</v>
      </c>
      <c r="R87" s="414" t="s">
        <v>22</v>
      </c>
      <c r="S87" s="411" t="s">
        <v>35</v>
      </c>
      <c r="T87" s="411" t="s">
        <v>529</v>
      </c>
      <c r="U87" s="429" t="s">
        <v>116</v>
      </c>
      <c r="V87" s="415" t="str">
        <f>VLOOKUP($B87,ALAMAT!$A$1:E349,4)</f>
        <v>Dk Mirenglor Rt 07 Rw 03 Mireng Trucuk Klaten Jawa tengah</v>
      </c>
    </row>
    <row r="88" spans="1:22" s="407" customFormat="1" ht="12.95" customHeight="1">
      <c r="A88" s="408">
        <v>81</v>
      </c>
      <c r="B88" s="817">
        <v>4664</v>
      </c>
      <c r="C88" s="410" t="s">
        <v>250</v>
      </c>
      <c r="D88" s="411" t="str">
        <f>IFERROR(VLOOKUP(B88,'DATA KARYAWAN &amp; ALAMAT'!$B$8:$E$149,3,0),"")</f>
        <v>O1.B</v>
      </c>
      <c r="E88" s="410" t="str">
        <f>IFERROR(VLOOKUP(B88,'DATA KARYAWAN &amp; ALAMAT'!$B$8:$E$149,4,0),"")</f>
        <v>Kepala Gerbang Tol  Manyaran</v>
      </c>
      <c r="F88" s="301" t="s">
        <v>18</v>
      </c>
      <c r="G88" s="301" t="s">
        <v>19</v>
      </c>
      <c r="H88" s="301">
        <v>5</v>
      </c>
      <c r="I88" s="301">
        <v>3</v>
      </c>
      <c r="J88" s="301" t="s">
        <v>20</v>
      </c>
      <c r="K88" s="299" t="s">
        <v>191</v>
      </c>
      <c r="L88" s="300">
        <v>24025</v>
      </c>
      <c r="M88" s="422" t="str">
        <f t="shared" ca="1" si="14"/>
        <v>52.6</v>
      </c>
      <c r="N88" s="796" t="s">
        <v>752</v>
      </c>
      <c r="O88" s="413">
        <v>32025</v>
      </c>
      <c r="P88" s="422" t="str">
        <f t="shared" ref="P88:P123" ca="1" si="15">DATEDIF(O88,TODAY(),"Y") &amp; "." &amp;DATEDIF(O88,TODAY(),"YM")</f>
        <v>30.7</v>
      </c>
      <c r="Q88" s="413">
        <v>44844</v>
      </c>
      <c r="R88" s="301" t="s">
        <v>22</v>
      </c>
      <c r="S88" s="301" t="s">
        <v>35</v>
      </c>
      <c r="T88" s="411" t="s">
        <v>23</v>
      </c>
      <c r="U88" s="424" t="s">
        <v>120</v>
      </c>
      <c r="V88" s="415" t="str">
        <f>VLOOKUP($B88,ALAMAT!$A$1:E352,4)</f>
        <v>Plamongan Indah Blok H4 No.14 RT.006 RW.031 Batursari Mranggen Demak</v>
      </c>
    </row>
    <row r="89" spans="1:22" s="894" customFormat="1" ht="12.95" customHeight="1">
      <c r="A89" s="910">
        <v>82</v>
      </c>
      <c r="B89" s="901">
        <v>7682</v>
      </c>
      <c r="C89" s="902" t="s">
        <v>2506</v>
      </c>
      <c r="D89" s="903" t="str">
        <f>IFERROR(VLOOKUP(B89,'DATA KARYAWAN &amp; ALAMAT'!$B$8:$E$149,3,0),"")</f>
        <v>O2.B</v>
      </c>
      <c r="E89" s="902" t="str">
        <f>IFERROR(VLOOKUP(B89,'DATA KARYAWAN &amp; ALAMAT'!$B$8:$E$149,4,0),"")</f>
        <v>Kepala Shift Pul. Tol GT. Manyaran</v>
      </c>
      <c r="F89" s="903" t="s">
        <v>18</v>
      </c>
      <c r="G89" s="903" t="s">
        <v>19</v>
      </c>
      <c r="H89" s="903">
        <v>1</v>
      </c>
      <c r="I89" s="903">
        <v>1</v>
      </c>
      <c r="J89" s="903" t="s">
        <v>20</v>
      </c>
      <c r="K89" s="904" t="s">
        <v>21</v>
      </c>
      <c r="L89" s="905">
        <v>27686</v>
      </c>
      <c r="M89" s="906" t="str">
        <f t="shared" ca="1" si="14"/>
        <v>42.6</v>
      </c>
      <c r="N89" s="917" t="s">
        <v>742</v>
      </c>
      <c r="O89" s="905">
        <v>34648</v>
      </c>
      <c r="P89" s="906" t="str">
        <f t="shared" ca="1" si="15"/>
        <v>23.5</v>
      </c>
      <c r="Q89" s="905">
        <v>48140</v>
      </c>
      <c r="R89" s="907" t="s">
        <v>22</v>
      </c>
      <c r="S89" s="903" t="s">
        <v>38</v>
      </c>
      <c r="T89" s="903" t="s">
        <v>23</v>
      </c>
      <c r="U89" s="908" t="s">
        <v>291</v>
      </c>
      <c r="V89" s="909" t="str">
        <f>VLOOKUP($B89,ALAMAT!$A$1:E354,4)</f>
        <v>Wonolopo RT 2 RW 8 wonolopo Mijen, Semarang 50215</v>
      </c>
    </row>
    <row r="90" spans="1:22" s="407" customFormat="1" ht="12.95" customHeight="1">
      <c r="A90" s="408">
        <v>83</v>
      </c>
      <c r="B90" s="821">
        <v>3766</v>
      </c>
      <c r="C90" s="410" t="s">
        <v>259</v>
      </c>
      <c r="D90" s="411" t="str">
        <f>IFERROR(VLOOKUP(B90,'DATA KARYAWAN &amp; ALAMAT'!$B$8:$E$149,3,0),"")</f>
        <v>O2.B</v>
      </c>
      <c r="E90" s="410" t="str">
        <f>IFERROR(VLOOKUP(B90,'DATA KARYAWAN &amp; ALAMAT'!$B$8:$E$149,4,0),"")</f>
        <v>Kepala Shift Pul. Tol GT. Manyaran</v>
      </c>
      <c r="F90" s="411" t="s">
        <v>18</v>
      </c>
      <c r="G90" s="411" t="s">
        <v>19</v>
      </c>
      <c r="H90" s="411">
        <v>3</v>
      </c>
      <c r="I90" s="411">
        <v>2</v>
      </c>
      <c r="J90" s="411" t="s">
        <v>20</v>
      </c>
      <c r="K90" s="423" t="s">
        <v>96</v>
      </c>
      <c r="L90" s="413">
        <v>23273</v>
      </c>
      <c r="M90" s="422" t="str">
        <f t="shared" ca="1" si="14"/>
        <v>54.7</v>
      </c>
      <c r="N90" s="796" t="s">
        <v>754</v>
      </c>
      <c r="O90" s="413">
        <v>31603</v>
      </c>
      <c r="P90" s="422" t="str">
        <f t="shared" ca="1" si="15"/>
        <v>31.9</v>
      </c>
      <c r="Q90" s="413">
        <v>43727</v>
      </c>
      <c r="R90" s="414" t="s">
        <v>22</v>
      </c>
      <c r="S90" s="411" t="s">
        <v>38</v>
      </c>
      <c r="T90" s="411" t="s">
        <v>23</v>
      </c>
      <c r="U90" s="418" t="s">
        <v>120</v>
      </c>
      <c r="V90" s="415" t="str">
        <f>VLOOKUP($B90,ALAMAT!$A$1:E355,4)</f>
        <v>Jl.Tmn Borobudur Utara RT.003 RW.010 Kembangarum Semarang Barat</v>
      </c>
    </row>
    <row r="91" spans="1:22" s="407" customFormat="1" ht="12.75">
      <c r="A91" s="421">
        <v>84</v>
      </c>
      <c r="B91" s="821">
        <v>5883</v>
      </c>
      <c r="C91" s="410" t="s">
        <v>261</v>
      </c>
      <c r="D91" s="411" t="str">
        <f>IFERROR(VLOOKUP(B91,'DATA KARYAWAN &amp; ALAMAT'!$B$8:$E$149,3,0),"")</f>
        <v>O2.B</v>
      </c>
      <c r="E91" s="410" t="str">
        <f>IFERROR(VLOOKUP(B91,'DATA KARYAWAN &amp; ALAMAT'!$B$8:$E$149,4,0),"")</f>
        <v>Kepala Shift Pul. Tol GT. Manyaran</v>
      </c>
      <c r="F91" s="411" t="s">
        <v>18</v>
      </c>
      <c r="G91" s="411" t="s">
        <v>47</v>
      </c>
      <c r="H91" s="411">
        <v>1</v>
      </c>
      <c r="I91" s="411">
        <v>1</v>
      </c>
      <c r="J91" s="411" t="s">
        <v>31</v>
      </c>
      <c r="K91" s="423" t="s">
        <v>21</v>
      </c>
      <c r="L91" s="413">
        <v>25803</v>
      </c>
      <c r="M91" s="422" t="str">
        <f t="shared" ca="1" si="14"/>
        <v>47.8</v>
      </c>
      <c r="N91" s="796" t="s">
        <v>747</v>
      </c>
      <c r="O91" s="413">
        <v>32860</v>
      </c>
      <c r="P91" s="422" t="str">
        <f t="shared" ca="1" si="15"/>
        <v>28.4</v>
      </c>
      <c r="Q91" s="413">
        <v>46257</v>
      </c>
      <c r="R91" s="414" t="s">
        <v>22</v>
      </c>
      <c r="S91" s="411" t="s">
        <v>35</v>
      </c>
      <c r="T91" s="411" t="s">
        <v>534</v>
      </c>
      <c r="U91" s="418" t="s">
        <v>55</v>
      </c>
      <c r="V91" s="415" t="str">
        <f>VLOOKUP($B91,ALAMAT!$A$1:E356,4)</f>
        <v>Karangrejo Raya 10 RT.001 RW.005 Banyumanik Semarang</v>
      </c>
    </row>
    <row r="92" spans="1:22" s="407" customFormat="1" ht="12.95" customHeight="1">
      <c r="A92" s="408">
        <v>85</v>
      </c>
      <c r="B92" s="821">
        <v>7641</v>
      </c>
      <c r="C92" s="410" t="s">
        <v>334</v>
      </c>
      <c r="D92" s="411" t="str">
        <f>IFERROR(VLOOKUP(B92,'DATA KARYAWAN &amp; ALAMAT'!$B$8:$E$149,3,0),"")</f>
        <v>O2.B</v>
      </c>
      <c r="E92" s="410" t="str">
        <f>IFERROR(VLOOKUP(B92,'DATA KARYAWAN &amp; ALAMAT'!$B$8:$E$149,4,0),"")</f>
        <v>Kepala Shift Pul. Tol GT. Manyaran</v>
      </c>
      <c r="F92" s="411" t="s">
        <v>18</v>
      </c>
      <c r="G92" s="411" t="s">
        <v>19</v>
      </c>
      <c r="H92" s="411">
        <v>2</v>
      </c>
      <c r="I92" s="411">
        <v>2</v>
      </c>
      <c r="J92" s="411" t="s">
        <v>20</v>
      </c>
      <c r="K92" s="423" t="s">
        <v>335</v>
      </c>
      <c r="L92" s="413">
        <v>27771</v>
      </c>
      <c r="M92" s="422" t="str">
        <f t="shared" ca="1" si="14"/>
        <v>42.3</v>
      </c>
      <c r="N92" s="796" t="s">
        <v>742</v>
      </c>
      <c r="O92" s="413">
        <v>34648</v>
      </c>
      <c r="P92" s="422" t="str">
        <f t="shared" ca="1" si="15"/>
        <v>23.5</v>
      </c>
      <c r="Q92" s="413">
        <v>48225</v>
      </c>
      <c r="R92" s="414" t="s">
        <v>22</v>
      </c>
      <c r="S92" s="411" t="s">
        <v>35</v>
      </c>
      <c r="T92" s="411" t="s">
        <v>23</v>
      </c>
      <c r="U92" s="409" t="s">
        <v>116</v>
      </c>
      <c r="V92" s="415" t="str">
        <f>VLOOKUP($B92,ALAMAT!$A$1:E376,4)</f>
        <v xml:space="preserve">P4A  Blok F-123 JL Gambyong 007/011 Semarang </v>
      </c>
    </row>
    <row r="93" spans="1:22" s="407" customFormat="1" ht="12.95" customHeight="1">
      <c r="A93" s="421">
        <v>86</v>
      </c>
      <c r="B93" s="817">
        <v>6480</v>
      </c>
      <c r="C93" s="410" t="s">
        <v>266</v>
      </c>
      <c r="D93" s="411" t="str">
        <f>IFERROR(VLOOKUP(B93,'DATA KARYAWAN &amp; ALAMAT'!$B$8:$E$149,3,0),"")</f>
        <v>4.C</v>
      </c>
      <c r="E93" s="410" t="str">
        <f>IFERROR(VLOOKUP(B93,'DATA KARYAWAN &amp; ALAMAT'!$B$8:$E$149,4,0),"")</f>
        <v>Senior Officer Goods Procurement</v>
      </c>
      <c r="F93" s="411" t="s">
        <v>18</v>
      </c>
      <c r="G93" s="411" t="s">
        <v>19</v>
      </c>
      <c r="H93" s="411">
        <v>2</v>
      </c>
      <c r="I93" s="411">
        <v>2</v>
      </c>
      <c r="J93" s="411" t="s">
        <v>20</v>
      </c>
      <c r="K93" s="423" t="s">
        <v>267</v>
      </c>
      <c r="L93" s="413">
        <v>25356</v>
      </c>
      <c r="M93" s="422" t="str">
        <f t="shared" ca="1" si="14"/>
        <v>48.10</v>
      </c>
      <c r="N93" s="796" t="s">
        <v>749</v>
      </c>
      <c r="O93" s="413">
        <v>33226</v>
      </c>
      <c r="P93" s="422" t="str">
        <f t="shared" ca="1" si="15"/>
        <v>27.4</v>
      </c>
      <c r="Q93" s="413">
        <v>45810</v>
      </c>
      <c r="R93" s="414" t="s">
        <v>22</v>
      </c>
      <c r="S93" s="411" t="s">
        <v>35</v>
      </c>
      <c r="T93" s="411" t="s">
        <v>529</v>
      </c>
      <c r="U93" s="429" t="s">
        <v>116</v>
      </c>
      <c r="V93" s="415" t="str">
        <f>VLOOKUP($B93,ALAMAT!$A$1:E358,4)</f>
        <v>Griya Payung Asri Kav.105 RT.008 RW.013 Pudakpayung  Banyumanik Semarang</v>
      </c>
    </row>
    <row r="94" spans="1:22" s="407" customFormat="1" ht="12.95" customHeight="1">
      <c r="A94" s="408">
        <v>87</v>
      </c>
      <c r="B94" s="817">
        <v>9517</v>
      </c>
      <c r="C94" s="410" t="s">
        <v>387</v>
      </c>
      <c r="D94" s="411" t="str">
        <f>IFERROR(VLOOKUP(B94,'DATA KARYAWAN &amp; ALAMAT'!$B$8:$E$149,3,0),"")</f>
        <v>O2.B</v>
      </c>
      <c r="E94" s="410" t="str">
        <f>IFERROR(VLOOKUP(B94,'DATA KARYAWAN &amp; ALAMAT'!$B$8:$E$149,4,0),"")</f>
        <v>Kepala Shift Pul. Tol GT. Manyaran</v>
      </c>
      <c r="F94" s="411" t="s">
        <v>18</v>
      </c>
      <c r="G94" s="411" t="s">
        <v>19</v>
      </c>
      <c r="H94" s="411">
        <v>1</v>
      </c>
      <c r="I94" s="411">
        <v>1</v>
      </c>
      <c r="J94" s="411" t="s">
        <v>31</v>
      </c>
      <c r="K94" s="423" t="s">
        <v>21</v>
      </c>
      <c r="L94" s="413">
        <v>29063</v>
      </c>
      <c r="M94" s="422" t="str">
        <f t="shared" ca="1" si="14"/>
        <v>38.9</v>
      </c>
      <c r="N94" s="796" t="s">
        <v>738</v>
      </c>
      <c r="O94" s="413">
        <v>35807</v>
      </c>
      <c r="P94" s="422" t="str">
        <f t="shared" ca="1" si="15"/>
        <v>20.3</v>
      </c>
      <c r="Q94" s="413">
        <v>49517</v>
      </c>
      <c r="R94" s="414" t="s">
        <v>22</v>
      </c>
      <c r="S94" s="411" t="s">
        <v>35</v>
      </c>
      <c r="T94" s="411" t="s">
        <v>529</v>
      </c>
      <c r="U94" s="418" t="s">
        <v>55</v>
      </c>
      <c r="V94" s="415" t="str">
        <f>VLOOKUP($B94,ALAMAT!$A$1:E360,4)</f>
        <v>Jl.Jatiluhur No.256 RT.003 RW.005 Ngesrep Banyumanik</v>
      </c>
    </row>
    <row r="95" spans="1:22" s="407" customFormat="1" ht="12.95" customHeight="1">
      <c r="A95" s="421">
        <v>88</v>
      </c>
      <c r="B95" s="821">
        <v>7685</v>
      </c>
      <c r="C95" s="410" t="s">
        <v>153</v>
      </c>
      <c r="D95" s="411" t="str">
        <f>IFERROR(VLOOKUP(B95,'DATA KARYAWAN &amp; ALAMAT'!$B$8:$E$149,3,0),"")</f>
        <v>O2.C</v>
      </c>
      <c r="E95" s="410" t="str">
        <f>IFERROR(VLOOKUP(B95,'DATA KARYAWAN &amp; ALAMAT'!$B$8:$E$149,4,0),"")</f>
        <v>Kepala Shift Pul. Tol GT. Muktiharjo</v>
      </c>
      <c r="F95" s="411" t="s">
        <v>18</v>
      </c>
      <c r="G95" s="411" t="s">
        <v>19</v>
      </c>
      <c r="H95" s="411">
        <v>3</v>
      </c>
      <c r="I95" s="411">
        <v>3</v>
      </c>
      <c r="J95" s="411" t="s">
        <v>20</v>
      </c>
      <c r="K95" s="423" t="s">
        <v>96</v>
      </c>
      <c r="L95" s="413">
        <v>26365</v>
      </c>
      <c r="M95" s="422" t="str">
        <f t="shared" ca="1" si="14"/>
        <v>46.1</v>
      </c>
      <c r="N95" s="796" t="s">
        <v>746</v>
      </c>
      <c r="O95" s="413">
        <v>34648</v>
      </c>
      <c r="P95" s="422" t="str">
        <f t="shared" ca="1" si="15"/>
        <v>23.5</v>
      </c>
      <c r="Q95" s="413">
        <v>46819</v>
      </c>
      <c r="R95" s="414" t="s">
        <v>22</v>
      </c>
      <c r="S95" s="411" t="s">
        <v>38</v>
      </c>
      <c r="T95" s="411" t="s">
        <v>23</v>
      </c>
      <c r="U95" s="418" t="s">
        <v>55</v>
      </c>
      <c r="V95" s="415" t="str">
        <f>VLOOKUP($B95,ALAMAT!$A$1:E361,4)</f>
        <v>Jl Bangun Harjo II/39 RT 08 Rw 03Kedung Mundu Tembalang</v>
      </c>
    </row>
    <row r="96" spans="1:22" s="407" customFormat="1" ht="12.95" customHeight="1">
      <c r="A96" s="408">
        <v>89</v>
      </c>
      <c r="B96" s="817">
        <v>8265</v>
      </c>
      <c r="C96" s="410" t="s">
        <v>356</v>
      </c>
      <c r="D96" s="411" t="str">
        <f>IFERROR(VLOOKUP(B96,'DATA KARYAWAN &amp; ALAMAT'!$B$8:$E$149,3,0),"")</f>
        <v>O2.B</v>
      </c>
      <c r="E96" s="410" t="str">
        <f>IFERROR(VLOOKUP(B96,'DATA KARYAWAN &amp; ALAMAT'!$B$8:$E$149,4,0),"")</f>
        <v>Kepala Shift Pul. Tol GT. Manyaran</v>
      </c>
      <c r="F96" s="411" t="s">
        <v>18</v>
      </c>
      <c r="G96" s="411" t="s">
        <v>19</v>
      </c>
      <c r="H96" s="411">
        <v>2</v>
      </c>
      <c r="I96" s="411">
        <v>2</v>
      </c>
      <c r="J96" s="411" t="s">
        <v>20</v>
      </c>
      <c r="K96" s="423" t="s">
        <v>21</v>
      </c>
      <c r="L96" s="413">
        <v>27599</v>
      </c>
      <c r="M96" s="422" t="str">
        <f t="shared" ca="1" si="14"/>
        <v>42.9</v>
      </c>
      <c r="N96" s="796" t="s">
        <v>742</v>
      </c>
      <c r="O96" s="413">
        <v>35047</v>
      </c>
      <c r="P96" s="422" t="str">
        <f t="shared" ca="1" si="15"/>
        <v>22.4</v>
      </c>
      <c r="Q96" s="413">
        <v>48053</v>
      </c>
      <c r="R96" s="414" t="s">
        <v>22</v>
      </c>
      <c r="S96" s="411" t="s">
        <v>35</v>
      </c>
      <c r="T96" s="411" t="s">
        <v>529</v>
      </c>
      <c r="U96" s="409" t="s">
        <v>116</v>
      </c>
      <c r="V96" s="415" t="str">
        <f>VLOOKUP($B96,ALAMAT!$A$1:E372,4)</f>
        <v>Jl.Muria No.12 RT.003 RW.007 Bendan Pekalongan Barat</v>
      </c>
    </row>
    <row r="97" spans="1:22" s="407" customFormat="1" ht="12.95" customHeight="1">
      <c r="A97" s="421">
        <v>90</v>
      </c>
      <c r="B97" s="817">
        <v>7870</v>
      </c>
      <c r="C97" s="410" t="s">
        <v>483</v>
      </c>
      <c r="D97" s="411" t="str">
        <f>IFERROR(VLOOKUP(B97,'DATA KARYAWAN &amp; ALAMAT'!$B$8:$E$149,3,0),"")</f>
        <v>O2.B</v>
      </c>
      <c r="E97" s="410" t="str">
        <f>IFERROR(VLOOKUP(B97,'DATA KARYAWAN &amp; ALAMAT'!$B$8:$E$149,4,0),"")</f>
        <v>Kepala Shift Pul. Tol GT. Manyaran</v>
      </c>
      <c r="F97" s="411" t="s">
        <v>18</v>
      </c>
      <c r="G97" s="411" t="s">
        <v>19</v>
      </c>
      <c r="H97" s="411">
        <v>3</v>
      </c>
      <c r="I97" s="411">
        <v>3</v>
      </c>
      <c r="J97" s="411" t="s">
        <v>20</v>
      </c>
      <c r="K97" s="423" t="s">
        <v>404</v>
      </c>
      <c r="L97" s="413">
        <v>27578</v>
      </c>
      <c r="M97" s="422" t="str">
        <f t="shared" ca="1" si="14"/>
        <v>42.9</v>
      </c>
      <c r="N97" s="796" t="s">
        <v>743</v>
      </c>
      <c r="O97" s="413">
        <v>34759</v>
      </c>
      <c r="P97" s="422" t="str">
        <f t="shared" ca="1" si="15"/>
        <v>23.1</v>
      </c>
      <c r="Q97" s="413">
        <v>48032</v>
      </c>
      <c r="R97" s="414" t="s">
        <v>22</v>
      </c>
      <c r="S97" s="411" t="s">
        <v>35</v>
      </c>
      <c r="T97" s="411" t="s">
        <v>529</v>
      </c>
      <c r="U97" s="418" t="s">
        <v>116</v>
      </c>
      <c r="V97" s="415" t="str">
        <f>VLOOKUP($B97,ALAMAT!$A$1:E380,4)</f>
        <v>Jl. R.A Kartini no.12 RT.001 RW.008 Slawi Kulon, Slawi, Kab.Tegal</v>
      </c>
    </row>
    <row r="98" spans="1:22" s="407" customFormat="1" ht="12.95" customHeight="1">
      <c r="A98" s="408">
        <v>91</v>
      </c>
      <c r="B98" s="817">
        <v>9522</v>
      </c>
      <c r="C98" s="410" t="s">
        <v>393</v>
      </c>
      <c r="D98" s="411">
        <f>IFERROR(VLOOKUP(B98,'DATA KARYAWAN &amp; ALAMAT'!$B$8:$E$149,3,0),"")</f>
        <v>5</v>
      </c>
      <c r="E98" s="410" t="str">
        <f>IFERROR(VLOOKUP(B98,'DATA KARYAWAN &amp; ALAMAT'!$B$8:$E$149,4,0),"")</f>
        <v>Toll Gate Officer</v>
      </c>
      <c r="F98" s="411" t="s">
        <v>18</v>
      </c>
      <c r="G98" s="411" t="s">
        <v>19</v>
      </c>
      <c r="H98" s="411">
        <v>2</v>
      </c>
      <c r="I98" s="411">
        <v>2</v>
      </c>
      <c r="J98" s="411" t="s">
        <v>31</v>
      </c>
      <c r="K98" s="423" t="s">
        <v>21</v>
      </c>
      <c r="L98" s="413">
        <v>28875</v>
      </c>
      <c r="M98" s="422" t="str">
        <f t="shared" ca="1" si="14"/>
        <v>39.3</v>
      </c>
      <c r="N98" s="796" t="s">
        <v>739</v>
      </c>
      <c r="O98" s="413">
        <v>35807</v>
      </c>
      <c r="P98" s="422" t="str">
        <f t="shared" ca="1" si="15"/>
        <v>20.3</v>
      </c>
      <c r="Q98" s="413">
        <v>49329</v>
      </c>
      <c r="R98" s="414" t="s">
        <v>22</v>
      </c>
      <c r="S98" s="411" t="s">
        <v>32</v>
      </c>
      <c r="T98" s="411" t="s">
        <v>23</v>
      </c>
      <c r="U98" s="424" t="s">
        <v>131</v>
      </c>
      <c r="V98" s="415" t="str">
        <f>VLOOKUP($B98,ALAMAT!$A$1:E383,4)</f>
        <v>Jl.Dr.Kariadi 531 RT.003 RW.006 Randusari Semarang Selatan</v>
      </c>
    </row>
    <row r="99" spans="1:22" s="407" customFormat="1" ht="12.95" customHeight="1">
      <c r="A99" s="421">
        <v>92</v>
      </c>
      <c r="B99" s="821">
        <v>2971</v>
      </c>
      <c r="C99" s="410" t="s">
        <v>454</v>
      </c>
      <c r="D99" s="411" t="str">
        <f>IFERROR(VLOOKUP(B99,'DATA KARYAWAN &amp; ALAMAT'!$B$8:$E$149,3,0),"")</f>
        <v>O3.A</v>
      </c>
      <c r="E99" s="410" t="str">
        <f>IFERROR(VLOOKUP(B99,'DATA KARYAWAN &amp; ALAMAT'!$B$8:$E$149,4,0),"")</f>
        <v>Pengumpul Tol Utama GT. Muktiharjo</v>
      </c>
      <c r="F99" s="411" t="s">
        <v>18</v>
      </c>
      <c r="G99" s="411" t="s">
        <v>19</v>
      </c>
      <c r="H99" s="411">
        <v>3</v>
      </c>
      <c r="I99" s="411">
        <v>3</v>
      </c>
      <c r="J99" s="411" t="s">
        <v>20</v>
      </c>
      <c r="K99" s="423" t="s">
        <v>2521</v>
      </c>
      <c r="L99" s="413">
        <v>23196</v>
      </c>
      <c r="M99" s="422" t="str">
        <f t="shared" ca="1" si="14"/>
        <v>54.9</v>
      </c>
      <c r="N99" s="796" t="s">
        <v>755</v>
      </c>
      <c r="O99" s="413">
        <v>31034</v>
      </c>
      <c r="P99" s="422" t="str">
        <f t="shared" ca="1" si="15"/>
        <v>33.4</v>
      </c>
      <c r="Q99" s="413">
        <v>43650</v>
      </c>
      <c r="R99" s="414" t="s">
        <v>22</v>
      </c>
      <c r="S99" s="411" t="s">
        <v>35</v>
      </c>
      <c r="T99" s="411" t="s">
        <v>529</v>
      </c>
      <c r="U99" s="424" t="s">
        <v>120</v>
      </c>
      <c r="V99" s="415" t="str">
        <f>VLOOKUP($B99,ALAMAT!$A$1:E368,4)</f>
        <v>Jl.Pucang Peni I no.3 RT.002 RW.011 Batursari Meranggen Kab.Demak</v>
      </c>
    </row>
    <row r="100" spans="1:22" s="407" customFormat="1" ht="12.95" customHeight="1">
      <c r="A100" s="408">
        <v>93</v>
      </c>
      <c r="B100" s="821">
        <v>4672</v>
      </c>
      <c r="C100" s="410" t="s">
        <v>288</v>
      </c>
      <c r="D100" s="411" t="str">
        <f>IFERROR(VLOOKUP(B100,'DATA KARYAWAN &amp; ALAMAT'!$B$8:$E$149,3,0),"")</f>
        <v>O3.A</v>
      </c>
      <c r="E100" s="410" t="str">
        <f>IFERROR(VLOOKUP(B100,'DATA KARYAWAN &amp; ALAMAT'!$B$8:$E$149,4,0),"")</f>
        <v>Pengumpul Tol Utama GT. Muktiharjo</v>
      </c>
      <c r="F100" s="411" t="s">
        <v>18</v>
      </c>
      <c r="G100" s="411" t="s">
        <v>19</v>
      </c>
      <c r="H100" s="411">
        <v>2</v>
      </c>
      <c r="I100" s="411">
        <v>2</v>
      </c>
      <c r="J100" s="411" t="s">
        <v>20</v>
      </c>
      <c r="K100" s="423" t="s">
        <v>21</v>
      </c>
      <c r="L100" s="413">
        <v>23359</v>
      </c>
      <c r="M100" s="422" t="str">
        <f t="shared" ca="1" si="14"/>
        <v>54.4</v>
      </c>
      <c r="N100" s="796" t="s">
        <v>754</v>
      </c>
      <c r="O100" s="413">
        <v>32025</v>
      </c>
      <c r="P100" s="422" t="str">
        <f t="shared" ca="1" si="15"/>
        <v>30.7</v>
      </c>
      <c r="Q100" s="413">
        <v>43813</v>
      </c>
      <c r="R100" s="414" t="s">
        <v>22</v>
      </c>
      <c r="S100" s="411" t="s">
        <v>38</v>
      </c>
      <c r="T100" s="411" t="s">
        <v>529</v>
      </c>
      <c r="U100" s="424" t="s">
        <v>55</v>
      </c>
      <c r="V100" s="415" t="str">
        <f>VLOOKUP($B100,ALAMAT!$A$1:E371,4)</f>
        <v>Jl.Maos Pati Raya No.27 RT.004 RW.013 Beji Ungaran kab.Semarang</v>
      </c>
    </row>
    <row r="101" spans="1:22" s="407" customFormat="1" ht="12.95" customHeight="1">
      <c r="A101" s="421">
        <v>94</v>
      </c>
      <c r="B101" s="821">
        <v>6031</v>
      </c>
      <c r="C101" s="410" t="s">
        <v>306</v>
      </c>
      <c r="D101" s="411" t="str">
        <f>IFERROR(VLOOKUP(B101,'DATA KARYAWAN &amp; ALAMAT'!$B$8:$E$149,3,0),"")</f>
        <v>O3.A</v>
      </c>
      <c r="E101" s="410" t="str">
        <f>IFERROR(VLOOKUP(B101,'DATA KARYAWAN &amp; ALAMAT'!$B$8:$E$149,4,0),"")</f>
        <v>Pengumpul Tol Utama GT. Muktiharjo</v>
      </c>
      <c r="F101" s="411" t="s">
        <v>18</v>
      </c>
      <c r="G101" s="411" t="s">
        <v>19</v>
      </c>
      <c r="H101" s="411">
        <v>3</v>
      </c>
      <c r="I101" s="411">
        <v>3</v>
      </c>
      <c r="J101" s="411" t="s">
        <v>31</v>
      </c>
      <c r="K101" s="423" t="s">
        <v>307</v>
      </c>
      <c r="L101" s="413">
        <v>25092</v>
      </c>
      <c r="M101" s="422" t="str">
        <f t="shared" ref="M101:M114" ca="1" si="16">DATEDIF(L101,TODAY(),"Y") &amp; "." &amp;DATEDIF(L101,TODAY(),"YM")</f>
        <v>49.7</v>
      </c>
      <c r="N101" s="796" t="s">
        <v>749</v>
      </c>
      <c r="O101" s="413">
        <v>33044</v>
      </c>
      <c r="P101" s="422" t="str">
        <f t="shared" ca="1" si="15"/>
        <v>27.10</v>
      </c>
      <c r="Q101" s="413">
        <v>45546</v>
      </c>
      <c r="R101" s="414" t="s">
        <v>22</v>
      </c>
      <c r="S101" s="411" t="s">
        <v>35</v>
      </c>
      <c r="T101" s="411" t="s">
        <v>529</v>
      </c>
      <c r="U101" s="424" t="s">
        <v>131</v>
      </c>
      <c r="V101" s="415" t="str">
        <f>VLOOKUP($B101,ALAMAT!$A$1:E383,4)</f>
        <v>Jl. Yudistira V/No.08 RT.002 RW.010 Lerep, Ungaran Barat, Kab. Semarang</v>
      </c>
    </row>
    <row r="102" spans="1:22" s="407" customFormat="1" ht="12.95" customHeight="1">
      <c r="A102" s="408">
        <v>95</v>
      </c>
      <c r="B102" s="821">
        <v>6123</v>
      </c>
      <c r="C102" s="410" t="s">
        <v>462</v>
      </c>
      <c r="D102" s="411" t="str">
        <f>IFERROR(VLOOKUP(B102,'DATA KARYAWAN &amp; ALAMAT'!$B$8:$E$149,3,0),"")</f>
        <v>O3.A</v>
      </c>
      <c r="E102" s="410" t="str">
        <f>IFERROR(VLOOKUP(B102,'DATA KARYAWAN &amp; ALAMAT'!$B$8:$E$149,4,0),"")</f>
        <v>Pengumpul Tol Utama GT. Muktiharjo</v>
      </c>
      <c r="F102" s="411" t="s">
        <v>18</v>
      </c>
      <c r="G102" s="411" t="s">
        <v>19</v>
      </c>
      <c r="H102" s="411">
        <v>3</v>
      </c>
      <c r="I102" s="411">
        <v>3</v>
      </c>
      <c r="J102" s="411" t="s">
        <v>20</v>
      </c>
      <c r="K102" s="423" t="s">
        <v>479</v>
      </c>
      <c r="L102" s="413">
        <v>24627</v>
      </c>
      <c r="M102" s="422" t="str">
        <f t="shared" ca="1" si="16"/>
        <v>50.10</v>
      </c>
      <c r="N102" s="796" t="s">
        <v>751</v>
      </c>
      <c r="O102" s="413">
        <v>33168</v>
      </c>
      <c r="P102" s="422" t="str">
        <f t="shared" ca="1" si="15"/>
        <v>27.6</v>
      </c>
      <c r="Q102" s="413">
        <v>45081</v>
      </c>
      <c r="R102" s="414" t="s">
        <v>22</v>
      </c>
      <c r="S102" s="411" t="s">
        <v>35</v>
      </c>
      <c r="T102" s="411" t="s">
        <v>529</v>
      </c>
      <c r="U102" s="424" t="s">
        <v>131</v>
      </c>
      <c r="V102" s="415" t="str">
        <f>VLOOKUP($B102,ALAMAT!$A$1:E385,4)</f>
        <v>Jl.Raya Ngemplak RT.010 RW.001 Ngemplak Mranggen Demak</v>
      </c>
    </row>
    <row r="103" spans="1:22" s="407" customFormat="1" ht="12.95" customHeight="1">
      <c r="A103" s="421">
        <v>96</v>
      </c>
      <c r="B103" s="821">
        <v>6454</v>
      </c>
      <c r="C103" s="410" t="s">
        <v>313</v>
      </c>
      <c r="D103" s="411" t="str">
        <f>IFERROR(VLOOKUP(B103,'DATA KARYAWAN &amp; ALAMAT'!$B$8:$E$149,3,0),"")</f>
        <v>O3.A</v>
      </c>
      <c r="E103" s="410" t="str">
        <f>IFERROR(VLOOKUP(B103,'DATA KARYAWAN &amp; ALAMAT'!$B$8:$E$149,4,0),"")</f>
        <v>Pengumpul Tol Utama GT. Muktiharjo</v>
      </c>
      <c r="F103" s="411" t="s">
        <v>18</v>
      </c>
      <c r="G103" s="411" t="s">
        <v>19</v>
      </c>
      <c r="H103" s="411">
        <v>1</v>
      </c>
      <c r="I103" s="411">
        <v>1</v>
      </c>
      <c r="J103" s="411" t="s">
        <v>20</v>
      </c>
      <c r="K103" s="423" t="s">
        <v>314</v>
      </c>
      <c r="L103" s="413">
        <v>24618</v>
      </c>
      <c r="M103" s="422" t="str">
        <f t="shared" ca="1" si="16"/>
        <v>50.11</v>
      </c>
      <c r="N103" s="796" t="s">
        <v>751</v>
      </c>
      <c r="O103" s="413">
        <v>33224</v>
      </c>
      <c r="P103" s="422" t="str">
        <f t="shared" ca="1" si="15"/>
        <v>27.4</v>
      </c>
      <c r="Q103" s="413">
        <v>45072</v>
      </c>
      <c r="R103" s="414" t="s">
        <v>31</v>
      </c>
      <c r="S103" s="411" t="s">
        <v>38</v>
      </c>
      <c r="T103" s="411" t="s">
        <v>23</v>
      </c>
      <c r="U103" s="424" t="s">
        <v>131</v>
      </c>
      <c r="V103" s="415" t="str">
        <f>VLOOKUP($B103,ALAMAT!$A$1:E387,4)</f>
        <v>Jl.Puspowarno Selatan II/19A RT.002 RW.005 Salaman mloyo Semarang Barat</v>
      </c>
    </row>
    <row r="104" spans="1:22" s="407" customFormat="1" ht="12.95" customHeight="1">
      <c r="A104" s="408">
        <v>97</v>
      </c>
      <c r="B104" s="821">
        <v>7161</v>
      </c>
      <c r="C104" s="410" t="s">
        <v>465</v>
      </c>
      <c r="D104" s="411" t="str">
        <f>IFERROR(VLOOKUP(B104,'DATA KARYAWAN &amp; ALAMAT'!$B$8:$E$149,3,0),"")</f>
        <v>O3.A</v>
      </c>
      <c r="E104" s="410" t="str">
        <f>IFERROR(VLOOKUP(B104,'DATA KARYAWAN &amp; ALAMAT'!$B$8:$E$149,4,0),"")</f>
        <v>Pengumpul Tol Utama GT. Muktiharjo</v>
      </c>
      <c r="F104" s="411" t="s">
        <v>18</v>
      </c>
      <c r="G104" s="411" t="s">
        <v>19</v>
      </c>
      <c r="H104" s="411">
        <v>3</v>
      </c>
      <c r="I104" s="411">
        <v>3</v>
      </c>
      <c r="J104" s="411" t="s">
        <v>20</v>
      </c>
      <c r="K104" s="423" t="s">
        <v>21</v>
      </c>
      <c r="L104" s="413">
        <v>25672</v>
      </c>
      <c r="M104" s="422" t="str">
        <f t="shared" ca="1" si="16"/>
        <v>48.0</v>
      </c>
      <c r="N104" s="796" t="s">
        <v>748</v>
      </c>
      <c r="O104" s="413">
        <v>34022</v>
      </c>
      <c r="P104" s="422" t="str">
        <f t="shared" ca="1" si="15"/>
        <v>25.2</v>
      </c>
      <c r="Q104" s="413">
        <v>46126</v>
      </c>
      <c r="R104" s="414" t="s">
        <v>31</v>
      </c>
      <c r="S104" s="411" t="s">
        <v>35</v>
      </c>
      <c r="T104" s="411" t="s">
        <v>23</v>
      </c>
      <c r="U104" s="424" t="s">
        <v>291</v>
      </c>
      <c r="V104" s="415" t="str">
        <f>VLOOKUP($B104,ALAMAT!$A$1:E392,4)</f>
        <v>Jl.Kamiluto IX/7 RT.001 RW.021Muktiharjo Kidul, PedurunganSemarang</v>
      </c>
    </row>
    <row r="105" spans="1:22" s="407" customFormat="1" ht="12.95" customHeight="1">
      <c r="A105" s="421">
        <v>98</v>
      </c>
      <c r="B105" s="821">
        <v>7196</v>
      </c>
      <c r="C105" s="410" t="s">
        <v>474</v>
      </c>
      <c r="D105" s="411" t="str">
        <f>IFERROR(VLOOKUP(B105,'DATA KARYAWAN &amp; ALAMAT'!$B$8:$E$149,3,0),"")</f>
        <v>O3.A</v>
      </c>
      <c r="E105" s="410" t="str">
        <f>IFERROR(VLOOKUP(B105,'DATA KARYAWAN &amp; ALAMAT'!$B$8:$E$149,4,0),"")</f>
        <v>Pengumpul Tol Utama GT. Muktiharjo</v>
      </c>
      <c r="F105" s="411" t="s">
        <v>18</v>
      </c>
      <c r="G105" s="411" t="s">
        <v>19</v>
      </c>
      <c r="H105" s="411">
        <v>2</v>
      </c>
      <c r="I105" s="411">
        <v>2</v>
      </c>
      <c r="J105" s="411" t="s">
        <v>20</v>
      </c>
      <c r="K105" s="423" t="s">
        <v>21</v>
      </c>
      <c r="L105" s="413">
        <v>26202</v>
      </c>
      <c r="M105" s="422" t="str">
        <f t="shared" ca="1" si="16"/>
        <v>46.7</v>
      </c>
      <c r="N105" s="796" t="s">
        <v>746</v>
      </c>
      <c r="O105" s="413">
        <v>34029</v>
      </c>
      <c r="P105" s="422" t="str">
        <f t="shared" ca="1" si="15"/>
        <v>25.1</v>
      </c>
      <c r="Q105" s="413">
        <v>46656</v>
      </c>
      <c r="R105" s="414" t="s">
        <v>22</v>
      </c>
      <c r="S105" s="411" t="s">
        <v>35</v>
      </c>
      <c r="T105" s="411" t="s">
        <v>23</v>
      </c>
      <c r="U105" s="424" t="s">
        <v>131</v>
      </c>
      <c r="V105" s="415" t="str">
        <f>VLOOKUP($B105,ALAMAT!$A$1:E395,4)</f>
        <v>Gergaji Balekambang 29 RT.004 RW.007 Mugasari Semarang Selatan</v>
      </c>
    </row>
    <row r="106" spans="1:22" s="407" customFormat="1" ht="12.95" customHeight="1">
      <c r="A106" s="408">
        <v>99</v>
      </c>
      <c r="B106" s="817">
        <v>7237</v>
      </c>
      <c r="C106" s="410" t="s">
        <v>476</v>
      </c>
      <c r="D106" s="411" t="str">
        <f>IFERROR(VLOOKUP(B106,'DATA KARYAWAN &amp; ALAMAT'!$B$8:$E$149,3,0),"")</f>
        <v>O3.A</v>
      </c>
      <c r="E106" s="410" t="str">
        <f>IFERROR(VLOOKUP(B106,'DATA KARYAWAN &amp; ALAMAT'!$B$8:$E$149,4,0),"")</f>
        <v>Pengumpul Tol Utama GT. Muktiharjo</v>
      </c>
      <c r="F106" s="411" t="s">
        <v>18</v>
      </c>
      <c r="G106" s="411" t="s">
        <v>19</v>
      </c>
      <c r="H106" s="301">
        <v>1</v>
      </c>
      <c r="I106" s="301">
        <v>1</v>
      </c>
      <c r="J106" s="301" t="s">
        <v>20</v>
      </c>
      <c r="K106" s="302" t="s">
        <v>96</v>
      </c>
      <c r="L106" s="300">
        <v>26047</v>
      </c>
      <c r="M106" s="422" t="str">
        <f t="shared" ca="1" si="16"/>
        <v>47.0</v>
      </c>
      <c r="N106" s="796" t="s">
        <v>747</v>
      </c>
      <c r="O106" s="413">
        <v>34034</v>
      </c>
      <c r="P106" s="422" t="str">
        <f t="shared" ca="1" si="15"/>
        <v>25.1</v>
      </c>
      <c r="Q106" s="413">
        <v>46501</v>
      </c>
      <c r="R106" s="301" t="s">
        <v>19</v>
      </c>
      <c r="S106" s="301" t="s">
        <v>35</v>
      </c>
      <c r="T106" s="411" t="s">
        <v>529</v>
      </c>
      <c r="U106" s="582" t="s">
        <v>116</v>
      </c>
      <c r="V106" s="415" t="str">
        <f>VLOOKUP($B106,ALAMAT!$A$1:E397,4)</f>
        <v>Jl Mataram II No 3 Banyuanyar Solo</v>
      </c>
    </row>
    <row r="107" spans="1:22" s="407" customFormat="1" ht="12.95" customHeight="1">
      <c r="A107" s="421">
        <v>100</v>
      </c>
      <c r="B107" s="817">
        <v>7483</v>
      </c>
      <c r="C107" s="410" t="s">
        <v>324</v>
      </c>
      <c r="D107" s="411" t="str">
        <f>IFERROR(VLOOKUP(B107,'DATA KARYAWAN &amp; ALAMAT'!$B$8:$E$149,3,0),"")</f>
        <v>O3.A</v>
      </c>
      <c r="E107" s="410" t="str">
        <f>IFERROR(VLOOKUP(B107,'DATA KARYAWAN &amp; ALAMAT'!$B$8:$E$149,4,0),"")</f>
        <v>Pengumpul Tol Utama GT. Muktiharjo</v>
      </c>
      <c r="F107" s="301" t="s">
        <v>18</v>
      </c>
      <c r="G107" s="301" t="s">
        <v>19</v>
      </c>
      <c r="H107" s="301">
        <v>0</v>
      </c>
      <c r="I107" s="301">
        <v>0</v>
      </c>
      <c r="J107" s="301" t="s">
        <v>20</v>
      </c>
      <c r="K107" s="297" t="s">
        <v>325</v>
      </c>
      <c r="L107" s="413">
        <v>25427</v>
      </c>
      <c r="M107" s="422" t="str">
        <f t="shared" ca="1" si="16"/>
        <v>48.8</v>
      </c>
      <c r="N107" s="796" t="s">
        <v>748</v>
      </c>
      <c r="O107" s="413">
        <v>34590</v>
      </c>
      <c r="P107" s="422" t="str">
        <f t="shared" ca="1" si="15"/>
        <v>23.7</v>
      </c>
      <c r="Q107" s="413">
        <v>45881</v>
      </c>
      <c r="R107" s="296" t="s">
        <v>22</v>
      </c>
      <c r="S107" s="296" t="s">
        <v>35</v>
      </c>
      <c r="T107" s="411" t="s">
        <v>529</v>
      </c>
      <c r="U107" s="582" t="s">
        <v>116</v>
      </c>
      <c r="V107" s="415" t="str">
        <f>VLOOKUP($B107,ALAMAT!$A$1:E399,4)</f>
        <v>KejenanRt01 Rw08 Bangsi Karangpandan Smg</v>
      </c>
    </row>
    <row r="108" spans="1:22" s="407" customFormat="1" ht="12.95" customHeight="1">
      <c r="A108" s="408">
        <v>101</v>
      </c>
      <c r="B108" s="821">
        <v>7489</v>
      </c>
      <c r="C108" s="410" t="s">
        <v>327</v>
      </c>
      <c r="D108" s="411">
        <f>IFERROR(VLOOKUP(B108,'DATA KARYAWAN &amp; ALAMAT'!$B$8:$E$149,3,0),"")</f>
        <v>5</v>
      </c>
      <c r="E108" s="410" t="str">
        <f>IFERROR(VLOOKUP(B108,'DATA KARYAWAN &amp; ALAMAT'!$B$8:$E$149,4,0),"")</f>
        <v>Data Processing Officer</v>
      </c>
      <c r="F108" s="411" t="s">
        <v>18</v>
      </c>
      <c r="G108" s="411" t="s">
        <v>19</v>
      </c>
      <c r="H108" s="411">
        <v>2</v>
      </c>
      <c r="I108" s="411">
        <v>2</v>
      </c>
      <c r="J108" s="411" t="s">
        <v>20</v>
      </c>
      <c r="K108" s="423" t="s">
        <v>328</v>
      </c>
      <c r="L108" s="413">
        <v>25203</v>
      </c>
      <c r="M108" s="422" t="str">
        <f t="shared" ca="1" si="16"/>
        <v>49.3</v>
      </c>
      <c r="N108" s="796" t="s">
        <v>749</v>
      </c>
      <c r="O108" s="413">
        <v>34608</v>
      </c>
      <c r="P108" s="422" t="str">
        <f t="shared" ca="1" si="15"/>
        <v>23.6</v>
      </c>
      <c r="Q108" s="413">
        <v>45657</v>
      </c>
      <c r="R108" s="414" t="s">
        <v>22</v>
      </c>
      <c r="S108" s="411" t="s">
        <v>38</v>
      </c>
      <c r="T108" s="411" t="s">
        <v>23</v>
      </c>
      <c r="U108" s="424" t="s">
        <v>55</v>
      </c>
      <c r="V108" s="415" t="str">
        <f>VLOOKUP($B108,ALAMAT!$A$1:E400,4)</f>
        <v>Jl.Parikesit Raya RT.010 RW.002 Banyumanik Semarang</v>
      </c>
    </row>
    <row r="109" spans="1:22" s="407" customFormat="1" ht="12.95" customHeight="1">
      <c r="A109" s="421">
        <v>102</v>
      </c>
      <c r="B109" s="817">
        <v>7500</v>
      </c>
      <c r="C109" s="410" t="s">
        <v>478</v>
      </c>
      <c r="D109" s="411" t="str">
        <f>IFERROR(VLOOKUP(B109,'DATA KARYAWAN &amp; ALAMAT'!$B$8:$E$149,3,0),"")</f>
        <v>O3.A</v>
      </c>
      <c r="E109" s="410" t="str">
        <f>IFERROR(VLOOKUP(B109,'DATA KARYAWAN &amp; ALAMAT'!$B$8:$E$149,4,0),"")</f>
        <v>Pengumpul Tol Utama GT. Muktiharjo</v>
      </c>
      <c r="F109" s="301" t="s">
        <v>18</v>
      </c>
      <c r="G109" s="301" t="s">
        <v>19</v>
      </c>
      <c r="H109" s="301">
        <v>2</v>
      </c>
      <c r="I109" s="301">
        <v>2</v>
      </c>
      <c r="J109" s="301" t="s">
        <v>20</v>
      </c>
      <c r="K109" s="297" t="s">
        <v>479</v>
      </c>
      <c r="L109" s="413">
        <v>26420</v>
      </c>
      <c r="M109" s="422" t="str">
        <f t="shared" ca="1" si="16"/>
        <v>45.11</v>
      </c>
      <c r="N109" s="796" t="s">
        <v>746</v>
      </c>
      <c r="O109" s="413">
        <v>34608</v>
      </c>
      <c r="P109" s="422" t="str">
        <f t="shared" ca="1" si="15"/>
        <v>23.6</v>
      </c>
      <c r="Q109" s="413">
        <v>46813</v>
      </c>
      <c r="R109" s="296" t="s">
        <v>22</v>
      </c>
      <c r="S109" s="296" t="s">
        <v>35</v>
      </c>
      <c r="T109" s="411" t="s">
        <v>529</v>
      </c>
      <c r="U109" s="424" t="s">
        <v>55</v>
      </c>
      <c r="V109" s="415" t="str">
        <f>VLOOKUP($B109,ALAMAT!$A$1:E401,4)</f>
        <v>Tlogorejo Rt 01 Rw11 Karangawen Semarang</v>
      </c>
    </row>
    <row r="110" spans="1:22" s="407" customFormat="1" ht="12.95" customHeight="1">
      <c r="A110" s="408">
        <v>103</v>
      </c>
      <c r="B110" s="821">
        <v>7651</v>
      </c>
      <c r="C110" s="410" t="s">
        <v>481</v>
      </c>
      <c r="D110" s="411" t="str">
        <f>IFERROR(VLOOKUP(B110,'DATA KARYAWAN &amp; ALAMAT'!$B$8:$E$149,3,0),"")</f>
        <v>O3.A</v>
      </c>
      <c r="E110" s="410" t="str">
        <f>IFERROR(VLOOKUP(B110,'DATA KARYAWAN &amp; ALAMAT'!$B$8:$E$149,4,0),"")</f>
        <v>Pengumpul Tol Utama GT. Muktiharjo</v>
      </c>
      <c r="F110" s="411" t="s">
        <v>18</v>
      </c>
      <c r="G110" s="411" t="s">
        <v>19</v>
      </c>
      <c r="H110" s="411">
        <v>2</v>
      </c>
      <c r="I110" s="411">
        <v>2</v>
      </c>
      <c r="J110" s="411" t="s">
        <v>20</v>
      </c>
      <c r="K110" s="423" t="s">
        <v>26</v>
      </c>
      <c r="L110" s="413">
        <v>26568</v>
      </c>
      <c r="M110" s="422" t="str">
        <f t="shared" ca="1" si="16"/>
        <v>45.7</v>
      </c>
      <c r="N110" s="796" t="s">
        <v>745</v>
      </c>
      <c r="O110" s="413">
        <v>34648</v>
      </c>
      <c r="P110" s="422" t="str">
        <f t="shared" ca="1" si="15"/>
        <v>23.5</v>
      </c>
      <c r="Q110" s="413">
        <v>47022</v>
      </c>
      <c r="R110" s="414" t="s">
        <v>31</v>
      </c>
      <c r="S110" s="411" t="s">
        <v>35</v>
      </c>
      <c r="T110" s="411" t="s">
        <v>529</v>
      </c>
      <c r="U110" s="424" t="s">
        <v>291</v>
      </c>
      <c r="V110" s="415" t="str">
        <f>VLOOKUP($B110,ALAMAT!$A$1:E405,4)</f>
        <v>JL. Tlogo Mulyo Pesona Asri II blok F.11</v>
      </c>
    </row>
    <row r="111" spans="1:22" s="407" customFormat="1" ht="12.95" customHeight="1">
      <c r="A111" s="421">
        <v>104</v>
      </c>
      <c r="B111" s="817">
        <v>7824</v>
      </c>
      <c r="C111" s="410" t="s">
        <v>485</v>
      </c>
      <c r="D111" s="411" t="str">
        <f>IFERROR(VLOOKUP(B111,'DATA KARYAWAN &amp; ALAMAT'!$B$8:$E$149,3,0),"")</f>
        <v>O3.A</v>
      </c>
      <c r="E111" s="410" t="str">
        <f>IFERROR(VLOOKUP(B111,'DATA KARYAWAN &amp; ALAMAT'!$B$8:$E$149,4,0),"")</f>
        <v>Pengumpul Tol Utama GT. Muktiharjo</v>
      </c>
      <c r="F111" s="411" t="s">
        <v>18</v>
      </c>
      <c r="G111" s="411" t="s">
        <v>19</v>
      </c>
      <c r="H111" s="411">
        <v>3</v>
      </c>
      <c r="I111" s="411">
        <v>3</v>
      </c>
      <c r="J111" s="411" t="s">
        <v>20</v>
      </c>
      <c r="K111" s="423" t="s">
        <v>338</v>
      </c>
      <c r="L111" s="413">
        <v>26990</v>
      </c>
      <c r="M111" s="422" t="str">
        <f t="shared" ca="1" si="16"/>
        <v>44.5</v>
      </c>
      <c r="N111" s="796" t="s">
        <v>744</v>
      </c>
      <c r="O111" s="413">
        <v>34701</v>
      </c>
      <c r="P111" s="422" t="str">
        <f t="shared" ca="1" si="15"/>
        <v>23.3</v>
      </c>
      <c r="Q111" s="413">
        <v>47444</v>
      </c>
      <c r="R111" s="414" t="s">
        <v>22</v>
      </c>
      <c r="S111" s="411" t="s">
        <v>38</v>
      </c>
      <c r="T111" s="411" t="s">
        <v>529</v>
      </c>
      <c r="U111" s="424" t="s">
        <v>55</v>
      </c>
      <c r="V111" s="415" t="str">
        <f>VLOOKUP($B111,ALAMAT!$A$1:E410,4)</f>
        <v>Griya Payung Asri Kav.93 RT.003 RW.006 Pudakpayung Banyumanik Semarang</v>
      </c>
    </row>
    <row r="112" spans="1:22" s="407" customFormat="1" ht="12.95" customHeight="1">
      <c r="A112" s="408">
        <v>105</v>
      </c>
      <c r="B112" s="821">
        <v>8016</v>
      </c>
      <c r="C112" s="410" t="s">
        <v>487</v>
      </c>
      <c r="D112" s="411" t="str">
        <f>IFERROR(VLOOKUP(B112,'DATA KARYAWAN &amp; ALAMAT'!$B$8:$E$149,3,0),"")</f>
        <v/>
      </c>
      <c r="E112" s="410" t="str">
        <f>IFERROR(VLOOKUP(B112,'DATA KARYAWAN &amp; ALAMAT'!$B$8:$E$149,4,0),"")</f>
        <v/>
      </c>
      <c r="F112" s="411" t="s">
        <v>18</v>
      </c>
      <c r="G112" s="411" t="s">
        <v>19</v>
      </c>
      <c r="H112" s="411">
        <v>2</v>
      </c>
      <c r="I112" s="411">
        <v>2</v>
      </c>
      <c r="J112" s="411" t="s">
        <v>20</v>
      </c>
      <c r="K112" s="423" t="s">
        <v>352</v>
      </c>
      <c r="L112" s="413">
        <v>26747</v>
      </c>
      <c r="M112" s="422" t="str">
        <f t="shared" ca="1" si="16"/>
        <v>45.1</v>
      </c>
      <c r="N112" s="796" t="s">
        <v>745</v>
      </c>
      <c r="O112" s="413">
        <v>34870</v>
      </c>
      <c r="P112" s="422" t="str">
        <f t="shared" ca="1" si="15"/>
        <v>22.10</v>
      </c>
      <c r="Q112" s="413">
        <v>47201</v>
      </c>
      <c r="R112" s="414" t="s">
        <v>22</v>
      </c>
      <c r="S112" s="411" t="s">
        <v>35</v>
      </c>
      <c r="T112" s="411" t="s">
        <v>529</v>
      </c>
      <c r="U112" s="424" t="s">
        <v>120</v>
      </c>
      <c r="V112" s="415" t="str">
        <f>VLOOKUP($B112,ALAMAT!$A$1:E412,4)</f>
        <v>Kalialang Lama RT.004 RW.001 Sukorejo Gunung Pati Semarang</v>
      </c>
    </row>
    <row r="113" spans="1:22" s="407" customFormat="1" ht="12.95" customHeight="1">
      <c r="A113" s="421">
        <v>106</v>
      </c>
      <c r="B113" s="821">
        <v>8195</v>
      </c>
      <c r="C113" s="410" t="s">
        <v>491</v>
      </c>
      <c r="D113" s="411" t="str">
        <f>IFERROR(VLOOKUP(B113,'DATA KARYAWAN &amp; ALAMAT'!$B$8:$E$149,3,0),"")</f>
        <v>O3.B</v>
      </c>
      <c r="E113" s="410" t="str">
        <f>IFERROR(VLOOKUP(B113,'DATA KARYAWAN &amp; ALAMAT'!$B$8:$E$149,4,0),"")</f>
        <v>Pengumpul Tol Utama GT. Muktiharjo</v>
      </c>
      <c r="F113" s="411" t="s">
        <v>18</v>
      </c>
      <c r="G113" s="411" t="s">
        <v>19</v>
      </c>
      <c r="H113" s="411">
        <v>3</v>
      </c>
      <c r="I113" s="411">
        <v>3</v>
      </c>
      <c r="J113" s="411" t="s">
        <v>20</v>
      </c>
      <c r="K113" s="423" t="s">
        <v>492</v>
      </c>
      <c r="L113" s="413">
        <v>26724</v>
      </c>
      <c r="M113" s="422" t="str">
        <f t="shared" ca="1" si="16"/>
        <v>45.1</v>
      </c>
      <c r="N113" s="796" t="s">
        <v>745</v>
      </c>
      <c r="O113" s="413">
        <v>34956</v>
      </c>
      <c r="P113" s="422" t="str">
        <f t="shared" ca="1" si="15"/>
        <v>22.7</v>
      </c>
      <c r="Q113" s="413">
        <v>47178</v>
      </c>
      <c r="R113" s="414" t="s">
        <v>22</v>
      </c>
      <c r="S113" s="411" t="s">
        <v>38</v>
      </c>
      <c r="T113" s="411" t="s">
        <v>23</v>
      </c>
      <c r="U113" s="424" t="s">
        <v>120</v>
      </c>
      <c r="V113" s="415" t="str">
        <f>VLOOKUP($B113,ALAMAT!$A$1:E415,4)</f>
        <v>Puri Dinar Elok C4 No.5 RT.008RW.020 Meteseh Tembalang Semarang</v>
      </c>
    </row>
    <row r="114" spans="1:22" s="407" customFormat="1" ht="12.95" customHeight="1">
      <c r="A114" s="408">
        <v>107</v>
      </c>
      <c r="B114" s="821">
        <v>8328</v>
      </c>
      <c r="C114" s="410" t="s">
        <v>494</v>
      </c>
      <c r="D114" s="411" t="str">
        <f>IFERROR(VLOOKUP(B114,'DATA KARYAWAN &amp; ALAMAT'!$B$8:$E$149,3,0),"")</f>
        <v/>
      </c>
      <c r="E114" s="410" t="str">
        <f>IFERROR(VLOOKUP(B114,'DATA KARYAWAN &amp; ALAMAT'!$B$8:$E$149,4,0),"")</f>
        <v/>
      </c>
      <c r="F114" s="411" t="s">
        <v>18</v>
      </c>
      <c r="G114" s="411" t="s">
        <v>19</v>
      </c>
      <c r="H114" s="411">
        <v>3</v>
      </c>
      <c r="I114" s="411">
        <v>3</v>
      </c>
      <c r="J114" s="411" t="s">
        <v>20</v>
      </c>
      <c r="K114" s="423" t="s">
        <v>44</v>
      </c>
      <c r="L114" s="413">
        <v>27242</v>
      </c>
      <c r="M114" s="422" t="str">
        <f t="shared" ca="1" si="16"/>
        <v>43.8</v>
      </c>
      <c r="N114" s="796" t="s">
        <v>743</v>
      </c>
      <c r="O114" s="413">
        <v>35066</v>
      </c>
      <c r="P114" s="422" t="str">
        <f t="shared" ca="1" si="15"/>
        <v>22.3</v>
      </c>
      <c r="Q114" s="413">
        <v>47696</v>
      </c>
      <c r="R114" s="414" t="s">
        <v>22</v>
      </c>
      <c r="S114" s="411" t="s">
        <v>38</v>
      </c>
      <c r="T114" s="411" t="s">
        <v>529</v>
      </c>
      <c r="U114" s="424" t="s">
        <v>131</v>
      </c>
      <c r="V114" s="415" t="str">
        <f>VLOOKUP($B114,ALAMAT!$A$1:E418,4)</f>
        <v>Puri Dinar Elok H5 No.5 RT.006 RW.021 Meteseh Tembalang Semarang</v>
      </c>
    </row>
    <row r="115" spans="1:22" s="407" customFormat="1" ht="12.95" customHeight="1">
      <c r="A115" s="421">
        <v>108</v>
      </c>
      <c r="B115" s="821">
        <v>8359</v>
      </c>
      <c r="C115" s="410" t="s">
        <v>360</v>
      </c>
      <c r="D115" s="411" t="str">
        <f>IFERROR(VLOOKUP(B115,'DATA KARYAWAN &amp; ALAMAT'!$B$8:$E$149,3,0),"")</f>
        <v>O3.A</v>
      </c>
      <c r="E115" s="410" t="str">
        <f>IFERROR(VLOOKUP(B115,'DATA KARYAWAN &amp; ALAMAT'!$B$8:$E$149,4,0),"")</f>
        <v>Pengumpul Tol Utama GT. Muktiharjo</v>
      </c>
      <c r="F115" s="411" t="s">
        <v>18</v>
      </c>
      <c r="G115" s="411" t="s">
        <v>19</v>
      </c>
      <c r="H115" s="411">
        <v>1</v>
      </c>
      <c r="I115" s="411">
        <v>1</v>
      </c>
      <c r="J115" s="411" t="s">
        <v>20</v>
      </c>
      <c r="K115" s="423" t="s">
        <v>21</v>
      </c>
      <c r="L115" s="413">
        <v>26205</v>
      </c>
      <c r="M115" s="422" t="str">
        <f t="shared" ref="M115:M132" ca="1" si="17">DATEDIF(L115,TODAY(),"Y") &amp; "." &amp;DATEDIF(L115,TODAY(),"YM")</f>
        <v>46.7</v>
      </c>
      <c r="N115" s="796" t="s">
        <v>746</v>
      </c>
      <c r="O115" s="413">
        <v>35096</v>
      </c>
      <c r="P115" s="422" t="str">
        <f t="shared" ca="1" si="15"/>
        <v>22.2</v>
      </c>
      <c r="Q115" s="413">
        <v>46659</v>
      </c>
      <c r="R115" s="414" t="s">
        <v>22</v>
      </c>
      <c r="S115" s="411" t="s">
        <v>35</v>
      </c>
      <c r="T115" s="411" t="s">
        <v>529</v>
      </c>
      <c r="U115" s="424" t="s">
        <v>1451</v>
      </c>
      <c r="V115" s="415" t="str">
        <f>VLOOKUP($B115,ALAMAT!$A$1:E420,4)</f>
        <v>Jl delikrejo Rt 07 Rw 11 Tandang Kec  Tembalang Semarang</v>
      </c>
    </row>
    <row r="116" spans="1:22" s="407" customFormat="1" ht="12.95" customHeight="1">
      <c r="A116" s="408">
        <v>109</v>
      </c>
      <c r="B116" s="817">
        <v>8369</v>
      </c>
      <c r="C116" s="410" t="s">
        <v>362</v>
      </c>
      <c r="D116" s="411" t="str">
        <f>IFERROR(VLOOKUP(B116,'DATA KARYAWAN &amp; ALAMAT'!$B$8:$E$149,3,0),"")</f>
        <v>O3.A</v>
      </c>
      <c r="E116" s="410" t="str">
        <f>IFERROR(VLOOKUP(B116,'DATA KARYAWAN &amp; ALAMAT'!$B$8:$E$149,4,0),"")</f>
        <v>Pengumpul Tol Utama GT. Muktiharjo</v>
      </c>
      <c r="F116" s="411" t="s">
        <v>18</v>
      </c>
      <c r="G116" s="411" t="s">
        <v>19</v>
      </c>
      <c r="H116" s="411">
        <v>1</v>
      </c>
      <c r="I116" s="411">
        <v>1</v>
      </c>
      <c r="J116" s="411" t="s">
        <v>20</v>
      </c>
      <c r="K116" s="423" t="s">
        <v>242</v>
      </c>
      <c r="L116" s="413">
        <v>27966</v>
      </c>
      <c r="M116" s="422" t="str">
        <f t="shared" ca="1" si="17"/>
        <v>41.9</v>
      </c>
      <c r="N116" s="796" t="s">
        <v>741</v>
      </c>
      <c r="O116" s="413">
        <v>35068</v>
      </c>
      <c r="P116" s="422" t="str">
        <f t="shared" ca="1" si="15"/>
        <v>22.3</v>
      </c>
      <c r="Q116" s="413">
        <v>48423</v>
      </c>
      <c r="R116" s="414" t="s">
        <v>22</v>
      </c>
      <c r="S116" s="411" t="s">
        <v>35</v>
      </c>
      <c r="T116" s="411" t="s">
        <v>529</v>
      </c>
      <c r="U116" s="409" t="s">
        <v>116</v>
      </c>
      <c r="V116" s="415" t="str">
        <f>VLOOKUP($B116,ALAMAT!$A$1:E421,4)</f>
        <v>DK Karang RT 01 RW 08 Jekulo Kudus</v>
      </c>
    </row>
    <row r="117" spans="1:22" s="407" customFormat="1" ht="12.95" customHeight="1">
      <c r="A117" s="421">
        <v>110</v>
      </c>
      <c r="B117" s="817">
        <v>8741</v>
      </c>
      <c r="C117" s="410" t="s">
        <v>372</v>
      </c>
      <c r="D117" s="411" t="str">
        <f>IFERROR(VLOOKUP(B117,'DATA KARYAWAN &amp; ALAMAT'!$B$8:$E$149,3,0),"")</f>
        <v>O3.B</v>
      </c>
      <c r="E117" s="410" t="str">
        <f>IFERROR(VLOOKUP(B117,'DATA KARYAWAN &amp; ALAMAT'!$B$8:$E$149,4,0),"")</f>
        <v>Pengumpul Tol Utama GT. Muktiharjo</v>
      </c>
      <c r="F117" s="411" t="s">
        <v>18</v>
      </c>
      <c r="G117" s="411" t="s">
        <v>19</v>
      </c>
      <c r="H117" s="411">
        <v>2</v>
      </c>
      <c r="I117" s="411">
        <v>2</v>
      </c>
      <c r="J117" s="411" t="s">
        <v>20</v>
      </c>
      <c r="K117" s="423" t="s">
        <v>242</v>
      </c>
      <c r="L117" s="413">
        <v>27018</v>
      </c>
      <c r="M117" s="422" t="str">
        <f t="shared" ca="1" si="17"/>
        <v>44.4</v>
      </c>
      <c r="N117" s="796" t="s">
        <v>744</v>
      </c>
      <c r="O117" s="413">
        <v>35241</v>
      </c>
      <c r="P117" s="422" t="str">
        <f t="shared" ca="1" si="15"/>
        <v>21.10</v>
      </c>
      <c r="Q117" s="413">
        <v>47472</v>
      </c>
      <c r="R117" s="414" t="s">
        <v>22</v>
      </c>
      <c r="S117" s="411" t="s">
        <v>35</v>
      </c>
      <c r="T117" s="411" t="s">
        <v>23</v>
      </c>
      <c r="U117" s="424" t="s">
        <v>55</v>
      </c>
      <c r="V117" s="415" t="str">
        <f>VLOOKUP($B117,ALAMAT!$A$1:E426,4)</f>
        <v>Bojanegara RT.001 RW.004 Bojanegara Padamara Purwalingga</v>
      </c>
    </row>
    <row r="118" spans="1:22" s="407" customFormat="1" ht="12.95" customHeight="1">
      <c r="A118" s="408">
        <v>111</v>
      </c>
      <c r="B118" s="817">
        <v>8973</v>
      </c>
      <c r="C118" s="410" t="s">
        <v>376</v>
      </c>
      <c r="D118" s="411">
        <f>IFERROR(VLOOKUP(B118,'DATA KARYAWAN &amp; ALAMAT'!$B$8:$E$149,3,0),"")</f>
        <v>5</v>
      </c>
      <c r="E118" s="410" t="str">
        <f>IFERROR(VLOOKUP(B118,'DATA KARYAWAN &amp; ALAMAT'!$B$8:$E$149,4,0),"")</f>
        <v>Data Processing Officer</v>
      </c>
      <c r="F118" s="411" t="s">
        <v>18</v>
      </c>
      <c r="G118" s="411" t="s">
        <v>19</v>
      </c>
      <c r="H118" s="411">
        <v>1</v>
      </c>
      <c r="I118" s="411">
        <v>1</v>
      </c>
      <c r="J118" s="411" t="s">
        <v>20</v>
      </c>
      <c r="K118" s="423" t="s">
        <v>377</v>
      </c>
      <c r="L118" s="413">
        <v>26410</v>
      </c>
      <c r="M118" s="422" t="str">
        <f t="shared" ca="1" si="17"/>
        <v>46.0</v>
      </c>
      <c r="N118" s="796" t="s">
        <v>746</v>
      </c>
      <c r="O118" s="413">
        <v>35325</v>
      </c>
      <c r="P118" s="422" t="str">
        <f t="shared" ca="1" si="15"/>
        <v>21.7</v>
      </c>
      <c r="Q118" s="413">
        <v>46864</v>
      </c>
      <c r="R118" s="414" t="s">
        <v>22</v>
      </c>
      <c r="S118" s="411" t="s">
        <v>35</v>
      </c>
      <c r="T118" s="411" t="s">
        <v>23</v>
      </c>
      <c r="U118" s="409" t="s">
        <v>116</v>
      </c>
      <c r="V118" s="415" t="str">
        <f>VLOOKUP($B118,ALAMAT!$A$1:E427,4)</f>
        <v>Perum Kutilang Sari 3 RT.008 RW.004 Susukan Ungaran Timur</v>
      </c>
    </row>
    <row r="119" spans="1:22" s="407" customFormat="1" ht="12.95" customHeight="1">
      <c r="A119" s="421">
        <v>112</v>
      </c>
      <c r="B119" s="817">
        <v>9069</v>
      </c>
      <c r="C119" s="410" t="s">
        <v>379</v>
      </c>
      <c r="D119" s="411" t="str">
        <f>IFERROR(VLOOKUP(B119,'DATA KARYAWAN &amp; ALAMAT'!$B$8:$E$149,3,0),"")</f>
        <v>O3.B</v>
      </c>
      <c r="E119" s="410" t="str">
        <f>IFERROR(VLOOKUP(B119,'DATA KARYAWAN &amp; ALAMAT'!$B$8:$E$149,4,0),"")</f>
        <v>Pengumpul Tol Utama GT. Muktiharjo</v>
      </c>
      <c r="F119" s="411" t="s">
        <v>18</v>
      </c>
      <c r="G119" s="411" t="s">
        <v>19</v>
      </c>
      <c r="H119" s="411">
        <v>2</v>
      </c>
      <c r="I119" s="411">
        <v>1</v>
      </c>
      <c r="J119" s="411" t="s">
        <v>20</v>
      </c>
      <c r="K119" s="423" t="s">
        <v>352</v>
      </c>
      <c r="L119" s="413">
        <v>26173</v>
      </c>
      <c r="M119" s="422" t="str">
        <f t="shared" ca="1" si="17"/>
        <v>46.8</v>
      </c>
      <c r="N119" s="796" t="s">
        <v>746</v>
      </c>
      <c r="O119" s="413">
        <v>35335</v>
      </c>
      <c r="P119" s="422" t="str">
        <f t="shared" ca="1" si="15"/>
        <v>21.7</v>
      </c>
      <c r="Q119" s="413">
        <v>47358</v>
      </c>
      <c r="R119" s="414" t="s">
        <v>22</v>
      </c>
      <c r="S119" s="411" t="s">
        <v>38</v>
      </c>
      <c r="T119" s="411" t="s">
        <v>529</v>
      </c>
      <c r="U119" s="424" t="s">
        <v>291</v>
      </c>
      <c r="V119" s="415" t="str">
        <f>VLOOKUP($B119,ALAMAT!$A$1:E428,4)</f>
        <v>Kemiri Lor RT.002 RW.003 , Kemiri Lor, Kemiri, Kab.Purworejo</v>
      </c>
    </row>
    <row r="120" spans="1:22" s="407" customFormat="1" ht="12.95" customHeight="1">
      <c r="A120" s="408">
        <v>113</v>
      </c>
      <c r="B120" s="821">
        <v>9523</v>
      </c>
      <c r="C120" s="410" t="s">
        <v>395</v>
      </c>
      <c r="D120" s="411" t="str">
        <f>IFERROR(VLOOKUP(B120,'DATA KARYAWAN &amp; ALAMAT'!$B$8:$E$149,3,0),"")</f>
        <v>O3.B</v>
      </c>
      <c r="E120" s="410" t="str">
        <f>IFERROR(VLOOKUP(B120,'DATA KARYAWAN &amp; ALAMAT'!$B$8:$E$149,4,0),"")</f>
        <v>Pengumpul Tol Utama GT. Muktiharjo</v>
      </c>
      <c r="F120" s="411" t="s">
        <v>18</v>
      </c>
      <c r="G120" s="411" t="s">
        <v>19</v>
      </c>
      <c r="H120" s="411">
        <v>2</v>
      </c>
      <c r="I120" s="411">
        <v>2</v>
      </c>
      <c r="J120" s="411" t="s">
        <v>31</v>
      </c>
      <c r="K120" s="423" t="s">
        <v>2522</v>
      </c>
      <c r="L120" s="413">
        <v>28599</v>
      </c>
      <c r="M120" s="422" t="str">
        <f t="shared" ca="1" si="17"/>
        <v>40.0</v>
      </c>
      <c r="N120" s="796" t="s">
        <v>740</v>
      </c>
      <c r="O120" s="413">
        <v>35807</v>
      </c>
      <c r="P120" s="422" t="str">
        <f t="shared" ca="1" si="15"/>
        <v>20.3</v>
      </c>
      <c r="Q120" s="413">
        <v>49053</v>
      </c>
      <c r="R120" s="414" t="s">
        <v>22</v>
      </c>
      <c r="S120" s="411" t="s">
        <v>35</v>
      </c>
      <c r="T120" s="411" t="s">
        <v>529</v>
      </c>
      <c r="U120" s="424" t="s">
        <v>291</v>
      </c>
      <c r="V120" s="415" t="str">
        <f>VLOOKUP($B120,ALAMAT!$A$1:E435,4)</f>
        <v>Dusun Krajan RT.002 RW.002 Bebengan Boja Kab.Kendal</v>
      </c>
    </row>
    <row r="121" spans="1:22" s="407" customFormat="1" ht="12.95" customHeight="1">
      <c r="A121" s="421">
        <v>114</v>
      </c>
      <c r="B121" s="821">
        <v>9524</v>
      </c>
      <c r="C121" s="410" t="s">
        <v>397</v>
      </c>
      <c r="D121" s="411">
        <f>IFERROR(VLOOKUP(B121,'DATA KARYAWAN &amp; ALAMAT'!$B$8:$E$149,3,0),"")</f>
        <v>5</v>
      </c>
      <c r="E121" s="410" t="str">
        <f>IFERROR(VLOOKUP(B121,'DATA KARYAWAN &amp; ALAMAT'!$B$8:$E$149,4,0),"")</f>
        <v>Toll Gate Officer</v>
      </c>
      <c r="F121" s="411" t="s">
        <v>18</v>
      </c>
      <c r="G121" s="411" t="s">
        <v>19</v>
      </c>
      <c r="H121" s="411">
        <v>2</v>
      </c>
      <c r="I121" s="411">
        <v>2</v>
      </c>
      <c r="J121" s="411" t="s">
        <v>31</v>
      </c>
      <c r="K121" s="423" t="s">
        <v>21</v>
      </c>
      <c r="L121" s="413">
        <v>27853</v>
      </c>
      <c r="M121" s="422" t="str">
        <f t="shared" ca="1" si="17"/>
        <v>42.0</v>
      </c>
      <c r="N121" s="796" t="s">
        <v>742</v>
      </c>
      <c r="O121" s="413">
        <v>35807</v>
      </c>
      <c r="P121" s="422" t="str">
        <f t="shared" ca="1" si="15"/>
        <v>20.3</v>
      </c>
      <c r="Q121" s="413">
        <v>48307</v>
      </c>
      <c r="R121" s="414" t="s">
        <v>22</v>
      </c>
      <c r="S121" s="411" t="s">
        <v>35</v>
      </c>
      <c r="T121" s="411" t="s">
        <v>175</v>
      </c>
      <c r="U121" s="424" t="s">
        <v>1436</v>
      </c>
      <c r="V121" s="415" t="str">
        <f>VLOOKUP($B121,ALAMAT!$A$1:E436,4)</f>
        <v>Jl.Merbau I No.16 RT.005 RW.007 Padangsari Banyumanik, Semarang</v>
      </c>
    </row>
    <row r="122" spans="1:22" s="407" customFormat="1" ht="12.95" customHeight="1">
      <c r="A122" s="408">
        <v>115</v>
      </c>
      <c r="B122" s="821">
        <v>9527</v>
      </c>
      <c r="C122" s="410" t="s">
        <v>401</v>
      </c>
      <c r="D122" s="411" t="str">
        <f>IFERROR(VLOOKUP(B122,'DATA KARYAWAN &amp; ALAMAT'!$B$8:$E$149,3,0),"")</f>
        <v>O3.B</v>
      </c>
      <c r="E122" s="410" t="str">
        <f>IFERROR(VLOOKUP(B122,'DATA KARYAWAN &amp; ALAMAT'!$B$8:$E$149,4,0),"")</f>
        <v>Pengumpul Tol Utama GT. Muktiharjo</v>
      </c>
      <c r="F122" s="411" t="s">
        <v>18</v>
      </c>
      <c r="G122" s="411" t="s">
        <v>19</v>
      </c>
      <c r="H122" s="411">
        <v>3</v>
      </c>
      <c r="I122" s="411">
        <v>3</v>
      </c>
      <c r="J122" s="411" t="s">
        <v>20</v>
      </c>
      <c r="K122" s="423" t="s">
        <v>21</v>
      </c>
      <c r="L122" s="413">
        <v>28011</v>
      </c>
      <c r="M122" s="422" t="str">
        <f t="shared" ca="1" si="17"/>
        <v>41.7</v>
      </c>
      <c r="N122" s="796" t="s">
        <v>741</v>
      </c>
      <c r="O122" s="413">
        <v>35807</v>
      </c>
      <c r="P122" s="422" t="str">
        <f t="shared" ca="1" si="15"/>
        <v>20.3</v>
      </c>
      <c r="Q122" s="413">
        <v>48465</v>
      </c>
      <c r="R122" s="414" t="s">
        <v>19</v>
      </c>
      <c r="S122" s="411" t="s">
        <v>38</v>
      </c>
      <c r="T122" s="411" t="s">
        <v>529</v>
      </c>
      <c r="U122" s="424" t="s">
        <v>291</v>
      </c>
      <c r="V122" s="415" t="str">
        <f>VLOOKUP($B122,ALAMAT!$A$1:E438,4)</f>
        <v>Jl Kalilangse No 837 Rt 07 Rw 03  Gajah Mungkur Semarang</v>
      </c>
    </row>
    <row r="123" spans="1:22" s="407" customFormat="1" ht="12.95" customHeight="1">
      <c r="A123" s="421">
        <v>116</v>
      </c>
      <c r="B123" s="821">
        <v>9531</v>
      </c>
      <c r="C123" s="410" t="s">
        <v>406</v>
      </c>
      <c r="D123" s="411" t="str">
        <f>IFERROR(VLOOKUP(B123,'DATA KARYAWAN &amp; ALAMAT'!$B$8:$E$149,3,0),"")</f>
        <v>O3.B</v>
      </c>
      <c r="E123" s="410" t="str">
        <f>IFERROR(VLOOKUP(B123,'DATA KARYAWAN &amp; ALAMAT'!$B$8:$E$149,4,0),"")</f>
        <v>Pengumpul Tol Utama GT. Muktiharjo</v>
      </c>
      <c r="F123" s="411" t="s">
        <v>18</v>
      </c>
      <c r="G123" s="411" t="s">
        <v>19</v>
      </c>
      <c r="H123" s="411">
        <v>2</v>
      </c>
      <c r="I123" s="411">
        <v>2</v>
      </c>
      <c r="J123" s="411" t="s">
        <v>20</v>
      </c>
      <c r="K123" s="423" t="s">
        <v>174</v>
      </c>
      <c r="L123" s="413">
        <v>28104</v>
      </c>
      <c r="M123" s="422" t="str">
        <f t="shared" ca="1" si="17"/>
        <v>41.4</v>
      </c>
      <c r="N123" s="796" t="s">
        <v>741</v>
      </c>
      <c r="O123" s="413">
        <v>35807</v>
      </c>
      <c r="P123" s="422" t="str">
        <f t="shared" ca="1" si="15"/>
        <v>20.3</v>
      </c>
      <c r="Q123" s="413">
        <v>48558</v>
      </c>
      <c r="R123" s="414" t="s">
        <v>22</v>
      </c>
      <c r="S123" s="411" t="s">
        <v>35</v>
      </c>
      <c r="T123" s="411" t="s">
        <v>529</v>
      </c>
      <c r="U123" s="424" t="s">
        <v>1436</v>
      </c>
      <c r="V123" s="415" t="str">
        <f>VLOOKUP($B123,ALAMAT!$A$1:E440,4)</f>
        <v>Jl.anjasmoro VI/41 RT.007 RW.003 Karangayu Semarang Barat</v>
      </c>
    </row>
    <row r="124" spans="1:22" s="407" customFormat="1" ht="12.95" customHeight="1">
      <c r="A124" s="408">
        <v>117</v>
      </c>
      <c r="B124" s="821">
        <v>9534</v>
      </c>
      <c r="C124" s="410" t="s">
        <v>408</v>
      </c>
      <c r="D124" s="411" t="str">
        <f>IFERROR(VLOOKUP(B124,'DATA KARYAWAN &amp; ALAMAT'!$B$8:$E$149,3,0),"")</f>
        <v/>
      </c>
      <c r="E124" s="410" t="str">
        <f>IFERROR(VLOOKUP(B124,'DATA KARYAWAN &amp; ALAMAT'!$B$8:$E$149,4,0),"")</f>
        <v/>
      </c>
      <c r="F124" s="411" t="s">
        <v>18</v>
      </c>
      <c r="G124" s="411" t="s">
        <v>19</v>
      </c>
      <c r="H124" s="411">
        <v>3</v>
      </c>
      <c r="I124" s="411">
        <v>2</v>
      </c>
      <c r="J124" s="411" t="s">
        <v>20</v>
      </c>
      <c r="K124" s="423" t="s">
        <v>21</v>
      </c>
      <c r="L124" s="413">
        <v>27258</v>
      </c>
      <c r="M124" s="422" t="str">
        <f t="shared" ca="1" si="17"/>
        <v>43.8</v>
      </c>
      <c r="N124" s="796" t="s">
        <v>743</v>
      </c>
      <c r="O124" s="413">
        <v>35807</v>
      </c>
      <c r="P124" s="422" t="str">
        <f t="shared" ref="P124:P126" ca="1" si="18">DATEDIF(O124,TODAY(),"Y") &amp; "." &amp;DATEDIF(O124,TODAY(),"YM")</f>
        <v>20.3</v>
      </c>
      <c r="Q124" s="413">
        <v>47712</v>
      </c>
      <c r="R124" s="414" t="s">
        <v>22</v>
      </c>
      <c r="S124" s="411" t="s">
        <v>38</v>
      </c>
      <c r="T124" s="411" t="s">
        <v>529</v>
      </c>
      <c r="U124" s="424" t="s">
        <v>55</v>
      </c>
      <c r="V124" s="415" t="str">
        <f>VLOOKUP($B124,ALAMAT!$A$1:E441,4)</f>
        <v>Jl kaliwiru VI No 459 RT 06 Rw 02Candisari Semarang</v>
      </c>
    </row>
    <row r="125" spans="1:22" s="407" customFormat="1" ht="12" customHeight="1">
      <c r="A125" s="421">
        <v>118</v>
      </c>
      <c r="B125" s="821">
        <v>9535</v>
      </c>
      <c r="C125" s="410" t="s">
        <v>501</v>
      </c>
      <c r="D125" s="411" t="str">
        <f>IFERROR(VLOOKUP(B125,'DATA KARYAWAN &amp; ALAMAT'!$B$8:$E$149,3,0),"")</f>
        <v>O3.B</v>
      </c>
      <c r="E125" s="410" t="str">
        <f>IFERROR(VLOOKUP(B125,'DATA KARYAWAN &amp; ALAMAT'!$B$8:$E$149,4,0),"")</f>
        <v>Pengumpul Tol Utama GT. Muktiharjo</v>
      </c>
      <c r="F125" s="411" t="s">
        <v>18</v>
      </c>
      <c r="G125" s="411" t="s">
        <v>19</v>
      </c>
      <c r="H125" s="411">
        <v>2</v>
      </c>
      <c r="I125" s="411">
        <v>2</v>
      </c>
      <c r="J125" s="411" t="s">
        <v>20</v>
      </c>
      <c r="K125" s="423" t="s">
        <v>21</v>
      </c>
      <c r="L125" s="413">
        <v>26715</v>
      </c>
      <c r="M125" s="422" t="str">
        <f t="shared" ca="1" si="17"/>
        <v>45.2</v>
      </c>
      <c r="N125" s="796" t="s">
        <v>745</v>
      </c>
      <c r="O125" s="413">
        <v>35807</v>
      </c>
      <c r="P125" s="422" t="str">
        <f t="shared" ca="1" si="18"/>
        <v>20.3</v>
      </c>
      <c r="Q125" s="413">
        <v>47169</v>
      </c>
      <c r="R125" s="414" t="s">
        <v>22</v>
      </c>
      <c r="S125" s="411" t="s">
        <v>35</v>
      </c>
      <c r="T125" s="411" t="s">
        <v>529</v>
      </c>
      <c r="U125" s="424" t="s">
        <v>1604</v>
      </c>
      <c r="V125" s="415" t="str">
        <f>VLOOKUP($B125,ALAMAT!$A$1:E442,4)</f>
        <v>Jl. Sriyatno Dalam no.20 RT.006 RW.004 Purwoyoso Ngaliyan Semarang</v>
      </c>
    </row>
    <row r="126" spans="1:22" s="407" customFormat="1" ht="12.95" customHeight="1">
      <c r="A126" s="408">
        <v>119</v>
      </c>
      <c r="B126" s="821">
        <v>9543</v>
      </c>
      <c r="C126" s="410" t="s">
        <v>416</v>
      </c>
      <c r="D126" s="411" t="str">
        <f>IFERROR(VLOOKUP(B126,'DATA KARYAWAN &amp; ALAMAT'!$B$8:$E$149,3,0),"")</f>
        <v>O3.B</v>
      </c>
      <c r="E126" s="410" t="str">
        <f>IFERROR(VLOOKUP(B126,'DATA KARYAWAN &amp; ALAMAT'!$B$8:$E$149,4,0),"")</f>
        <v>Pengumpul Tol Utama GT. Muktiharjo</v>
      </c>
      <c r="F126" s="411" t="s">
        <v>18</v>
      </c>
      <c r="G126" s="411" t="s">
        <v>19</v>
      </c>
      <c r="H126" s="411">
        <v>2</v>
      </c>
      <c r="I126" s="411">
        <v>2</v>
      </c>
      <c r="J126" s="411" t="s">
        <v>20</v>
      </c>
      <c r="K126" s="423" t="s">
        <v>21</v>
      </c>
      <c r="L126" s="413">
        <v>27728</v>
      </c>
      <c r="M126" s="422" t="str">
        <f t="shared" ca="1" si="17"/>
        <v>42.5</v>
      </c>
      <c r="N126" s="796" t="s">
        <v>742</v>
      </c>
      <c r="O126" s="413">
        <v>35807</v>
      </c>
      <c r="P126" s="422" t="str">
        <f t="shared" ca="1" si="18"/>
        <v>20.3</v>
      </c>
      <c r="Q126" s="413">
        <v>48182</v>
      </c>
      <c r="R126" s="414" t="s">
        <v>22</v>
      </c>
      <c r="S126" s="411" t="s">
        <v>35</v>
      </c>
      <c r="T126" s="411" t="s">
        <v>529</v>
      </c>
      <c r="U126" s="424" t="s">
        <v>1451</v>
      </c>
      <c r="V126" s="415" t="str">
        <f>VLOOKUP($B126,ALAMAT!$A$1:E448,4)</f>
        <v>JL.Tusam Timur 14B RT.002 RW.001 pedalangan Banyumanik Semarang</v>
      </c>
    </row>
    <row r="127" spans="1:22" s="407" customFormat="1" ht="12.95" customHeight="1">
      <c r="A127" s="421">
        <v>120</v>
      </c>
      <c r="B127" s="821">
        <v>4626</v>
      </c>
      <c r="C127" s="410" t="s">
        <v>436</v>
      </c>
      <c r="D127" s="411" t="str">
        <f>IFERROR(VLOOKUP(B127,'DATA KARYAWAN &amp; ALAMAT'!$B$8:$E$149,3,0),"")</f>
        <v>O2.C</v>
      </c>
      <c r="E127" s="410" t="str">
        <f>IFERROR(VLOOKUP(B127,'DATA KARYAWAN &amp; ALAMAT'!$B$8:$E$149,4,0),"")</f>
        <v>Kepala Shift Pul. Tol GT. Muktiharjo</v>
      </c>
      <c r="F127" s="411" t="s">
        <v>18</v>
      </c>
      <c r="G127" s="411" t="s">
        <v>19</v>
      </c>
      <c r="H127" s="411">
        <v>3</v>
      </c>
      <c r="I127" s="411">
        <v>3</v>
      </c>
      <c r="J127" s="411" t="s">
        <v>20</v>
      </c>
      <c r="K127" s="423" t="s">
        <v>21</v>
      </c>
      <c r="L127" s="413">
        <v>23439</v>
      </c>
      <c r="M127" s="422" t="str">
        <f t="shared" ca="1" si="17"/>
        <v>54.1</v>
      </c>
      <c r="N127" s="796" t="s">
        <v>754</v>
      </c>
      <c r="O127" s="413">
        <v>32025</v>
      </c>
      <c r="P127" s="422" t="str">
        <f t="shared" ref="P127:P134" ca="1" si="19">DATEDIF(O127,TODAY(),"Y") &amp; "." &amp;DATEDIF(O127,TODAY(),"YM")</f>
        <v>30.7</v>
      </c>
      <c r="Q127" s="413">
        <v>43893</v>
      </c>
      <c r="R127" s="414" t="s">
        <v>22</v>
      </c>
      <c r="S127" s="411" t="s">
        <v>35</v>
      </c>
      <c r="T127" s="411" t="s">
        <v>23</v>
      </c>
      <c r="U127" s="418" t="s">
        <v>55</v>
      </c>
      <c r="V127" s="415" t="str">
        <f>VLOOKUP($B127,ALAMAT!$A$1:E463,4)</f>
        <v xml:space="preserve">Bukit Cempaka III Blok C no.203 RT.001 RW.021 Sendangmulyo </v>
      </c>
    </row>
    <row r="128" spans="1:22" s="407" customFormat="1" ht="12.95" customHeight="1">
      <c r="A128" s="408">
        <v>121</v>
      </c>
      <c r="B128" s="821">
        <v>4629</v>
      </c>
      <c r="C128" s="410" t="s">
        <v>438</v>
      </c>
      <c r="D128" s="411" t="str">
        <f>IFERROR(VLOOKUP(B128,'DATA KARYAWAN &amp; ALAMAT'!$B$8:$E$149,3,0),"")</f>
        <v>O2.C</v>
      </c>
      <c r="E128" s="410" t="str">
        <f>IFERROR(VLOOKUP(B128,'DATA KARYAWAN &amp; ALAMAT'!$B$8:$E$149,4,0),"")</f>
        <v>Kepala Shift Pul. Tol GT. Muktiharjo</v>
      </c>
      <c r="F128" s="411" t="s">
        <v>18</v>
      </c>
      <c r="G128" s="411" t="s">
        <v>19</v>
      </c>
      <c r="H128" s="411">
        <v>2</v>
      </c>
      <c r="I128" s="411">
        <v>2</v>
      </c>
      <c r="J128" s="411" t="s">
        <v>20</v>
      </c>
      <c r="K128" s="423" t="s">
        <v>368</v>
      </c>
      <c r="L128" s="413">
        <v>24236</v>
      </c>
      <c r="M128" s="422" t="str">
        <f t="shared" ca="1" si="17"/>
        <v>51.11</v>
      </c>
      <c r="N128" s="796" t="s">
        <v>752</v>
      </c>
      <c r="O128" s="413">
        <v>32025</v>
      </c>
      <c r="P128" s="422" t="str">
        <f t="shared" ca="1" si="19"/>
        <v>30.7</v>
      </c>
      <c r="Q128" s="413">
        <v>44690</v>
      </c>
      <c r="R128" s="414" t="s">
        <v>19</v>
      </c>
      <c r="S128" s="411" t="s">
        <v>32</v>
      </c>
      <c r="T128" s="411" t="s">
        <v>23</v>
      </c>
      <c r="U128" s="418" t="s">
        <v>55</v>
      </c>
      <c r="V128" s="415" t="str">
        <f>VLOOKUP($B128,ALAMAT!$A$1:E410,4)</f>
        <v>Jl Wonodri Krajan II/454-A Rt05 Rw 01 Wonodri Semarang</v>
      </c>
    </row>
    <row r="129" spans="1:22" s="8" customFormat="1" ht="12.95" customHeight="1">
      <c r="A129" s="421">
        <v>122</v>
      </c>
      <c r="B129" s="817">
        <v>7502</v>
      </c>
      <c r="C129" s="410" t="s">
        <v>330</v>
      </c>
      <c r="D129" s="411" t="str">
        <f>IFERROR(VLOOKUP(B129,'DATA KARYAWAN &amp; ALAMAT'!$B$8:$E$149,3,0),"")</f>
        <v>O2.B</v>
      </c>
      <c r="E129" s="410" t="str">
        <f>IFERROR(VLOOKUP(B129,'DATA KARYAWAN &amp; ALAMAT'!$B$8:$E$149,4,0),"")</f>
        <v>Kepala Shift Pul. Tol GT. Manyaran</v>
      </c>
      <c r="F129" s="411" t="s">
        <v>18</v>
      </c>
      <c r="G129" s="411" t="s">
        <v>19</v>
      </c>
      <c r="H129" s="411">
        <v>3</v>
      </c>
      <c r="I129" s="411">
        <v>3</v>
      </c>
      <c r="J129" s="411" t="s">
        <v>20</v>
      </c>
      <c r="K129" s="423" t="s">
        <v>58</v>
      </c>
      <c r="L129" s="413">
        <v>26728</v>
      </c>
      <c r="M129" s="422" t="str">
        <f t="shared" ca="1" si="17"/>
        <v>45.1</v>
      </c>
      <c r="N129" s="796" t="s">
        <v>745</v>
      </c>
      <c r="O129" s="413">
        <v>34608</v>
      </c>
      <c r="P129" s="422" t="str">
        <f t="shared" ca="1" si="19"/>
        <v>23.6</v>
      </c>
      <c r="Q129" s="413">
        <v>46817</v>
      </c>
      <c r="R129" s="414" t="s">
        <v>22</v>
      </c>
      <c r="S129" s="411" t="s">
        <v>35</v>
      </c>
      <c r="T129" s="411" t="s">
        <v>529</v>
      </c>
      <c r="U129" s="409" t="s">
        <v>116</v>
      </c>
      <c r="V129" s="415" t="str">
        <f>VLOOKUP($B129,ALAMAT!$A$1:E450,4)</f>
        <v>Randusari RT.005 RW.005 Tambak Mojosongo Boyolali</v>
      </c>
    </row>
    <row r="130" spans="1:22" s="407" customFormat="1" ht="12.95" customHeight="1">
      <c r="A130" s="408">
        <v>123</v>
      </c>
      <c r="B130" s="817">
        <v>6005</v>
      </c>
      <c r="C130" s="410" t="s">
        <v>263</v>
      </c>
      <c r="D130" s="411" t="str">
        <f>IFERROR(VLOOKUP(B130,'DATA KARYAWAN &amp; ALAMAT'!$B$8:$E$149,3,0),"")</f>
        <v>O2.C</v>
      </c>
      <c r="E130" s="410" t="str">
        <f>IFERROR(VLOOKUP(B130,'DATA KARYAWAN &amp; ALAMAT'!$B$8:$E$149,4,0),"")</f>
        <v>Kepala Shift Pul. Tol GT. Muktiharjo</v>
      </c>
      <c r="F130" s="411" t="s">
        <v>18</v>
      </c>
      <c r="G130" s="411" t="s">
        <v>19</v>
      </c>
      <c r="H130" s="411">
        <v>2</v>
      </c>
      <c r="I130" s="411">
        <v>2</v>
      </c>
      <c r="J130" s="411" t="s">
        <v>20</v>
      </c>
      <c r="K130" s="423" t="s">
        <v>21</v>
      </c>
      <c r="L130" s="413">
        <v>24811</v>
      </c>
      <c r="M130" s="422" t="str">
        <f t="shared" ca="1" si="17"/>
        <v>50.4</v>
      </c>
      <c r="N130" s="796" t="s">
        <v>750</v>
      </c>
      <c r="O130" s="413">
        <v>33030</v>
      </c>
      <c r="P130" s="422" t="str">
        <f t="shared" ca="1" si="19"/>
        <v>27.10</v>
      </c>
      <c r="Q130" s="413">
        <v>45265</v>
      </c>
      <c r="R130" s="414" t="s">
        <v>22</v>
      </c>
      <c r="S130" s="411" t="s">
        <v>38</v>
      </c>
      <c r="T130" s="411" t="s">
        <v>529</v>
      </c>
      <c r="U130" s="409" t="s">
        <v>291</v>
      </c>
      <c r="V130" s="415" t="str">
        <f>VLOOKUP($B130,ALAMAT!$A$1:E454,4)</f>
        <v>Wonodri Kopen Timur III/7 RT.007  RW.004 Wonodri Semarang Selatan</v>
      </c>
    </row>
    <row r="131" spans="1:22" s="407" customFormat="1" ht="12.95" customHeight="1">
      <c r="A131" s="421">
        <v>124</v>
      </c>
      <c r="B131" s="821">
        <v>7693</v>
      </c>
      <c r="C131" s="410" t="s">
        <v>340</v>
      </c>
      <c r="D131" s="411" t="str">
        <f>IFERROR(VLOOKUP(B131,'DATA KARYAWAN &amp; ALAMAT'!$B$8:$E$149,3,0),"")</f>
        <v>O2.B</v>
      </c>
      <c r="E131" s="410" t="str">
        <f>IFERROR(VLOOKUP(B131,'DATA KARYAWAN &amp; ALAMAT'!$B$8:$E$149,4,0),"")</f>
        <v>Kepala Shift Pul. Tol GT. Manyaran</v>
      </c>
      <c r="F131" s="411" t="s">
        <v>18</v>
      </c>
      <c r="G131" s="411" t="s">
        <v>19</v>
      </c>
      <c r="H131" s="411">
        <v>2</v>
      </c>
      <c r="I131" s="411">
        <v>2</v>
      </c>
      <c r="J131" s="411" t="s">
        <v>20</v>
      </c>
      <c r="K131" s="423" t="s">
        <v>96</v>
      </c>
      <c r="L131" s="413">
        <v>26528</v>
      </c>
      <c r="M131" s="422" t="str">
        <f t="shared" ca="1" si="17"/>
        <v>45.8</v>
      </c>
      <c r="N131" s="796" t="s">
        <v>743</v>
      </c>
      <c r="O131" s="413">
        <v>34648</v>
      </c>
      <c r="P131" s="422" t="str">
        <f t="shared" ca="1" si="19"/>
        <v>23.5</v>
      </c>
      <c r="Q131" s="413">
        <v>46982</v>
      </c>
      <c r="R131" s="414" t="s">
        <v>22</v>
      </c>
      <c r="S131" s="411" t="s">
        <v>38</v>
      </c>
      <c r="T131" s="411" t="s">
        <v>23</v>
      </c>
      <c r="U131" s="424" t="s">
        <v>120</v>
      </c>
      <c r="V131" s="415" t="str">
        <f>VLOOKUP($B131,ALAMAT!$A$1:E458,4)</f>
        <v>Jl.Seudati II Blok C12 P.4A RT.004 RW.011 Pudakpayung BanyumanikSemarang</v>
      </c>
    </row>
    <row r="132" spans="1:22" s="8" customFormat="1" ht="12.95" customHeight="1">
      <c r="A132" s="408">
        <v>125</v>
      </c>
      <c r="B132" s="821">
        <v>8745</v>
      </c>
      <c r="C132" s="410" t="s">
        <v>374</v>
      </c>
      <c r="D132" s="411" t="str">
        <f>IFERROR(VLOOKUP(B132,'DATA KARYAWAN &amp; ALAMAT'!$B$8:$E$149,3,0),"")</f>
        <v>O2.B</v>
      </c>
      <c r="E132" s="410" t="str">
        <f>IFERROR(VLOOKUP(B132,'DATA KARYAWAN &amp; ALAMAT'!$B$8:$E$149,4,0),"")</f>
        <v>Kepala Shift Pul. Tol GT. Manyaran</v>
      </c>
      <c r="F132" s="411" t="s">
        <v>18</v>
      </c>
      <c r="G132" s="411" t="s">
        <v>19</v>
      </c>
      <c r="H132" s="411">
        <v>2</v>
      </c>
      <c r="I132" s="411">
        <v>2</v>
      </c>
      <c r="J132" s="411" t="s">
        <v>20</v>
      </c>
      <c r="K132" s="423" t="s">
        <v>174</v>
      </c>
      <c r="L132" s="413">
        <v>27529</v>
      </c>
      <c r="M132" s="422" t="str">
        <f t="shared" ca="1" si="17"/>
        <v>42.11</v>
      </c>
      <c r="N132" s="796" t="s">
        <v>743</v>
      </c>
      <c r="O132" s="413">
        <v>35241</v>
      </c>
      <c r="P132" s="422" t="str">
        <f t="shared" ca="1" si="19"/>
        <v>21.10</v>
      </c>
      <c r="Q132" s="413">
        <v>47983</v>
      </c>
      <c r="R132" s="414" t="s">
        <v>22</v>
      </c>
      <c r="S132" s="411" t="s">
        <v>32</v>
      </c>
      <c r="T132" s="411" t="s">
        <v>23</v>
      </c>
      <c r="U132" s="429" t="s">
        <v>116</v>
      </c>
      <c r="V132" s="415" t="str">
        <f>VLOOKUP($B132,ALAMAT!$A$1:E468,4)</f>
        <v>Perum P4 A Bl C1 No 20 Rt 10 Rw 11 Pudakpayung Banyumanik semarang</v>
      </c>
    </row>
    <row r="133" spans="1:22" s="407" customFormat="1" ht="12.95" customHeight="1">
      <c r="A133" s="421">
        <v>126</v>
      </c>
      <c r="B133" s="821">
        <v>7672</v>
      </c>
      <c r="C133" s="410" t="s">
        <v>271</v>
      </c>
      <c r="D133" s="411" t="str">
        <f>IFERROR(VLOOKUP(B133,'DATA KARYAWAN &amp; ALAMAT'!$B$8:$E$149,3,0),"")</f>
        <v>O2.C</v>
      </c>
      <c r="E133" s="410" t="str">
        <f>IFERROR(VLOOKUP(B133,'DATA KARYAWAN &amp; ALAMAT'!$B$8:$E$149,4,0),"")</f>
        <v>Kepala Shift Pul. Tol GT. Muktiharjo</v>
      </c>
      <c r="F133" s="411" t="s">
        <v>18</v>
      </c>
      <c r="G133" s="411" t="s">
        <v>19</v>
      </c>
      <c r="H133" s="411">
        <v>2</v>
      </c>
      <c r="I133" s="411">
        <v>2</v>
      </c>
      <c r="J133" s="411" t="s">
        <v>20</v>
      </c>
      <c r="K133" s="423" t="s">
        <v>96</v>
      </c>
      <c r="L133" s="413">
        <v>26113</v>
      </c>
      <c r="M133" s="422" t="str">
        <f t="shared" ref="M133:M135" ca="1" si="20">DATEDIF(L133,TODAY(),"Y") &amp; "." &amp;DATEDIF(L133,TODAY(),"YM")</f>
        <v>46.10</v>
      </c>
      <c r="N133" s="796" t="s">
        <v>747</v>
      </c>
      <c r="O133" s="413">
        <v>34648</v>
      </c>
      <c r="P133" s="422" t="str">
        <f t="shared" ca="1" si="19"/>
        <v>23.5</v>
      </c>
      <c r="Q133" s="413">
        <v>46567</v>
      </c>
      <c r="R133" s="414" t="s">
        <v>22</v>
      </c>
      <c r="S133" s="411" t="s">
        <v>35</v>
      </c>
      <c r="T133" s="411" t="s">
        <v>23</v>
      </c>
      <c r="U133" s="418" t="s">
        <v>55</v>
      </c>
      <c r="V133" s="415" t="str">
        <f>VLOOKUP($B133,ALAMAT!$A$1:E440,4)</f>
        <v>Jl.Medoho Ria no.33 RT.001 RW.005 Sambirejo GayamsariSemarang</v>
      </c>
    </row>
    <row r="134" spans="1:22" s="407" customFormat="1" ht="12.95" customHeight="1">
      <c r="A134" s="408">
        <v>127</v>
      </c>
      <c r="B134" s="817">
        <v>9667</v>
      </c>
      <c r="C134" s="410" t="s">
        <v>448</v>
      </c>
      <c r="D134" s="411" t="str">
        <f>IFERROR(VLOOKUP(B134,'DATA KARYAWAN &amp; ALAMAT'!$B$8:$E$149,3,0),"")</f>
        <v>O2.B</v>
      </c>
      <c r="E134" s="410" t="str">
        <f>IFERROR(VLOOKUP(B134,'DATA KARYAWAN &amp; ALAMAT'!$B$8:$E$149,4,0),"")</f>
        <v>Kepala Shift Pul. Tol GT. Manyaran</v>
      </c>
      <c r="F134" s="411" t="s">
        <v>18</v>
      </c>
      <c r="G134" s="411" t="s">
        <v>19</v>
      </c>
      <c r="H134" s="411">
        <v>2</v>
      </c>
      <c r="I134" s="411">
        <v>2</v>
      </c>
      <c r="J134" s="411" t="s">
        <v>20</v>
      </c>
      <c r="K134" s="423" t="s">
        <v>382</v>
      </c>
      <c r="L134" s="413">
        <v>28920</v>
      </c>
      <c r="M134" s="422" t="str">
        <f t="shared" ca="1" si="20"/>
        <v>39.1</v>
      </c>
      <c r="N134" s="796" t="s">
        <v>739</v>
      </c>
      <c r="O134" s="413">
        <v>35950</v>
      </c>
      <c r="P134" s="422" t="str">
        <f t="shared" ca="1" si="19"/>
        <v>19.10</v>
      </c>
      <c r="Q134" s="413">
        <v>49374</v>
      </c>
      <c r="R134" s="414" t="s">
        <v>22</v>
      </c>
      <c r="S134" s="411" t="s">
        <v>32</v>
      </c>
      <c r="T134" s="411" t="s">
        <v>23</v>
      </c>
      <c r="U134" s="418" t="s">
        <v>55</v>
      </c>
      <c r="V134" s="415" t="str">
        <f>VLOOKUP($B134,ALAMAT!$A$1:E457,4)</f>
        <v>Perum Griya Payung Asri Kav.64 RT.001 RW.016 Pudak Payung Banyumanik Semarang</v>
      </c>
    </row>
    <row r="135" spans="1:22" s="407" customFormat="1" ht="12.95" customHeight="1">
      <c r="A135" s="421">
        <v>128</v>
      </c>
      <c r="B135" s="821">
        <v>4638</v>
      </c>
      <c r="C135" s="410" t="s">
        <v>278</v>
      </c>
      <c r="D135" s="411">
        <f>IFERROR(VLOOKUP(B135,'DATA KARYAWAN &amp; ALAMAT'!$B$8:$E$149,3,0),"")</f>
        <v>5</v>
      </c>
      <c r="E135" s="410" t="str">
        <f>IFERROR(VLOOKUP(B135,'DATA KARYAWAN &amp; ALAMAT'!$B$8:$E$149,4,0),"")</f>
        <v>Toll Gate Officer</v>
      </c>
      <c r="F135" s="411" t="s">
        <v>18</v>
      </c>
      <c r="G135" s="411" t="s">
        <v>19</v>
      </c>
      <c r="H135" s="411">
        <v>2</v>
      </c>
      <c r="I135" s="411">
        <v>2</v>
      </c>
      <c r="J135" s="411" t="s">
        <v>31</v>
      </c>
      <c r="K135" s="423" t="s">
        <v>21</v>
      </c>
      <c r="L135" s="413">
        <v>23955</v>
      </c>
      <c r="M135" s="422" t="str">
        <f t="shared" ca="1" si="20"/>
        <v>52.8</v>
      </c>
      <c r="N135" s="796" t="s">
        <v>752</v>
      </c>
      <c r="O135" s="413">
        <v>32025</v>
      </c>
      <c r="P135" s="422" t="str">
        <f ca="1">DATEDIF(O135,TODAY(),"Y") &amp; "." &amp;DATEDIF(O135,TODAY(),"YM")</f>
        <v>30.7</v>
      </c>
      <c r="Q135" s="413">
        <v>44409</v>
      </c>
      <c r="R135" s="414" t="s">
        <v>22</v>
      </c>
      <c r="S135" s="411" t="s">
        <v>35</v>
      </c>
      <c r="T135" s="411" t="s">
        <v>529</v>
      </c>
      <c r="U135" s="418" t="s">
        <v>291</v>
      </c>
      <c r="V135" s="415" t="str">
        <f>VLOOKUP($B135,ALAMAT!$A$1:E364,4)</f>
        <v>Jl.Karangrejo V, Karangrejo Asri B3  RT.003 Rw.003 Banyumanik,  Semarang</v>
      </c>
    </row>
    <row r="136" spans="1:22" s="407" customFormat="1" ht="12.95" customHeight="1">
      <c r="A136" s="421"/>
      <c r="B136" s="409"/>
      <c r="C136" s="410"/>
      <c r="D136" s="409"/>
      <c r="E136" s="410"/>
      <c r="F136" s="411"/>
      <c r="G136" s="411"/>
      <c r="H136" s="411"/>
      <c r="I136" s="411"/>
      <c r="J136" s="411"/>
      <c r="K136" s="423"/>
      <c r="L136" s="413"/>
      <c r="M136" s="422"/>
      <c r="N136" s="439"/>
      <c r="O136" s="413"/>
      <c r="P136" s="422"/>
      <c r="Q136" s="413"/>
      <c r="R136" s="414"/>
      <c r="S136" s="411"/>
      <c r="T136" s="411"/>
      <c r="U136" s="424"/>
      <c r="V136" s="415"/>
    </row>
    <row r="137" spans="1:22" s="407" customFormat="1" ht="12.95" customHeight="1">
      <c r="A137" s="421"/>
      <c r="B137" s="409"/>
      <c r="C137" s="410"/>
      <c r="D137" s="409"/>
      <c r="E137" s="410"/>
      <c r="F137" s="411"/>
      <c r="G137" s="411"/>
      <c r="H137" s="411"/>
      <c r="I137" s="411"/>
      <c r="J137" s="411"/>
      <c r="K137" s="423"/>
      <c r="L137" s="413"/>
      <c r="M137" s="422"/>
      <c r="N137" s="439"/>
      <c r="O137" s="413"/>
      <c r="P137" s="422"/>
      <c r="Q137" s="413"/>
      <c r="R137" s="414"/>
      <c r="S137" s="411"/>
      <c r="T137" s="411"/>
      <c r="U137" s="424"/>
      <c r="V137" s="415"/>
    </row>
    <row r="138" spans="1:22" s="407" customFormat="1" ht="12.95" customHeight="1">
      <c r="A138" s="442">
        <f>A135</f>
        <v>128</v>
      </c>
      <c r="B138" s="303" t="s">
        <v>769</v>
      </c>
      <c r="C138" s="303"/>
      <c r="D138" s="303"/>
      <c r="E138" s="303"/>
      <c r="F138" s="303"/>
      <c r="G138" s="303"/>
      <c r="H138" s="443"/>
      <c r="I138" s="443"/>
      <c r="J138" s="303"/>
      <c r="K138" s="303"/>
      <c r="L138" s="304"/>
      <c r="M138" s="314"/>
      <c r="N138" s="314"/>
      <c r="O138" s="304"/>
      <c r="P138" s="304"/>
      <c r="Q138" s="304"/>
      <c r="R138" s="303"/>
      <c r="S138" s="303"/>
      <c r="T138" s="303"/>
      <c r="U138" s="305"/>
      <c r="V138" s="306"/>
    </row>
    <row r="139" spans="1:22" s="446" customFormat="1" ht="12.95" customHeight="1">
      <c r="A139" s="444"/>
      <c r="B139" s="307"/>
      <c r="C139" s="307"/>
      <c r="D139" s="307"/>
      <c r="E139" s="307"/>
      <c r="F139" s="307"/>
      <c r="G139" s="307"/>
      <c r="H139" s="445">
        <f ca="1">SUM(H8:H138)</f>
        <v>354</v>
      </c>
      <c r="I139" s="445">
        <f ca="1">SUM(I8:I138)</f>
        <v>320</v>
      </c>
      <c r="J139" s="307"/>
      <c r="K139" s="307"/>
      <c r="L139" s="308"/>
      <c r="M139" s="315"/>
      <c r="N139" s="315"/>
      <c r="O139" s="308"/>
      <c r="P139" s="308"/>
      <c r="Q139" s="308"/>
      <c r="R139" s="309"/>
      <c r="S139" s="307"/>
      <c r="T139" s="307"/>
      <c r="U139" s="309"/>
      <c r="V139" s="310"/>
    </row>
    <row r="140" spans="1:22" s="446" customFormat="1" ht="12.95" customHeight="1">
      <c r="A140" s="447"/>
      <c r="B140" s="7"/>
      <c r="C140" s="7"/>
      <c r="D140" s="7"/>
      <c r="E140" s="7"/>
      <c r="F140" s="7"/>
      <c r="G140" s="7"/>
      <c r="H140" s="36"/>
      <c r="I140" s="36"/>
      <c r="J140" s="7"/>
      <c r="K140" s="7"/>
      <c r="L140" s="35"/>
      <c r="M140" s="448"/>
      <c r="N140" s="448"/>
      <c r="O140" s="35"/>
      <c r="P140" s="35"/>
      <c r="Q140" s="35"/>
      <c r="R140" s="29"/>
      <c r="S140" s="7"/>
      <c r="T140" s="7"/>
      <c r="U140" s="29"/>
      <c r="V140" s="7"/>
    </row>
    <row r="141" spans="1:22" s="407" customFormat="1" ht="12.95" customHeight="1">
      <c r="A141" s="3"/>
      <c r="B141" s="3"/>
      <c r="C141" s="3"/>
      <c r="D141" s="3"/>
      <c r="E141" s="3"/>
      <c r="F141" s="3"/>
      <c r="G141" s="3"/>
      <c r="H141" s="449"/>
      <c r="I141" s="3"/>
      <c r="J141" s="3"/>
      <c r="K141" s="3"/>
      <c r="L141" s="450"/>
      <c r="M141" s="34"/>
      <c r="N141" s="34"/>
      <c r="O141" s="450"/>
      <c r="P141" s="450"/>
      <c r="Q141" s="450"/>
      <c r="R141" s="3"/>
      <c r="S141" s="3"/>
      <c r="T141" s="3"/>
      <c r="U141" s="1"/>
      <c r="V141" s="784" t="s">
        <v>2808</v>
      </c>
    </row>
    <row r="142" spans="1:22" s="407" customFormat="1" ht="12.95" customHeight="1">
      <c r="A142" s="3"/>
      <c r="B142" s="3"/>
      <c r="C142" s="3"/>
      <c r="D142" s="3"/>
      <c r="E142" s="784" t="s">
        <v>512</v>
      </c>
      <c r="F142" s="3"/>
      <c r="G142" s="3"/>
      <c r="H142" s="3"/>
      <c r="I142" s="3"/>
      <c r="J142" s="3"/>
      <c r="K142" s="3"/>
      <c r="L142" s="450"/>
      <c r="M142" s="34"/>
      <c r="N142" s="34"/>
      <c r="O142" s="450"/>
      <c r="P142" s="450"/>
      <c r="Q142" s="450"/>
      <c r="R142" s="3"/>
      <c r="S142" s="3"/>
      <c r="T142" s="3"/>
      <c r="U142" s="1"/>
      <c r="V142" s="784"/>
    </row>
    <row r="143" spans="1:22" s="407" customFormat="1" ht="12.95" customHeight="1">
      <c r="A143" s="3"/>
      <c r="B143" s="3"/>
      <c r="C143" s="3"/>
      <c r="D143" s="3"/>
      <c r="E143" s="784" t="s">
        <v>676</v>
      </c>
      <c r="F143" s="3"/>
      <c r="G143" s="3"/>
      <c r="H143" s="3"/>
      <c r="I143" s="3"/>
      <c r="J143" s="3"/>
      <c r="K143" s="3"/>
      <c r="L143" s="450"/>
      <c r="M143" s="451"/>
      <c r="N143" s="451"/>
      <c r="O143" s="450"/>
      <c r="P143" s="450"/>
      <c r="Q143" s="450"/>
      <c r="R143" s="3"/>
      <c r="S143" s="3"/>
      <c r="T143" s="3"/>
      <c r="U143" s="1"/>
      <c r="V143" s="784" t="s">
        <v>2524</v>
      </c>
    </row>
    <row r="144" spans="1:22" s="407" customFormat="1" ht="12.95" customHeight="1">
      <c r="A144" s="3"/>
      <c r="B144" s="3"/>
      <c r="C144" s="3"/>
      <c r="D144" s="3"/>
      <c r="E144" s="784"/>
      <c r="F144" s="3"/>
      <c r="G144" s="3"/>
      <c r="H144" s="3"/>
      <c r="I144" s="3"/>
      <c r="J144" s="3"/>
      <c r="K144" s="3"/>
      <c r="L144" s="450"/>
      <c r="M144" s="34"/>
      <c r="N144" s="34"/>
      <c r="O144" s="450"/>
      <c r="P144" s="450"/>
      <c r="Q144" s="450"/>
      <c r="R144" s="3"/>
      <c r="S144" s="3"/>
      <c r="T144" s="3"/>
      <c r="U144" s="1"/>
      <c r="V144" s="784"/>
    </row>
    <row r="145" spans="1:22" s="407" customFormat="1" ht="12.95" customHeight="1">
      <c r="A145" s="3"/>
      <c r="B145" s="3"/>
      <c r="C145" s="3"/>
      <c r="D145" s="3"/>
      <c r="E145" s="784"/>
      <c r="F145" s="3"/>
      <c r="G145" s="3"/>
      <c r="H145" s="3"/>
      <c r="I145" s="3"/>
      <c r="J145" s="3"/>
      <c r="K145" s="3"/>
      <c r="L145" s="450"/>
      <c r="M145" s="34"/>
      <c r="N145" s="34"/>
      <c r="O145" s="450"/>
      <c r="P145" s="450"/>
      <c r="Q145" s="450"/>
      <c r="R145" s="3"/>
      <c r="S145" s="3"/>
      <c r="T145" s="3"/>
      <c r="U145" s="1"/>
      <c r="V145" s="784"/>
    </row>
    <row r="146" spans="1:22" s="407" customFormat="1" ht="12.95" customHeight="1">
      <c r="A146" s="3"/>
      <c r="B146" s="3"/>
      <c r="C146" s="3"/>
      <c r="D146" s="3"/>
      <c r="E146" s="784"/>
      <c r="F146" s="3"/>
      <c r="G146" s="3"/>
      <c r="H146" s="3"/>
      <c r="I146" s="3"/>
      <c r="J146" s="3"/>
      <c r="K146" s="3"/>
      <c r="L146" s="450"/>
      <c r="M146" s="34"/>
      <c r="N146" s="34"/>
      <c r="O146" s="450"/>
      <c r="P146" s="450"/>
      <c r="Q146" s="450"/>
      <c r="R146" s="3"/>
      <c r="S146" s="3"/>
      <c r="T146" s="3"/>
      <c r="U146" s="1"/>
      <c r="V146" s="784"/>
    </row>
    <row r="147" spans="1:22" s="407" customFormat="1" ht="12.95" customHeight="1">
      <c r="A147" s="3"/>
      <c r="B147" s="3"/>
      <c r="C147" s="3"/>
      <c r="D147" s="3"/>
      <c r="E147" s="783" t="s">
        <v>2434</v>
      </c>
      <c r="F147" s="3"/>
      <c r="G147" s="3"/>
      <c r="H147" s="3"/>
      <c r="I147" s="3"/>
      <c r="J147" s="3"/>
      <c r="K147" s="3"/>
      <c r="L147" s="450"/>
      <c r="M147" s="34"/>
      <c r="N147" s="34"/>
      <c r="O147" s="450"/>
      <c r="P147" s="450"/>
      <c r="Q147" s="450"/>
      <c r="R147" s="3"/>
      <c r="S147" s="3"/>
      <c r="T147" s="3"/>
      <c r="U147" s="1"/>
      <c r="V147" s="783" t="s">
        <v>2435</v>
      </c>
    </row>
    <row r="148" spans="1:22" s="407" customFormat="1" ht="12.95" customHeight="1">
      <c r="A148" s="3"/>
      <c r="B148" s="3"/>
      <c r="C148" s="3"/>
      <c r="D148" s="3"/>
      <c r="E148" s="784" t="s">
        <v>2437</v>
      </c>
      <c r="F148" s="3"/>
      <c r="G148" s="3"/>
      <c r="H148" s="3"/>
      <c r="I148" s="3"/>
      <c r="J148" s="3"/>
      <c r="K148" s="3"/>
      <c r="L148" s="450"/>
      <c r="M148" s="34"/>
      <c r="N148" s="34"/>
      <c r="O148" s="450"/>
      <c r="P148" s="450"/>
      <c r="Q148" s="450"/>
      <c r="R148" s="3"/>
      <c r="S148" s="3"/>
      <c r="T148" s="3"/>
      <c r="U148" s="1"/>
      <c r="V148" s="784" t="s">
        <v>2438</v>
      </c>
    </row>
    <row r="149" spans="1:22" s="407" customFormat="1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50"/>
      <c r="M149" s="34"/>
      <c r="N149" s="34"/>
      <c r="O149" s="450"/>
      <c r="P149" s="450"/>
      <c r="Q149" s="35"/>
      <c r="R149" s="3"/>
      <c r="S149" s="3"/>
      <c r="T149" s="3"/>
      <c r="U149" s="1"/>
      <c r="V149" s="3"/>
    </row>
    <row r="150" spans="1:22" s="407" customFormat="1" ht="16.5">
      <c r="B150" s="12"/>
      <c r="C150" s="27"/>
      <c r="D150" s="13"/>
      <c r="L150" s="453"/>
      <c r="M150" s="454"/>
      <c r="N150" s="454"/>
      <c r="O150" s="453"/>
      <c r="P150" s="453"/>
      <c r="Q150" s="453"/>
      <c r="U150" s="455"/>
    </row>
    <row r="151" spans="1:22" s="407" customFormat="1" ht="16.5">
      <c r="B151" s="12"/>
      <c r="C151" s="27"/>
      <c r="D151" s="13"/>
      <c r="L151" s="453"/>
      <c r="M151" s="454"/>
      <c r="N151" s="454"/>
      <c r="O151" s="453"/>
      <c r="P151" s="453"/>
      <c r="Q151" s="453"/>
      <c r="U151" s="455"/>
    </row>
    <row r="152" spans="1:22" s="407" customFormat="1" ht="16.5">
      <c r="B152" s="12"/>
      <c r="C152" s="27"/>
      <c r="D152" s="13"/>
      <c r="L152" s="453"/>
      <c r="M152" s="454"/>
      <c r="N152" s="454"/>
      <c r="O152" s="453"/>
      <c r="P152" s="453"/>
      <c r="Q152" s="453"/>
      <c r="U152" s="455"/>
    </row>
    <row r="153" spans="1:22" ht="16.5">
      <c r="B153" s="12"/>
      <c r="C153" s="27"/>
      <c r="D153" s="13"/>
    </row>
  </sheetData>
  <mergeCells count="20">
    <mergeCell ref="V5:V6"/>
    <mergeCell ref="N5:N6"/>
    <mergeCell ref="I5:I6"/>
    <mergeCell ref="J5:J6"/>
    <mergeCell ref="K5:L6"/>
    <mergeCell ref="M5:M6"/>
    <mergeCell ref="O5:O6"/>
    <mergeCell ref="Q5:Q6"/>
    <mergeCell ref="A1:V1"/>
    <mergeCell ref="A2:V2"/>
    <mergeCell ref="A5:A6"/>
    <mergeCell ref="B5:B6"/>
    <mergeCell ref="C5:C6"/>
    <mergeCell ref="D5:D6"/>
    <mergeCell ref="E5:E6"/>
    <mergeCell ref="F5:F6"/>
    <mergeCell ref="G5:G6"/>
    <mergeCell ref="H5:H6"/>
    <mergeCell ref="R5:R6"/>
    <mergeCell ref="S5:T5"/>
  </mergeCells>
  <conditionalFormatting sqref="D9:E135">
    <cfRule type="containsText" dxfId="6" priority="2" operator="containsText" text="#N/A">
      <formula>NOT(ISERROR(SEARCH("#N/A",D9)))</formula>
    </cfRule>
  </conditionalFormatting>
  <conditionalFormatting sqref="D8:E8">
    <cfRule type="containsText" dxfId="5" priority="1" operator="containsText" text="#N/A">
      <formula>NOT(ISERROR(SEARCH("#N/A",D8)))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237"/>
  <sheetViews>
    <sheetView workbookViewId="0">
      <selection activeCell="I47" sqref="I47"/>
    </sheetView>
  </sheetViews>
  <sheetFormatPr defaultRowHeight="15"/>
  <cols>
    <col min="1" max="1" width="8.42578125" style="191" customWidth="1"/>
    <col min="2" max="2" width="40.140625" style="192" bestFit="1" customWidth="1"/>
    <col min="3" max="3" width="20.85546875" style="223" bestFit="1" customWidth="1"/>
    <col min="4" max="4" width="82.42578125" style="234" bestFit="1" customWidth="1"/>
    <col min="5" max="5" width="18" style="192" customWidth="1"/>
    <col min="6" max="250" width="9.140625" style="192"/>
    <col min="251" max="251" width="5.85546875" style="192" customWidth="1"/>
    <col min="252" max="252" width="8.42578125" style="192" customWidth="1"/>
    <col min="253" max="253" width="29" style="192" customWidth="1"/>
    <col min="254" max="254" width="22.85546875" style="192" bestFit="1" customWidth="1"/>
    <col min="255" max="255" width="34.28515625" style="192" customWidth="1"/>
    <col min="256" max="256" width="25.7109375" style="192" bestFit="1" customWidth="1"/>
    <col min="257" max="257" width="39.28515625" style="192" customWidth="1"/>
    <col min="258" max="258" width="18" style="192" customWidth="1"/>
    <col min="259" max="506" width="9.140625" style="192"/>
    <col min="507" max="507" width="5.85546875" style="192" customWidth="1"/>
    <col min="508" max="508" width="8.42578125" style="192" customWidth="1"/>
    <col min="509" max="509" width="29" style="192" customWidth="1"/>
    <col min="510" max="510" width="22.85546875" style="192" bestFit="1" customWidth="1"/>
    <col min="511" max="511" width="34.28515625" style="192" customWidth="1"/>
    <col min="512" max="512" width="25.7109375" style="192" bestFit="1" customWidth="1"/>
    <col min="513" max="513" width="39.28515625" style="192" customWidth="1"/>
    <col min="514" max="514" width="18" style="192" customWidth="1"/>
    <col min="515" max="762" width="9.140625" style="192"/>
    <col min="763" max="763" width="5.85546875" style="192" customWidth="1"/>
    <col min="764" max="764" width="8.42578125" style="192" customWidth="1"/>
    <col min="765" max="765" width="29" style="192" customWidth="1"/>
    <col min="766" max="766" width="22.85546875" style="192" bestFit="1" customWidth="1"/>
    <col min="767" max="767" width="34.28515625" style="192" customWidth="1"/>
    <col min="768" max="768" width="25.7109375" style="192" bestFit="1" customWidth="1"/>
    <col min="769" max="769" width="39.28515625" style="192" customWidth="1"/>
    <col min="770" max="770" width="18" style="192" customWidth="1"/>
    <col min="771" max="1018" width="9.140625" style="192"/>
    <col min="1019" max="1019" width="5.85546875" style="192" customWidth="1"/>
    <col min="1020" max="1020" width="8.42578125" style="192" customWidth="1"/>
    <col min="1021" max="1021" width="29" style="192" customWidth="1"/>
    <col min="1022" max="1022" width="22.85546875" style="192" bestFit="1" customWidth="1"/>
    <col min="1023" max="1023" width="34.28515625" style="192" customWidth="1"/>
    <col min="1024" max="1024" width="25.7109375" style="192" bestFit="1" customWidth="1"/>
    <col min="1025" max="1025" width="39.28515625" style="192" customWidth="1"/>
    <col min="1026" max="1026" width="18" style="192" customWidth="1"/>
    <col min="1027" max="1274" width="9.140625" style="192"/>
    <col min="1275" max="1275" width="5.85546875" style="192" customWidth="1"/>
    <col min="1276" max="1276" width="8.42578125" style="192" customWidth="1"/>
    <col min="1277" max="1277" width="29" style="192" customWidth="1"/>
    <col min="1278" max="1278" width="22.85546875" style="192" bestFit="1" customWidth="1"/>
    <col min="1279" max="1279" width="34.28515625" style="192" customWidth="1"/>
    <col min="1280" max="1280" width="25.7109375" style="192" bestFit="1" customWidth="1"/>
    <col min="1281" max="1281" width="39.28515625" style="192" customWidth="1"/>
    <col min="1282" max="1282" width="18" style="192" customWidth="1"/>
    <col min="1283" max="1530" width="9.140625" style="192"/>
    <col min="1531" max="1531" width="5.85546875" style="192" customWidth="1"/>
    <col min="1532" max="1532" width="8.42578125" style="192" customWidth="1"/>
    <col min="1533" max="1533" width="29" style="192" customWidth="1"/>
    <col min="1534" max="1534" width="22.85546875" style="192" bestFit="1" customWidth="1"/>
    <col min="1535" max="1535" width="34.28515625" style="192" customWidth="1"/>
    <col min="1536" max="1536" width="25.7109375" style="192" bestFit="1" customWidth="1"/>
    <col min="1537" max="1537" width="39.28515625" style="192" customWidth="1"/>
    <col min="1538" max="1538" width="18" style="192" customWidth="1"/>
    <col min="1539" max="1786" width="9.140625" style="192"/>
    <col min="1787" max="1787" width="5.85546875" style="192" customWidth="1"/>
    <col min="1788" max="1788" width="8.42578125" style="192" customWidth="1"/>
    <col min="1789" max="1789" width="29" style="192" customWidth="1"/>
    <col min="1790" max="1790" width="22.85546875" style="192" bestFit="1" customWidth="1"/>
    <col min="1791" max="1791" width="34.28515625" style="192" customWidth="1"/>
    <col min="1792" max="1792" width="25.7109375" style="192" bestFit="1" customWidth="1"/>
    <col min="1793" max="1793" width="39.28515625" style="192" customWidth="1"/>
    <col min="1794" max="1794" width="18" style="192" customWidth="1"/>
    <col min="1795" max="2042" width="9.140625" style="192"/>
    <col min="2043" max="2043" width="5.85546875" style="192" customWidth="1"/>
    <col min="2044" max="2044" width="8.42578125" style="192" customWidth="1"/>
    <col min="2045" max="2045" width="29" style="192" customWidth="1"/>
    <col min="2046" max="2046" width="22.85546875" style="192" bestFit="1" customWidth="1"/>
    <col min="2047" max="2047" width="34.28515625" style="192" customWidth="1"/>
    <col min="2048" max="2048" width="25.7109375" style="192" bestFit="1" customWidth="1"/>
    <col min="2049" max="2049" width="39.28515625" style="192" customWidth="1"/>
    <col min="2050" max="2050" width="18" style="192" customWidth="1"/>
    <col min="2051" max="2298" width="9.140625" style="192"/>
    <col min="2299" max="2299" width="5.85546875" style="192" customWidth="1"/>
    <col min="2300" max="2300" width="8.42578125" style="192" customWidth="1"/>
    <col min="2301" max="2301" width="29" style="192" customWidth="1"/>
    <col min="2302" max="2302" width="22.85546875" style="192" bestFit="1" customWidth="1"/>
    <col min="2303" max="2303" width="34.28515625" style="192" customWidth="1"/>
    <col min="2304" max="2304" width="25.7109375" style="192" bestFit="1" customWidth="1"/>
    <col min="2305" max="2305" width="39.28515625" style="192" customWidth="1"/>
    <col min="2306" max="2306" width="18" style="192" customWidth="1"/>
    <col min="2307" max="2554" width="9.140625" style="192"/>
    <col min="2555" max="2555" width="5.85546875" style="192" customWidth="1"/>
    <col min="2556" max="2556" width="8.42578125" style="192" customWidth="1"/>
    <col min="2557" max="2557" width="29" style="192" customWidth="1"/>
    <col min="2558" max="2558" width="22.85546875" style="192" bestFit="1" customWidth="1"/>
    <col min="2559" max="2559" width="34.28515625" style="192" customWidth="1"/>
    <col min="2560" max="2560" width="25.7109375" style="192" bestFit="1" customWidth="1"/>
    <col min="2561" max="2561" width="39.28515625" style="192" customWidth="1"/>
    <col min="2562" max="2562" width="18" style="192" customWidth="1"/>
    <col min="2563" max="2810" width="9.140625" style="192"/>
    <col min="2811" max="2811" width="5.85546875" style="192" customWidth="1"/>
    <col min="2812" max="2812" width="8.42578125" style="192" customWidth="1"/>
    <col min="2813" max="2813" width="29" style="192" customWidth="1"/>
    <col min="2814" max="2814" width="22.85546875" style="192" bestFit="1" customWidth="1"/>
    <col min="2815" max="2815" width="34.28515625" style="192" customWidth="1"/>
    <col min="2816" max="2816" width="25.7109375" style="192" bestFit="1" customWidth="1"/>
    <col min="2817" max="2817" width="39.28515625" style="192" customWidth="1"/>
    <col min="2818" max="2818" width="18" style="192" customWidth="1"/>
    <col min="2819" max="3066" width="9.140625" style="192"/>
    <col min="3067" max="3067" width="5.85546875" style="192" customWidth="1"/>
    <col min="3068" max="3068" width="8.42578125" style="192" customWidth="1"/>
    <col min="3069" max="3069" width="29" style="192" customWidth="1"/>
    <col min="3070" max="3070" width="22.85546875" style="192" bestFit="1" customWidth="1"/>
    <col min="3071" max="3071" width="34.28515625" style="192" customWidth="1"/>
    <col min="3072" max="3072" width="25.7109375" style="192" bestFit="1" customWidth="1"/>
    <col min="3073" max="3073" width="39.28515625" style="192" customWidth="1"/>
    <col min="3074" max="3074" width="18" style="192" customWidth="1"/>
    <col min="3075" max="3322" width="9.140625" style="192"/>
    <col min="3323" max="3323" width="5.85546875" style="192" customWidth="1"/>
    <col min="3324" max="3324" width="8.42578125" style="192" customWidth="1"/>
    <col min="3325" max="3325" width="29" style="192" customWidth="1"/>
    <col min="3326" max="3326" width="22.85546875" style="192" bestFit="1" customWidth="1"/>
    <col min="3327" max="3327" width="34.28515625" style="192" customWidth="1"/>
    <col min="3328" max="3328" width="25.7109375" style="192" bestFit="1" customWidth="1"/>
    <col min="3329" max="3329" width="39.28515625" style="192" customWidth="1"/>
    <col min="3330" max="3330" width="18" style="192" customWidth="1"/>
    <col min="3331" max="3578" width="9.140625" style="192"/>
    <col min="3579" max="3579" width="5.85546875" style="192" customWidth="1"/>
    <col min="3580" max="3580" width="8.42578125" style="192" customWidth="1"/>
    <col min="3581" max="3581" width="29" style="192" customWidth="1"/>
    <col min="3582" max="3582" width="22.85546875" style="192" bestFit="1" customWidth="1"/>
    <col min="3583" max="3583" width="34.28515625" style="192" customWidth="1"/>
    <col min="3584" max="3584" width="25.7109375" style="192" bestFit="1" customWidth="1"/>
    <col min="3585" max="3585" width="39.28515625" style="192" customWidth="1"/>
    <col min="3586" max="3586" width="18" style="192" customWidth="1"/>
    <col min="3587" max="3834" width="9.140625" style="192"/>
    <col min="3835" max="3835" width="5.85546875" style="192" customWidth="1"/>
    <col min="3836" max="3836" width="8.42578125" style="192" customWidth="1"/>
    <col min="3837" max="3837" width="29" style="192" customWidth="1"/>
    <col min="3838" max="3838" width="22.85546875" style="192" bestFit="1" customWidth="1"/>
    <col min="3839" max="3839" width="34.28515625" style="192" customWidth="1"/>
    <col min="3840" max="3840" width="25.7109375" style="192" bestFit="1" customWidth="1"/>
    <col min="3841" max="3841" width="39.28515625" style="192" customWidth="1"/>
    <col min="3842" max="3842" width="18" style="192" customWidth="1"/>
    <col min="3843" max="4090" width="9.140625" style="192"/>
    <col min="4091" max="4091" width="5.85546875" style="192" customWidth="1"/>
    <col min="4092" max="4092" width="8.42578125" style="192" customWidth="1"/>
    <col min="4093" max="4093" width="29" style="192" customWidth="1"/>
    <col min="4094" max="4094" width="22.85546875" style="192" bestFit="1" customWidth="1"/>
    <col min="4095" max="4095" width="34.28515625" style="192" customWidth="1"/>
    <col min="4096" max="4096" width="25.7109375" style="192" bestFit="1" customWidth="1"/>
    <col min="4097" max="4097" width="39.28515625" style="192" customWidth="1"/>
    <col min="4098" max="4098" width="18" style="192" customWidth="1"/>
    <col min="4099" max="4346" width="9.140625" style="192"/>
    <col min="4347" max="4347" width="5.85546875" style="192" customWidth="1"/>
    <col min="4348" max="4348" width="8.42578125" style="192" customWidth="1"/>
    <col min="4349" max="4349" width="29" style="192" customWidth="1"/>
    <col min="4350" max="4350" width="22.85546875" style="192" bestFit="1" customWidth="1"/>
    <col min="4351" max="4351" width="34.28515625" style="192" customWidth="1"/>
    <col min="4352" max="4352" width="25.7109375" style="192" bestFit="1" customWidth="1"/>
    <col min="4353" max="4353" width="39.28515625" style="192" customWidth="1"/>
    <col min="4354" max="4354" width="18" style="192" customWidth="1"/>
    <col min="4355" max="4602" width="9.140625" style="192"/>
    <col min="4603" max="4603" width="5.85546875" style="192" customWidth="1"/>
    <col min="4604" max="4604" width="8.42578125" style="192" customWidth="1"/>
    <col min="4605" max="4605" width="29" style="192" customWidth="1"/>
    <col min="4606" max="4606" width="22.85546875" style="192" bestFit="1" customWidth="1"/>
    <col min="4607" max="4607" width="34.28515625" style="192" customWidth="1"/>
    <col min="4608" max="4608" width="25.7109375" style="192" bestFit="1" customWidth="1"/>
    <col min="4609" max="4609" width="39.28515625" style="192" customWidth="1"/>
    <col min="4610" max="4610" width="18" style="192" customWidth="1"/>
    <col min="4611" max="4858" width="9.140625" style="192"/>
    <col min="4859" max="4859" width="5.85546875" style="192" customWidth="1"/>
    <col min="4860" max="4860" width="8.42578125" style="192" customWidth="1"/>
    <col min="4861" max="4861" width="29" style="192" customWidth="1"/>
    <col min="4862" max="4862" width="22.85546875" style="192" bestFit="1" customWidth="1"/>
    <col min="4863" max="4863" width="34.28515625" style="192" customWidth="1"/>
    <col min="4864" max="4864" width="25.7109375" style="192" bestFit="1" customWidth="1"/>
    <col min="4865" max="4865" width="39.28515625" style="192" customWidth="1"/>
    <col min="4866" max="4866" width="18" style="192" customWidth="1"/>
    <col min="4867" max="5114" width="9.140625" style="192"/>
    <col min="5115" max="5115" width="5.85546875" style="192" customWidth="1"/>
    <col min="5116" max="5116" width="8.42578125" style="192" customWidth="1"/>
    <col min="5117" max="5117" width="29" style="192" customWidth="1"/>
    <col min="5118" max="5118" width="22.85546875" style="192" bestFit="1" customWidth="1"/>
    <col min="5119" max="5119" width="34.28515625" style="192" customWidth="1"/>
    <col min="5120" max="5120" width="25.7109375" style="192" bestFit="1" customWidth="1"/>
    <col min="5121" max="5121" width="39.28515625" style="192" customWidth="1"/>
    <col min="5122" max="5122" width="18" style="192" customWidth="1"/>
    <col min="5123" max="5370" width="9.140625" style="192"/>
    <col min="5371" max="5371" width="5.85546875" style="192" customWidth="1"/>
    <col min="5372" max="5372" width="8.42578125" style="192" customWidth="1"/>
    <col min="5373" max="5373" width="29" style="192" customWidth="1"/>
    <col min="5374" max="5374" width="22.85546875" style="192" bestFit="1" customWidth="1"/>
    <col min="5375" max="5375" width="34.28515625" style="192" customWidth="1"/>
    <col min="5376" max="5376" width="25.7109375" style="192" bestFit="1" customWidth="1"/>
    <col min="5377" max="5377" width="39.28515625" style="192" customWidth="1"/>
    <col min="5378" max="5378" width="18" style="192" customWidth="1"/>
    <col min="5379" max="5626" width="9.140625" style="192"/>
    <col min="5627" max="5627" width="5.85546875" style="192" customWidth="1"/>
    <col min="5628" max="5628" width="8.42578125" style="192" customWidth="1"/>
    <col min="5629" max="5629" width="29" style="192" customWidth="1"/>
    <col min="5630" max="5630" width="22.85546875" style="192" bestFit="1" customWidth="1"/>
    <col min="5631" max="5631" width="34.28515625" style="192" customWidth="1"/>
    <col min="5632" max="5632" width="25.7109375" style="192" bestFit="1" customWidth="1"/>
    <col min="5633" max="5633" width="39.28515625" style="192" customWidth="1"/>
    <col min="5634" max="5634" width="18" style="192" customWidth="1"/>
    <col min="5635" max="5882" width="9.140625" style="192"/>
    <col min="5883" max="5883" width="5.85546875" style="192" customWidth="1"/>
    <col min="5884" max="5884" width="8.42578125" style="192" customWidth="1"/>
    <col min="5885" max="5885" width="29" style="192" customWidth="1"/>
    <col min="5886" max="5886" width="22.85546875" style="192" bestFit="1" customWidth="1"/>
    <col min="5887" max="5887" width="34.28515625" style="192" customWidth="1"/>
    <col min="5888" max="5888" width="25.7109375" style="192" bestFit="1" customWidth="1"/>
    <col min="5889" max="5889" width="39.28515625" style="192" customWidth="1"/>
    <col min="5890" max="5890" width="18" style="192" customWidth="1"/>
    <col min="5891" max="6138" width="9.140625" style="192"/>
    <col min="6139" max="6139" width="5.85546875" style="192" customWidth="1"/>
    <col min="6140" max="6140" width="8.42578125" style="192" customWidth="1"/>
    <col min="6141" max="6141" width="29" style="192" customWidth="1"/>
    <col min="6142" max="6142" width="22.85546875" style="192" bestFit="1" customWidth="1"/>
    <col min="6143" max="6143" width="34.28515625" style="192" customWidth="1"/>
    <col min="6144" max="6144" width="25.7109375" style="192" bestFit="1" customWidth="1"/>
    <col min="6145" max="6145" width="39.28515625" style="192" customWidth="1"/>
    <col min="6146" max="6146" width="18" style="192" customWidth="1"/>
    <col min="6147" max="6394" width="9.140625" style="192"/>
    <col min="6395" max="6395" width="5.85546875" style="192" customWidth="1"/>
    <col min="6396" max="6396" width="8.42578125" style="192" customWidth="1"/>
    <col min="6397" max="6397" width="29" style="192" customWidth="1"/>
    <col min="6398" max="6398" width="22.85546875" style="192" bestFit="1" customWidth="1"/>
    <col min="6399" max="6399" width="34.28515625" style="192" customWidth="1"/>
    <col min="6400" max="6400" width="25.7109375" style="192" bestFit="1" customWidth="1"/>
    <col min="6401" max="6401" width="39.28515625" style="192" customWidth="1"/>
    <col min="6402" max="6402" width="18" style="192" customWidth="1"/>
    <col min="6403" max="6650" width="9.140625" style="192"/>
    <col min="6651" max="6651" width="5.85546875" style="192" customWidth="1"/>
    <col min="6652" max="6652" width="8.42578125" style="192" customWidth="1"/>
    <col min="6653" max="6653" width="29" style="192" customWidth="1"/>
    <col min="6654" max="6654" width="22.85546875" style="192" bestFit="1" customWidth="1"/>
    <col min="6655" max="6655" width="34.28515625" style="192" customWidth="1"/>
    <col min="6656" max="6656" width="25.7109375" style="192" bestFit="1" customWidth="1"/>
    <col min="6657" max="6657" width="39.28515625" style="192" customWidth="1"/>
    <col min="6658" max="6658" width="18" style="192" customWidth="1"/>
    <col min="6659" max="6906" width="9.140625" style="192"/>
    <col min="6907" max="6907" width="5.85546875" style="192" customWidth="1"/>
    <col min="6908" max="6908" width="8.42578125" style="192" customWidth="1"/>
    <col min="6909" max="6909" width="29" style="192" customWidth="1"/>
    <col min="6910" max="6910" width="22.85546875" style="192" bestFit="1" customWidth="1"/>
    <col min="6911" max="6911" width="34.28515625" style="192" customWidth="1"/>
    <col min="6912" max="6912" width="25.7109375" style="192" bestFit="1" customWidth="1"/>
    <col min="6913" max="6913" width="39.28515625" style="192" customWidth="1"/>
    <col min="6914" max="6914" width="18" style="192" customWidth="1"/>
    <col min="6915" max="7162" width="9.140625" style="192"/>
    <col min="7163" max="7163" width="5.85546875" style="192" customWidth="1"/>
    <col min="7164" max="7164" width="8.42578125" style="192" customWidth="1"/>
    <col min="7165" max="7165" width="29" style="192" customWidth="1"/>
    <col min="7166" max="7166" width="22.85546875" style="192" bestFit="1" customWidth="1"/>
    <col min="7167" max="7167" width="34.28515625" style="192" customWidth="1"/>
    <col min="7168" max="7168" width="25.7109375" style="192" bestFit="1" customWidth="1"/>
    <col min="7169" max="7169" width="39.28515625" style="192" customWidth="1"/>
    <col min="7170" max="7170" width="18" style="192" customWidth="1"/>
    <col min="7171" max="7418" width="9.140625" style="192"/>
    <col min="7419" max="7419" width="5.85546875" style="192" customWidth="1"/>
    <col min="7420" max="7420" width="8.42578125" style="192" customWidth="1"/>
    <col min="7421" max="7421" width="29" style="192" customWidth="1"/>
    <col min="7422" max="7422" width="22.85546875" style="192" bestFit="1" customWidth="1"/>
    <col min="7423" max="7423" width="34.28515625" style="192" customWidth="1"/>
    <col min="7424" max="7424" width="25.7109375" style="192" bestFit="1" customWidth="1"/>
    <col min="7425" max="7425" width="39.28515625" style="192" customWidth="1"/>
    <col min="7426" max="7426" width="18" style="192" customWidth="1"/>
    <col min="7427" max="7674" width="9.140625" style="192"/>
    <col min="7675" max="7675" width="5.85546875" style="192" customWidth="1"/>
    <col min="7676" max="7676" width="8.42578125" style="192" customWidth="1"/>
    <col min="7677" max="7677" width="29" style="192" customWidth="1"/>
    <col min="7678" max="7678" width="22.85546875" style="192" bestFit="1" customWidth="1"/>
    <col min="7679" max="7679" width="34.28515625" style="192" customWidth="1"/>
    <col min="7680" max="7680" width="25.7109375" style="192" bestFit="1" customWidth="1"/>
    <col min="7681" max="7681" width="39.28515625" style="192" customWidth="1"/>
    <col min="7682" max="7682" width="18" style="192" customWidth="1"/>
    <col min="7683" max="7930" width="9.140625" style="192"/>
    <col min="7931" max="7931" width="5.85546875" style="192" customWidth="1"/>
    <col min="7932" max="7932" width="8.42578125" style="192" customWidth="1"/>
    <col min="7933" max="7933" width="29" style="192" customWidth="1"/>
    <col min="7934" max="7934" width="22.85546875" style="192" bestFit="1" customWidth="1"/>
    <col min="7935" max="7935" width="34.28515625" style="192" customWidth="1"/>
    <col min="7936" max="7936" width="25.7109375" style="192" bestFit="1" customWidth="1"/>
    <col min="7937" max="7937" width="39.28515625" style="192" customWidth="1"/>
    <col min="7938" max="7938" width="18" style="192" customWidth="1"/>
    <col min="7939" max="8186" width="9.140625" style="192"/>
    <col min="8187" max="8187" width="5.85546875" style="192" customWidth="1"/>
    <col min="8188" max="8188" width="8.42578125" style="192" customWidth="1"/>
    <col min="8189" max="8189" width="29" style="192" customWidth="1"/>
    <col min="8190" max="8190" width="22.85546875" style="192" bestFit="1" customWidth="1"/>
    <col min="8191" max="8191" width="34.28515625" style="192" customWidth="1"/>
    <col min="8192" max="8192" width="25.7109375" style="192" bestFit="1" customWidth="1"/>
    <col min="8193" max="8193" width="39.28515625" style="192" customWidth="1"/>
    <col min="8194" max="8194" width="18" style="192" customWidth="1"/>
    <col min="8195" max="8442" width="9.140625" style="192"/>
    <col min="8443" max="8443" width="5.85546875" style="192" customWidth="1"/>
    <col min="8444" max="8444" width="8.42578125" style="192" customWidth="1"/>
    <col min="8445" max="8445" width="29" style="192" customWidth="1"/>
    <col min="8446" max="8446" width="22.85546875" style="192" bestFit="1" customWidth="1"/>
    <col min="8447" max="8447" width="34.28515625" style="192" customWidth="1"/>
    <col min="8448" max="8448" width="25.7109375" style="192" bestFit="1" customWidth="1"/>
    <col min="8449" max="8449" width="39.28515625" style="192" customWidth="1"/>
    <col min="8450" max="8450" width="18" style="192" customWidth="1"/>
    <col min="8451" max="8698" width="9.140625" style="192"/>
    <col min="8699" max="8699" width="5.85546875" style="192" customWidth="1"/>
    <col min="8700" max="8700" width="8.42578125" style="192" customWidth="1"/>
    <col min="8701" max="8701" width="29" style="192" customWidth="1"/>
    <col min="8702" max="8702" width="22.85546875" style="192" bestFit="1" customWidth="1"/>
    <col min="8703" max="8703" width="34.28515625" style="192" customWidth="1"/>
    <col min="8704" max="8704" width="25.7109375" style="192" bestFit="1" customWidth="1"/>
    <col min="8705" max="8705" width="39.28515625" style="192" customWidth="1"/>
    <col min="8706" max="8706" width="18" style="192" customWidth="1"/>
    <col min="8707" max="8954" width="9.140625" style="192"/>
    <col min="8955" max="8955" width="5.85546875" style="192" customWidth="1"/>
    <col min="8956" max="8956" width="8.42578125" style="192" customWidth="1"/>
    <col min="8957" max="8957" width="29" style="192" customWidth="1"/>
    <col min="8958" max="8958" width="22.85546875" style="192" bestFit="1" customWidth="1"/>
    <col min="8959" max="8959" width="34.28515625" style="192" customWidth="1"/>
    <col min="8960" max="8960" width="25.7109375" style="192" bestFit="1" customWidth="1"/>
    <col min="8961" max="8961" width="39.28515625" style="192" customWidth="1"/>
    <col min="8962" max="8962" width="18" style="192" customWidth="1"/>
    <col min="8963" max="9210" width="9.140625" style="192"/>
    <col min="9211" max="9211" width="5.85546875" style="192" customWidth="1"/>
    <col min="9212" max="9212" width="8.42578125" style="192" customWidth="1"/>
    <col min="9213" max="9213" width="29" style="192" customWidth="1"/>
    <col min="9214" max="9214" width="22.85546875" style="192" bestFit="1" customWidth="1"/>
    <col min="9215" max="9215" width="34.28515625" style="192" customWidth="1"/>
    <col min="9216" max="9216" width="25.7109375" style="192" bestFit="1" customWidth="1"/>
    <col min="9217" max="9217" width="39.28515625" style="192" customWidth="1"/>
    <col min="9218" max="9218" width="18" style="192" customWidth="1"/>
    <col min="9219" max="9466" width="9.140625" style="192"/>
    <col min="9467" max="9467" width="5.85546875" style="192" customWidth="1"/>
    <col min="9468" max="9468" width="8.42578125" style="192" customWidth="1"/>
    <col min="9469" max="9469" width="29" style="192" customWidth="1"/>
    <col min="9470" max="9470" width="22.85546875" style="192" bestFit="1" customWidth="1"/>
    <col min="9471" max="9471" width="34.28515625" style="192" customWidth="1"/>
    <col min="9472" max="9472" width="25.7109375" style="192" bestFit="1" customWidth="1"/>
    <col min="9473" max="9473" width="39.28515625" style="192" customWidth="1"/>
    <col min="9474" max="9474" width="18" style="192" customWidth="1"/>
    <col min="9475" max="9722" width="9.140625" style="192"/>
    <col min="9723" max="9723" width="5.85546875" style="192" customWidth="1"/>
    <col min="9724" max="9724" width="8.42578125" style="192" customWidth="1"/>
    <col min="9725" max="9725" width="29" style="192" customWidth="1"/>
    <col min="9726" max="9726" width="22.85546875" style="192" bestFit="1" customWidth="1"/>
    <col min="9727" max="9727" width="34.28515625" style="192" customWidth="1"/>
    <col min="9728" max="9728" width="25.7109375" style="192" bestFit="1" customWidth="1"/>
    <col min="9729" max="9729" width="39.28515625" style="192" customWidth="1"/>
    <col min="9730" max="9730" width="18" style="192" customWidth="1"/>
    <col min="9731" max="9978" width="9.140625" style="192"/>
    <col min="9979" max="9979" width="5.85546875" style="192" customWidth="1"/>
    <col min="9980" max="9980" width="8.42578125" style="192" customWidth="1"/>
    <col min="9981" max="9981" width="29" style="192" customWidth="1"/>
    <col min="9982" max="9982" width="22.85546875" style="192" bestFit="1" customWidth="1"/>
    <col min="9983" max="9983" width="34.28515625" style="192" customWidth="1"/>
    <col min="9984" max="9984" width="25.7109375" style="192" bestFit="1" customWidth="1"/>
    <col min="9985" max="9985" width="39.28515625" style="192" customWidth="1"/>
    <col min="9986" max="9986" width="18" style="192" customWidth="1"/>
    <col min="9987" max="10234" width="9.140625" style="192"/>
    <col min="10235" max="10235" width="5.85546875" style="192" customWidth="1"/>
    <col min="10236" max="10236" width="8.42578125" style="192" customWidth="1"/>
    <col min="10237" max="10237" width="29" style="192" customWidth="1"/>
    <col min="10238" max="10238" width="22.85546875" style="192" bestFit="1" customWidth="1"/>
    <col min="10239" max="10239" width="34.28515625" style="192" customWidth="1"/>
    <col min="10240" max="10240" width="25.7109375" style="192" bestFit="1" customWidth="1"/>
    <col min="10241" max="10241" width="39.28515625" style="192" customWidth="1"/>
    <col min="10242" max="10242" width="18" style="192" customWidth="1"/>
    <col min="10243" max="10490" width="9.140625" style="192"/>
    <col min="10491" max="10491" width="5.85546875" style="192" customWidth="1"/>
    <col min="10492" max="10492" width="8.42578125" style="192" customWidth="1"/>
    <col min="10493" max="10493" width="29" style="192" customWidth="1"/>
    <col min="10494" max="10494" width="22.85546875" style="192" bestFit="1" customWidth="1"/>
    <col min="10495" max="10495" width="34.28515625" style="192" customWidth="1"/>
    <col min="10496" max="10496" width="25.7109375" style="192" bestFit="1" customWidth="1"/>
    <col min="10497" max="10497" width="39.28515625" style="192" customWidth="1"/>
    <col min="10498" max="10498" width="18" style="192" customWidth="1"/>
    <col min="10499" max="10746" width="9.140625" style="192"/>
    <col min="10747" max="10747" width="5.85546875" style="192" customWidth="1"/>
    <col min="10748" max="10748" width="8.42578125" style="192" customWidth="1"/>
    <col min="10749" max="10749" width="29" style="192" customWidth="1"/>
    <col min="10750" max="10750" width="22.85546875" style="192" bestFit="1" customWidth="1"/>
    <col min="10751" max="10751" width="34.28515625" style="192" customWidth="1"/>
    <col min="10752" max="10752" width="25.7109375" style="192" bestFit="1" customWidth="1"/>
    <col min="10753" max="10753" width="39.28515625" style="192" customWidth="1"/>
    <col min="10754" max="10754" width="18" style="192" customWidth="1"/>
    <col min="10755" max="11002" width="9.140625" style="192"/>
    <col min="11003" max="11003" width="5.85546875" style="192" customWidth="1"/>
    <col min="11004" max="11004" width="8.42578125" style="192" customWidth="1"/>
    <col min="11005" max="11005" width="29" style="192" customWidth="1"/>
    <col min="11006" max="11006" width="22.85546875" style="192" bestFit="1" customWidth="1"/>
    <col min="11007" max="11007" width="34.28515625" style="192" customWidth="1"/>
    <col min="11008" max="11008" width="25.7109375" style="192" bestFit="1" customWidth="1"/>
    <col min="11009" max="11009" width="39.28515625" style="192" customWidth="1"/>
    <col min="11010" max="11010" width="18" style="192" customWidth="1"/>
    <col min="11011" max="11258" width="9.140625" style="192"/>
    <col min="11259" max="11259" width="5.85546875" style="192" customWidth="1"/>
    <col min="11260" max="11260" width="8.42578125" style="192" customWidth="1"/>
    <col min="11261" max="11261" width="29" style="192" customWidth="1"/>
    <col min="11262" max="11262" width="22.85546875" style="192" bestFit="1" customWidth="1"/>
    <col min="11263" max="11263" width="34.28515625" style="192" customWidth="1"/>
    <col min="11264" max="11264" width="25.7109375" style="192" bestFit="1" customWidth="1"/>
    <col min="11265" max="11265" width="39.28515625" style="192" customWidth="1"/>
    <col min="11266" max="11266" width="18" style="192" customWidth="1"/>
    <col min="11267" max="11514" width="9.140625" style="192"/>
    <col min="11515" max="11515" width="5.85546875" style="192" customWidth="1"/>
    <col min="11516" max="11516" width="8.42578125" style="192" customWidth="1"/>
    <col min="11517" max="11517" width="29" style="192" customWidth="1"/>
    <col min="11518" max="11518" width="22.85546875" style="192" bestFit="1" customWidth="1"/>
    <col min="11519" max="11519" width="34.28515625" style="192" customWidth="1"/>
    <col min="11520" max="11520" width="25.7109375" style="192" bestFit="1" customWidth="1"/>
    <col min="11521" max="11521" width="39.28515625" style="192" customWidth="1"/>
    <col min="11522" max="11522" width="18" style="192" customWidth="1"/>
    <col min="11523" max="11770" width="9.140625" style="192"/>
    <col min="11771" max="11771" width="5.85546875" style="192" customWidth="1"/>
    <col min="11772" max="11772" width="8.42578125" style="192" customWidth="1"/>
    <col min="11773" max="11773" width="29" style="192" customWidth="1"/>
    <col min="11774" max="11774" width="22.85546875" style="192" bestFit="1" customWidth="1"/>
    <col min="11775" max="11775" width="34.28515625" style="192" customWidth="1"/>
    <col min="11776" max="11776" width="25.7109375" style="192" bestFit="1" customWidth="1"/>
    <col min="11777" max="11777" width="39.28515625" style="192" customWidth="1"/>
    <col min="11778" max="11778" width="18" style="192" customWidth="1"/>
    <col min="11779" max="12026" width="9.140625" style="192"/>
    <col min="12027" max="12027" width="5.85546875" style="192" customWidth="1"/>
    <col min="12028" max="12028" width="8.42578125" style="192" customWidth="1"/>
    <col min="12029" max="12029" width="29" style="192" customWidth="1"/>
    <col min="12030" max="12030" width="22.85546875" style="192" bestFit="1" customWidth="1"/>
    <col min="12031" max="12031" width="34.28515625" style="192" customWidth="1"/>
    <col min="12032" max="12032" width="25.7109375" style="192" bestFit="1" customWidth="1"/>
    <col min="12033" max="12033" width="39.28515625" style="192" customWidth="1"/>
    <col min="12034" max="12034" width="18" style="192" customWidth="1"/>
    <col min="12035" max="12282" width="9.140625" style="192"/>
    <col min="12283" max="12283" width="5.85546875" style="192" customWidth="1"/>
    <col min="12284" max="12284" width="8.42578125" style="192" customWidth="1"/>
    <col min="12285" max="12285" width="29" style="192" customWidth="1"/>
    <col min="12286" max="12286" width="22.85546875" style="192" bestFit="1" customWidth="1"/>
    <col min="12287" max="12287" width="34.28515625" style="192" customWidth="1"/>
    <col min="12288" max="12288" width="25.7109375" style="192" bestFit="1" customWidth="1"/>
    <col min="12289" max="12289" width="39.28515625" style="192" customWidth="1"/>
    <col min="12290" max="12290" width="18" style="192" customWidth="1"/>
    <col min="12291" max="12538" width="9.140625" style="192"/>
    <col min="12539" max="12539" width="5.85546875" style="192" customWidth="1"/>
    <col min="12540" max="12540" width="8.42578125" style="192" customWidth="1"/>
    <col min="12541" max="12541" width="29" style="192" customWidth="1"/>
    <col min="12542" max="12542" width="22.85546875" style="192" bestFit="1" customWidth="1"/>
    <col min="12543" max="12543" width="34.28515625" style="192" customWidth="1"/>
    <col min="12544" max="12544" width="25.7109375" style="192" bestFit="1" customWidth="1"/>
    <col min="12545" max="12545" width="39.28515625" style="192" customWidth="1"/>
    <col min="12546" max="12546" width="18" style="192" customWidth="1"/>
    <col min="12547" max="12794" width="9.140625" style="192"/>
    <col min="12795" max="12795" width="5.85546875" style="192" customWidth="1"/>
    <col min="12796" max="12796" width="8.42578125" style="192" customWidth="1"/>
    <col min="12797" max="12797" width="29" style="192" customWidth="1"/>
    <col min="12798" max="12798" width="22.85546875" style="192" bestFit="1" customWidth="1"/>
    <col min="12799" max="12799" width="34.28515625" style="192" customWidth="1"/>
    <col min="12800" max="12800" width="25.7109375" style="192" bestFit="1" customWidth="1"/>
    <col min="12801" max="12801" width="39.28515625" style="192" customWidth="1"/>
    <col min="12802" max="12802" width="18" style="192" customWidth="1"/>
    <col min="12803" max="13050" width="9.140625" style="192"/>
    <col min="13051" max="13051" width="5.85546875" style="192" customWidth="1"/>
    <col min="13052" max="13052" width="8.42578125" style="192" customWidth="1"/>
    <col min="13053" max="13053" width="29" style="192" customWidth="1"/>
    <col min="13054" max="13054" width="22.85546875" style="192" bestFit="1" customWidth="1"/>
    <col min="13055" max="13055" width="34.28515625" style="192" customWidth="1"/>
    <col min="13056" max="13056" width="25.7109375" style="192" bestFit="1" customWidth="1"/>
    <col min="13057" max="13057" width="39.28515625" style="192" customWidth="1"/>
    <col min="13058" max="13058" width="18" style="192" customWidth="1"/>
    <col min="13059" max="13306" width="9.140625" style="192"/>
    <col min="13307" max="13307" width="5.85546875" style="192" customWidth="1"/>
    <col min="13308" max="13308" width="8.42578125" style="192" customWidth="1"/>
    <col min="13309" max="13309" width="29" style="192" customWidth="1"/>
    <col min="13310" max="13310" width="22.85546875" style="192" bestFit="1" customWidth="1"/>
    <col min="13311" max="13311" width="34.28515625" style="192" customWidth="1"/>
    <col min="13312" max="13312" width="25.7109375" style="192" bestFit="1" customWidth="1"/>
    <col min="13313" max="13313" width="39.28515625" style="192" customWidth="1"/>
    <col min="13314" max="13314" width="18" style="192" customWidth="1"/>
    <col min="13315" max="13562" width="9.140625" style="192"/>
    <col min="13563" max="13563" width="5.85546875" style="192" customWidth="1"/>
    <col min="13564" max="13564" width="8.42578125" style="192" customWidth="1"/>
    <col min="13565" max="13565" width="29" style="192" customWidth="1"/>
    <col min="13566" max="13566" width="22.85546875" style="192" bestFit="1" customWidth="1"/>
    <col min="13567" max="13567" width="34.28515625" style="192" customWidth="1"/>
    <col min="13568" max="13568" width="25.7109375" style="192" bestFit="1" customWidth="1"/>
    <col min="13569" max="13569" width="39.28515625" style="192" customWidth="1"/>
    <col min="13570" max="13570" width="18" style="192" customWidth="1"/>
    <col min="13571" max="13818" width="9.140625" style="192"/>
    <col min="13819" max="13819" width="5.85546875" style="192" customWidth="1"/>
    <col min="13820" max="13820" width="8.42578125" style="192" customWidth="1"/>
    <col min="13821" max="13821" width="29" style="192" customWidth="1"/>
    <col min="13822" max="13822" width="22.85546875" style="192" bestFit="1" customWidth="1"/>
    <col min="13823" max="13823" width="34.28515625" style="192" customWidth="1"/>
    <col min="13824" max="13824" width="25.7109375" style="192" bestFit="1" customWidth="1"/>
    <col min="13825" max="13825" width="39.28515625" style="192" customWidth="1"/>
    <col min="13826" max="13826" width="18" style="192" customWidth="1"/>
    <col min="13827" max="14074" width="9.140625" style="192"/>
    <col min="14075" max="14075" width="5.85546875" style="192" customWidth="1"/>
    <col min="14076" max="14076" width="8.42578125" style="192" customWidth="1"/>
    <col min="14077" max="14077" width="29" style="192" customWidth="1"/>
    <col min="14078" max="14078" width="22.85546875" style="192" bestFit="1" customWidth="1"/>
    <col min="14079" max="14079" width="34.28515625" style="192" customWidth="1"/>
    <col min="14080" max="14080" width="25.7109375" style="192" bestFit="1" customWidth="1"/>
    <col min="14081" max="14081" width="39.28515625" style="192" customWidth="1"/>
    <col min="14082" max="14082" width="18" style="192" customWidth="1"/>
    <col min="14083" max="14330" width="9.140625" style="192"/>
    <col min="14331" max="14331" width="5.85546875" style="192" customWidth="1"/>
    <col min="14332" max="14332" width="8.42578125" style="192" customWidth="1"/>
    <col min="14333" max="14333" width="29" style="192" customWidth="1"/>
    <col min="14334" max="14334" width="22.85546875" style="192" bestFit="1" customWidth="1"/>
    <col min="14335" max="14335" width="34.28515625" style="192" customWidth="1"/>
    <col min="14336" max="14336" width="25.7109375" style="192" bestFit="1" customWidth="1"/>
    <col min="14337" max="14337" width="39.28515625" style="192" customWidth="1"/>
    <col min="14338" max="14338" width="18" style="192" customWidth="1"/>
    <col min="14339" max="14586" width="9.140625" style="192"/>
    <col min="14587" max="14587" width="5.85546875" style="192" customWidth="1"/>
    <col min="14588" max="14588" width="8.42578125" style="192" customWidth="1"/>
    <col min="14589" max="14589" width="29" style="192" customWidth="1"/>
    <col min="14590" max="14590" width="22.85546875" style="192" bestFit="1" customWidth="1"/>
    <col min="14591" max="14591" width="34.28515625" style="192" customWidth="1"/>
    <col min="14592" max="14592" width="25.7109375" style="192" bestFit="1" customWidth="1"/>
    <col min="14593" max="14593" width="39.28515625" style="192" customWidth="1"/>
    <col min="14594" max="14594" width="18" style="192" customWidth="1"/>
    <col min="14595" max="14842" width="9.140625" style="192"/>
    <col min="14843" max="14843" width="5.85546875" style="192" customWidth="1"/>
    <col min="14844" max="14844" width="8.42578125" style="192" customWidth="1"/>
    <col min="14845" max="14845" width="29" style="192" customWidth="1"/>
    <col min="14846" max="14846" width="22.85546875" style="192" bestFit="1" customWidth="1"/>
    <col min="14847" max="14847" width="34.28515625" style="192" customWidth="1"/>
    <col min="14848" max="14848" width="25.7109375" style="192" bestFit="1" customWidth="1"/>
    <col min="14849" max="14849" width="39.28515625" style="192" customWidth="1"/>
    <col min="14850" max="14850" width="18" style="192" customWidth="1"/>
    <col min="14851" max="15098" width="9.140625" style="192"/>
    <col min="15099" max="15099" width="5.85546875" style="192" customWidth="1"/>
    <col min="15100" max="15100" width="8.42578125" style="192" customWidth="1"/>
    <col min="15101" max="15101" width="29" style="192" customWidth="1"/>
    <col min="15102" max="15102" width="22.85546875" style="192" bestFit="1" customWidth="1"/>
    <col min="15103" max="15103" width="34.28515625" style="192" customWidth="1"/>
    <col min="15104" max="15104" width="25.7109375" style="192" bestFit="1" customWidth="1"/>
    <col min="15105" max="15105" width="39.28515625" style="192" customWidth="1"/>
    <col min="15106" max="15106" width="18" style="192" customWidth="1"/>
    <col min="15107" max="15354" width="9.140625" style="192"/>
    <col min="15355" max="15355" width="5.85546875" style="192" customWidth="1"/>
    <col min="15356" max="15356" width="8.42578125" style="192" customWidth="1"/>
    <col min="15357" max="15357" width="29" style="192" customWidth="1"/>
    <col min="15358" max="15358" width="22.85546875" style="192" bestFit="1" customWidth="1"/>
    <col min="15359" max="15359" width="34.28515625" style="192" customWidth="1"/>
    <col min="15360" max="15360" width="25.7109375" style="192" bestFit="1" customWidth="1"/>
    <col min="15361" max="15361" width="39.28515625" style="192" customWidth="1"/>
    <col min="15362" max="15362" width="18" style="192" customWidth="1"/>
    <col min="15363" max="15610" width="9.140625" style="192"/>
    <col min="15611" max="15611" width="5.85546875" style="192" customWidth="1"/>
    <col min="15612" max="15612" width="8.42578125" style="192" customWidth="1"/>
    <col min="15613" max="15613" width="29" style="192" customWidth="1"/>
    <col min="15614" max="15614" width="22.85546875" style="192" bestFit="1" customWidth="1"/>
    <col min="15615" max="15615" width="34.28515625" style="192" customWidth="1"/>
    <col min="15616" max="15616" width="25.7109375" style="192" bestFit="1" customWidth="1"/>
    <col min="15617" max="15617" width="39.28515625" style="192" customWidth="1"/>
    <col min="15618" max="15618" width="18" style="192" customWidth="1"/>
    <col min="15619" max="15866" width="9.140625" style="192"/>
    <col min="15867" max="15867" width="5.85546875" style="192" customWidth="1"/>
    <col min="15868" max="15868" width="8.42578125" style="192" customWidth="1"/>
    <col min="15869" max="15869" width="29" style="192" customWidth="1"/>
    <col min="15870" max="15870" width="22.85546875" style="192" bestFit="1" customWidth="1"/>
    <col min="15871" max="15871" width="34.28515625" style="192" customWidth="1"/>
    <col min="15872" max="15872" width="25.7109375" style="192" bestFit="1" customWidth="1"/>
    <col min="15873" max="15873" width="39.28515625" style="192" customWidth="1"/>
    <col min="15874" max="15874" width="18" style="192" customWidth="1"/>
    <col min="15875" max="16122" width="9.140625" style="192"/>
    <col min="16123" max="16123" width="5.85546875" style="192" customWidth="1"/>
    <col min="16124" max="16124" width="8.42578125" style="192" customWidth="1"/>
    <col min="16125" max="16125" width="29" style="192" customWidth="1"/>
    <col min="16126" max="16126" width="22.85546875" style="192" bestFit="1" customWidth="1"/>
    <col min="16127" max="16127" width="34.28515625" style="192" customWidth="1"/>
    <col min="16128" max="16128" width="25.7109375" style="192" bestFit="1" customWidth="1"/>
    <col min="16129" max="16129" width="39.28515625" style="192" customWidth="1"/>
    <col min="16130" max="16130" width="18" style="192" customWidth="1"/>
    <col min="16131" max="16384" width="9.140625" style="192"/>
  </cols>
  <sheetData>
    <row r="1" spans="1:5" ht="32.25" customHeight="1" thickBot="1">
      <c r="A1" s="194" t="s">
        <v>2</v>
      </c>
      <c r="B1" s="194" t="s">
        <v>3</v>
      </c>
      <c r="C1" s="194" t="s">
        <v>1869</v>
      </c>
      <c r="D1" s="195" t="s">
        <v>1870</v>
      </c>
      <c r="E1" s="196" t="s">
        <v>1871</v>
      </c>
    </row>
    <row r="2" spans="1:5">
      <c r="A2" s="827">
        <v>1338</v>
      </c>
      <c r="B2" s="397" t="s">
        <v>89</v>
      </c>
      <c r="C2" s="398" t="s">
        <v>1872</v>
      </c>
      <c r="D2" s="399" t="s">
        <v>2123</v>
      </c>
      <c r="E2" s="197"/>
    </row>
    <row r="3" spans="1:5" s="193" customFormat="1">
      <c r="A3" s="828">
        <v>1608</v>
      </c>
      <c r="B3" s="198" t="s">
        <v>142</v>
      </c>
      <c r="C3" s="212" t="s">
        <v>1873</v>
      </c>
      <c r="D3" s="225" t="s">
        <v>2131</v>
      </c>
      <c r="E3" s="199"/>
    </row>
    <row r="4" spans="1:5">
      <c r="A4" s="828">
        <v>1618</v>
      </c>
      <c r="B4" s="198" t="s">
        <v>253</v>
      </c>
      <c r="C4" s="212" t="s">
        <v>1874</v>
      </c>
      <c r="D4" s="225" t="s">
        <v>2130</v>
      </c>
      <c r="E4" s="199"/>
    </row>
    <row r="5" spans="1:5">
      <c r="A5" s="828">
        <v>2181</v>
      </c>
      <c r="B5" s="198" t="s">
        <v>156</v>
      </c>
      <c r="C5" s="213" t="s">
        <v>1875</v>
      </c>
      <c r="D5" s="225" t="s">
        <v>2150</v>
      </c>
      <c r="E5" s="199"/>
    </row>
    <row r="6" spans="1:5" s="203" customFormat="1">
      <c r="A6" s="829">
        <v>2184</v>
      </c>
      <c r="B6" s="200" t="s">
        <v>73</v>
      </c>
      <c r="C6" s="214" t="s">
        <v>1876</v>
      </c>
      <c r="D6" s="201" t="s">
        <v>2151</v>
      </c>
      <c r="E6" s="202"/>
    </row>
    <row r="7" spans="1:5">
      <c r="A7" s="828">
        <v>2186</v>
      </c>
      <c r="B7" s="198" t="s">
        <v>95</v>
      </c>
      <c r="C7" s="212" t="s">
        <v>1877</v>
      </c>
      <c r="D7" s="225" t="s">
        <v>2132</v>
      </c>
      <c r="E7" s="199"/>
    </row>
    <row r="8" spans="1:5">
      <c r="A8" s="828">
        <v>2195</v>
      </c>
      <c r="B8" s="198" t="s">
        <v>173</v>
      </c>
      <c r="C8" s="212" t="s">
        <v>1878</v>
      </c>
      <c r="D8" s="225" t="s">
        <v>2143</v>
      </c>
      <c r="E8" s="199"/>
    </row>
    <row r="9" spans="1:5">
      <c r="A9" s="828">
        <v>2201</v>
      </c>
      <c r="B9" s="198" t="s">
        <v>431</v>
      </c>
      <c r="C9" s="212" t="s">
        <v>1879</v>
      </c>
      <c r="D9" s="225" t="s">
        <v>2144</v>
      </c>
      <c r="E9" s="199"/>
    </row>
    <row r="10" spans="1:5">
      <c r="A10" s="828">
        <v>2204</v>
      </c>
      <c r="B10" s="198" t="s">
        <v>1880</v>
      </c>
      <c r="C10" s="213" t="s">
        <v>1881</v>
      </c>
      <c r="D10" s="225" t="s">
        <v>2124</v>
      </c>
      <c r="E10" s="199"/>
    </row>
    <row r="11" spans="1:5">
      <c r="A11" s="828">
        <v>2205</v>
      </c>
      <c r="B11" s="198" t="s">
        <v>144</v>
      </c>
      <c r="C11" s="215" t="s">
        <v>1882</v>
      </c>
      <c r="D11" s="225" t="s">
        <v>2133</v>
      </c>
      <c r="E11" s="199"/>
    </row>
    <row r="12" spans="1:5">
      <c r="A12" s="828">
        <v>2207</v>
      </c>
      <c r="B12" s="198" t="s">
        <v>1883</v>
      </c>
      <c r="C12" s="212" t="s">
        <v>1884</v>
      </c>
      <c r="D12" s="225" t="s">
        <v>2134</v>
      </c>
      <c r="E12" s="199"/>
    </row>
    <row r="13" spans="1:5">
      <c r="A13" s="828">
        <v>2208</v>
      </c>
      <c r="B13" s="198" t="s">
        <v>98</v>
      </c>
      <c r="C13" s="215" t="s">
        <v>1885</v>
      </c>
      <c r="D13" s="225" t="s">
        <v>2135</v>
      </c>
      <c r="E13" s="199"/>
    </row>
    <row r="14" spans="1:5">
      <c r="A14" s="828">
        <v>2210</v>
      </c>
      <c r="B14" s="198" t="s">
        <v>29</v>
      </c>
      <c r="C14" s="212" t="s">
        <v>1886</v>
      </c>
      <c r="D14" s="225" t="s">
        <v>2125</v>
      </c>
      <c r="E14" s="199"/>
    </row>
    <row r="15" spans="1:5">
      <c r="A15" s="828">
        <v>2211</v>
      </c>
      <c r="B15" s="198" t="s">
        <v>158</v>
      </c>
      <c r="C15" s="212" t="s">
        <v>1887</v>
      </c>
      <c r="D15" s="226" t="s">
        <v>2297</v>
      </c>
      <c r="E15" s="199"/>
    </row>
    <row r="16" spans="1:5" s="203" customFormat="1">
      <c r="A16" s="829">
        <v>2215</v>
      </c>
      <c r="B16" s="204" t="s">
        <v>77</v>
      </c>
      <c r="C16" s="216" t="s">
        <v>1888</v>
      </c>
      <c r="D16" s="227" t="s">
        <v>2292</v>
      </c>
      <c r="E16" s="202"/>
    </row>
    <row r="17" spans="1:5">
      <c r="A17" s="828">
        <v>2217</v>
      </c>
      <c r="B17" s="198" t="s">
        <v>1889</v>
      </c>
      <c r="C17" s="212" t="s">
        <v>1890</v>
      </c>
      <c r="D17" s="225" t="s">
        <v>2126</v>
      </c>
      <c r="E17" s="199"/>
    </row>
    <row r="18" spans="1:5">
      <c r="A18" s="828">
        <v>2218</v>
      </c>
      <c r="B18" s="198" t="s">
        <v>79</v>
      </c>
      <c r="C18" s="213" t="s">
        <v>1891</v>
      </c>
      <c r="D18" s="226" t="s">
        <v>2806</v>
      </c>
      <c r="E18" s="199"/>
    </row>
    <row r="19" spans="1:5">
      <c r="A19" s="828">
        <v>2225</v>
      </c>
      <c r="B19" s="198" t="s">
        <v>100</v>
      </c>
      <c r="C19" s="212" t="s">
        <v>1892</v>
      </c>
      <c r="D19" s="225" t="s">
        <v>2127</v>
      </c>
      <c r="E19" s="199"/>
    </row>
    <row r="20" spans="1:5">
      <c r="A20" s="828">
        <v>2227</v>
      </c>
      <c r="B20" s="198" t="s">
        <v>75</v>
      </c>
      <c r="C20" s="212" t="s">
        <v>1893</v>
      </c>
      <c r="D20" s="226" t="s">
        <v>2296</v>
      </c>
      <c r="E20" s="199"/>
    </row>
    <row r="21" spans="1:5">
      <c r="A21" s="828">
        <v>2230</v>
      </c>
      <c r="B21" s="198" t="s">
        <v>433</v>
      </c>
      <c r="C21" s="212" t="s">
        <v>1894</v>
      </c>
      <c r="D21" s="225" t="s">
        <v>2129</v>
      </c>
      <c r="E21" s="199"/>
    </row>
    <row r="22" spans="1:5">
      <c r="A22" s="828">
        <v>2231</v>
      </c>
      <c r="B22" s="198" t="s">
        <v>107</v>
      </c>
      <c r="C22" s="212" t="s">
        <v>1895</v>
      </c>
      <c r="D22" s="226" t="s">
        <v>2469</v>
      </c>
      <c r="E22" s="199"/>
    </row>
    <row r="23" spans="1:5">
      <c r="A23" s="828">
        <v>2416</v>
      </c>
      <c r="B23" s="198" t="s">
        <v>280</v>
      </c>
      <c r="C23" s="212" t="s">
        <v>1896</v>
      </c>
      <c r="D23" s="225" t="s">
        <v>2136</v>
      </c>
      <c r="E23" s="199"/>
    </row>
    <row r="24" spans="1:5" s="193" customFormat="1">
      <c r="A24" s="828">
        <v>2417</v>
      </c>
      <c r="B24" s="198" t="s">
        <v>63</v>
      </c>
      <c r="C24" s="212" t="s">
        <v>1897</v>
      </c>
      <c r="D24" s="225" t="s">
        <v>2137</v>
      </c>
      <c r="E24" s="199"/>
    </row>
    <row r="25" spans="1:5">
      <c r="A25" s="828">
        <v>2610</v>
      </c>
      <c r="B25" s="198" t="s">
        <v>205</v>
      </c>
      <c r="C25" s="212" t="s">
        <v>1898</v>
      </c>
      <c r="D25" s="225" t="s">
        <v>2138</v>
      </c>
      <c r="E25" s="199"/>
    </row>
    <row r="26" spans="1:5">
      <c r="A26" s="828">
        <v>2878</v>
      </c>
      <c r="B26" s="198" t="s">
        <v>257</v>
      </c>
      <c r="C26" s="212" t="s">
        <v>1899</v>
      </c>
      <c r="D26" s="225" t="s">
        <v>2139</v>
      </c>
      <c r="E26" s="199"/>
    </row>
    <row r="27" spans="1:5">
      <c r="A27" s="828">
        <v>2929</v>
      </c>
      <c r="B27" s="198" t="s">
        <v>1864</v>
      </c>
      <c r="C27" s="212" t="s">
        <v>1900</v>
      </c>
      <c r="D27" s="225" t="s">
        <v>1901</v>
      </c>
      <c r="E27" s="199"/>
    </row>
    <row r="28" spans="1:5">
      <c r="A28" s="828">
        <v>2971</v>
      </c>
      <c r="B28" s="198" t="s">
        <v>454</v>
      </c>
      <c r="C28" s="213" t="s">
        <v>1902</v>
      </c>
      <c r="D28" s="225" t="s">
        <v>2140</v>
      </c>
      <c r="E28" s="199"/>
    </row>
    <row r="29" spans="1:5">
      <c r="A29" s="828">
        <v>3380</v>
      </c>
      <c r="B29" s="198" t="s">
        <v>49</v>
      </c>
      <c r="C29" s="212" t="s">
        <v>1903</v>
      </c>
      <c r="D29" s="225" t="s">
        <v>1904</v>
      </c>
      <c r="E29" s="199"/>
    </row>
    <row r="30" spans="1:5">
      <c r="A30" s="828">
        <v>3382</v>
      </c>
      <c r="B30" s="198" t="s">
        <v>1022</v>
      </c>
      <c r="C30" s="212" t="s">
        <v>1905</v>
      </c>
      <c r="D30" s="225" t="s">
        <v>2141</v>
      </c>
      <c r="E30" s="199"/>
    </row>
    <row r="31" spans="1:5">
      <c r="A31" s="828">
        <v>3388</v>
      </c>
      <c r="B31" s="198" t="s">
        <v>102</v>
      </c>
      <c r="C31" s="212" t="s">
        <v>1906</v>
      </c>
      <c r="D31" s="225" t="s">
        <v>2142</v>
      </c>
      <c r="E31" s="199"/>
    </row>
    <row r="32" spans="1:5">
      <c r="A32" s="828">
        <v>3485</v>
      </c>
      <c r="B32" s="198" t="s">
        <v>16</v>
      </c>
      <c r="C32" s="212" t="s">
        <v>1907</v>
      </c>
      <c r="D32" s="226" t="s">
        <v>2290</v>
      </c>
      <c r="E32" s="199"/>
    </row>
    <row r="33" spans="1:5">
      <c r="A33" s="828">
        <v>3766</v>
      </c>
      <c r="B33" s="198" t="s">
        <v>259</v>
      </c>
      <c r="C33" s="212" t="s">
        <v>1908</v>
      </c>
      <c r="D33" s="226" t="s">
        <v>2291</v>
      </c>
      <c r="E33" s="199"/>
    </row>
    <row r="34" spans="1:5">
      <c r="A34" s="828">
        <v>3870</v>
      </c>
      <c r="B34" s="198" t="s">
        <v>51</v>
      </c>
      <c r="C34" s="212" t="s">
        <v>1909</v>
      </c>
      <c r="D34" s="225" t="s">
        <v>2146</v>
      </c>
      <c r="E34" s="199"/>
    </row>
    <row r="35" spans="1:5">
      <c r="A35" s="828">
        <v>4024</v>
      </c>
      <c r="B35" s="198" t="s">
        <v>248</v>
      </c>
      <c r="C35" s="212" t="s">
        <v>2319</v>
      </c>
      <c r="D35" s="225" t="s">
        <v>2147</v>
      </c>
      <c r="E35" s="199"/>
    </row>
    <row r="36" spans="1:5">
      <c r="A36" s="830">
        <v>4067</v>
      </c>
      <c r="B36" s="241" t="s">
        <v>2434</v>
      </c>
      <c r="C36" s="394" t="s">
        <v>2476</v>
      </c>
      <c r="D36" s="225" t="s">
        <v>2441</v>
      </c>
      <c r="E36" s="199"/>
    </row>
    <row r="37" spans="1:5">
      <c r="A37" s="828">
        <v>4190</v>
      </c>
      <c r="B37" s="198" t="s">
        <v>1910</v>
      </c>
      <c r="C37" s="212" t="s">
        <v>1911</v>
      </c>
      <c r="D37" s="225" t="s">
        <v>2148</v>
      </c>
      <c r="E37" s="199"/>
    </row>
    <row r="38" spans="1:5">
      <c r="A38" s="828">
        <v>4413</v>
      </c>
      <c r="B38" s="198" t="s">
        <v>146</v>
      </c>
      <c r="C38" s="212" t="s">
        <v>1912</v>
      </c>
      <c r="D38" s="225" t="s">
        <v>2149</v>
      </c>
      <c r="E38" s="199"/>
    </row>
    <row r="39" spans="1:5">
      <c r="A39" s="830">
        <v>4441</v>
      </c>
      <c r="B39" s="241" t="s">
        <v>2371</v>
      </c>
      <c r="C39" s="394" t="s">
        <v>2376</v>
      </c>
      <c r="D39" s="226" t="s">
        <v>2377</v>
      </c>
      <c r="E39" s="199"/>
    </row>
    <row r="40" spans="1:5">
      <c r="A40" s="828">
        <v>4572</v>
      </c>
      <c r="B40" s="198" t="s">
        <v>43</v>
      </c>
      <c r="C40" s="212" t="s">
        <v>1913</v>
      </c>
      <c r="D40" s="225" t="s">
        <v>2152</v>
      </c>
      <c r="E40" s="199"/>
    </row>
    <row r="41" spans="1:5">
      <c r="A41" s="828">
        <v>4622</v>
      </c>
      <c r="B41" s="198" t="s">
        <v>118</v>
      </c>
      <c r="C41" s="212" t="s">
        <v>1914</v>
      </c>
      <c r="D41" s="225" t="s">
        <v>2153</v>
      </c>
      <c r="E41" s="199"/>
    </row>
    <row r="42" spans="1:5">
      <c r="A42" s="828">
        <v>4623</v>
      </c>
      <c r="B42" s="198" t="s">
        <v>87</v>
      </c>
      <c r="C42" s="212" t="s">
        <v>1915</v>
      </c>
      <c r="D42" s="225" t="s">
        <v>2154</v>
      </c>
      <c r="E42" s="199"/>
    </row>
    <row r="43" spans="1:5">
      <c r="A43" s="828">
        <v>4624</v>
      </c>
      <c r="B43" s="198" t="s">
        <v>161</v>
      </c>
      <c r="C43" s="212" t="s">
        <v>1916</v>
      </c>
      <c r="D43" s="225" t="s">
        <v>2155</v>
      </c>
      <c r="E43" s="199"/>
    </row>
    <row r="44" spans="1:5">
      <c r="A44" s="828">
        <v>4625</v>
      </c>
      <c r="B44" s="198" t="s">
        <v>164</v>
      </c>
      <c r="C44" s="212" t="s">
        <v>1917</v>
      </c>
      <c r="D44" s="225" t="s">
        <v>2156</v>
      </c>
      <c r="E44" s="199"/>
    </row>
    <row r="45" spans="1:5">
      <c r="A45" s="828">
        <v>4626</v>
      </c>
      <c r="B45" s="198" t="s">
        <v>436</v>
      </c>
      <c r="C45" s="212" t="s">
        <v>1918</v>
      </c>
      <c r="D45" s="225" t="s">
        <v>2158</v>
      </c>
      <c r="E45" s="199"/>
    </row>
    <row r="46" spans="1:5">
      <c r="A46" s="828">
        <v>4627</v>
      </c>
      <c r="B46" s="198" t="s">
        <v>91</v>
      </c>
      <c r="C46" s="212" t="s">
        <v>1919</v>
      </c>
      <c r="D46" s="225" t="s">
        <v>2157</v>
      </c>
      <c r="E46" s="199"/>
    </row>
    <row r="47" spans="1:5">
      <c r="A47" s="828">
        <v>4629</v>
      </c>
      <c r="B47" s="198" t="s">
        <v>1920</v>
      </c>
      <c r="C47" s="212" t="s">
        <v>1921</v>
      </c>
      <c r="D47" s="225" t="s">
        <v>2159</v>
      </c>
      <c r="E47" s="199"/>
    </row>
    <row r="48" spans="1:5">
      <c r="A48" s="828">
        <v>4630</v>
      </c>
      <c r="B48" s="198" t="s">
        <v>208</v>
      </c>
      <c r="C48" s="212" t="s">
        <v>1922</v>
      </c>
      <c r="D48" s="225" t="s">
        <v>2160</v>
      </c>
      <c r="E48" s="199"/>
    </row>
    <row r="49" spans="1:5">
      <c r="A49" s="828">
        <v>4632</v>
      </c>
      <c r="B49" s="198" t="s">
        <v>187</v>
      </c>
      <c r="C49" s="212" t="s">
        <v>1923</v>
      </c>
      <c r="D49" s="225" t="s">
        <v>2161</v>
      </c>
      <c r="E49" s="199"/>
    </row>
    <row r="50" spans="1:5">
      <c r="A50" s="828">
        <v>4635</v>
      </c>
      <c r="B50" s="198" t="s">
        <v>284</v>
      </c>
      <c r="C50" s="212" t="s">
        <v>1924</v>
      </c>
      <c r="D50" s="225" t="s">
        <v>2162</v>
      </c>
      <c r="E50" s="199"/>
    </row>
    <row r="51" spans="1:5">
      <c r="A51" s="828">
        <v>4638</v>
      </c>
      <c r="B51" s="198" t="s">
        <v>278</v>
      </c>
      <c r="C51" s="212" t="s">
        <v>1925</v>
      </c>
      <c r="D51" s="225" t="s">
        <v>2163</v>
      </c>
      <c r="E51" s="199"/>
    </row>
    <row r="52" spans="1:5">
      <c r="A52" s="828">
        <v>4640</v>
      </c>
      <c r="B52" s="198" t="s">
        <v>276</v>
      </c>
      <c r="C52" s="212" t="s">
        <v>1926</v>
      </c>
      <c r="D52" s="225" t="s">
        <v>2164</v>
      </c>
      <c r="E52" s="199"/>
    </row>
    <row r="53" spans="1:5">
      <c r="A53" s="828">
        <v>4641</v>
      </c>
      <c r="B53" s="198" t="s">
        <v>93</v>
      </c>
      <c r="C53" s="212" t="s">
        <v>1927</v>
      </c>
      <c r="D53" s="225" t="s">
        <v>2165</v>
      </c>
      <c r="E53" s="199"/>
    </row>
    <row r="54" spans="1:5">
      <c r="A54" s="828">
        <v>4645</v>
      </c>
      <c r="B54" s="198" t="s">
        <v>450</v>
      </c>
      <c r="C54" s="212" t="s">
        <v>1928</v>
      </c>
      <c r="D54" s="225" t="s">
        <v>1929</v>
      </c>
      <c r="E54" s="199"/>
    </row>
    <row r="55" spans="1:5">
      <c r="A55" s="828">
        <v>4647</v>
      </c>
      <c r="B55" s="198" t="s">
        <v>34</v>
      </c>
      <c r="C55" s="212" t="s">
        <v>1930</v>
      </c>
      <c r="D55" s="228" t="s">
        <v>1142</v>
      </c>
      <c r="E55" s="199"/>
    </row>
    <row r="56" spans="1:5">
      <c r="A56" s="828">
        <v>4652</v>
      </c>
      <c r="B56" s="198" t="s">
        <v>182</v>
      </c>
      <c r="C56" s="212" t="s">
        <v>1931</v>
      </c>
      <c r="D56" s="225" t="s">
        <v>2166</v>
      </c>
      <c r="E56" s="199"/>
    </row>
    <row r="57" spans="1:5">
      <c r="A57" s="828">
        <v>4653</v>
      </c>
      <c r="B57" s="198" t="s">
        <v>1145</v>
      </c>
      <c r="C57" s="215" t="s">
        <v>1932</v>
      </c>
      <c r="D57" s="225" t="s">
        <v>2167</v>
      </c>
      <c r="E57" s="199"/>
    </row>
    <row r="58" spans="1:5">
      <c r="A58" s="830">
        <v>4654</v>
      </c>
      <c r="B58" s="241" t="s">
        <v>1150</v>
      </c>
      <c r="C58" s="393" t="s">
        <v>2475</v>
      </c>
      <c r="D58" s="225" t="s">
        <v>2410</v>
      </c>
      <c r="E58" s="199"/>
    </row>
    <row r="59" spans="1:5">
      <c r="A59" s="828">
        <v>4656</v>
      </c>
      <c r="B59" s="198" t="s">
        <v>37</v>
      </c>
      <c r="C59" s="212" t="s">
        <v>1933</v>
      </c>
      <c r="D59" s="225" t="s">
        <v>2168</v>
      </c>
      <c r="E59" s="199"/>
    </row>
    <row r="60" spans="1:5">
      <c r="A60" s="828">
        <v>4657</v>
      </c>
      <c r="B60" s="198" t="s">
        <v>177</v>
      </c>
      <c r="C60" s="212" t="s">
        <v>1934</v>
      </c>
      <c r="D60" s="225" t="s">
        <v>2169</v>
      </c>
      <c r="E60" s="199"/>
    </row>
    <row r="61" spans="1:5">
      <c r="A61" s="828">
        <v>4658</v>
      </c>
      <c r="B61" s="198" t="s">
        <v>136</v>
      </c>
      <c r="C61" s="212" t="s">
        <v>1935</v>
      </c>
      <c r="D61" s="225" t="s">
        <v>2170</v>
      </c>
      <c r="E61" s="199"/>
    </row>
    <row r="62" spans="1:5">
      <c r="A62" s="828">
        <v>4661</v>
      </c>
      <c r="B62" s="198" t="s">
        <v>185</v>
      </c>
      <c r="C62" s="212" t="s">
        <v>1936</v>
      </c>
      <c r="D62" s="225" t="s">
        <v>1937</v>
      </c>
      <c r="E62" s="199"/>
    </row>
    <row r="63" spans="1:5">
      <c r="A63" s="828">
        <v>4664</v>
      </c>
      <c r="B63" s="198" t="s">
        <v>250</v>
      </c>
      <c r="C63" s="212" t="s">
        <v>1938</v>
      </c>
      <c r="D63" s="225" t="s">
        <v>2171</v>
      </c>
      <c r="E63" s="199"/>
    </row>
    <row r="64" spans="1:5">
      <c r="A64" s="828">
        <v>4666</v>
      </c>
      <c r="B64" s="198" t="s">
        <v>84</v>
      </c>
      <c r="C64" s="212" t="s">
        <v>1939</v>
      </c>
      <c r="D64" s="225" t="s">
        <v>2172</v>
      </c>
      <c r="E64" s="199"/>
    </row>
    <row r="65" spans="1:5">
      <c r="A65" s="828">
        <v>4667</v>
      </c>
      <c r="B65" s="198" t="s">
        <v>212</v>
      </c>
      <c r="C65" s="215" t="s">
        <v>1940</v>
      </c>
      <c r="D65" s="225" t="s">
        <v>2173</v>
      </c>
      <c r="E65" s="199"/>
    </row>
    <row r="66" spans="1:5">
      <c r="A66" s="828">
        <v>4668</v>
      </c>
      <c r="B66" s="198" t="s">
        <v>210</v>
      </c>
      <c r="C66" s="215" t="s">
        <v>1941</v>
      </c>
      <c r="D66" s="225" t="s">
        <v>2174</v>
      </c>
      <c r="E66" s="199"/>
    </row>
    <row r="67" spans="1:5">
      <c r="A67" s="828">
        <v>4670</v>
      </c>
      <c r="B67" s="198" t="s">
        <v>286</v>
      </c>
      <c r="C67" s="212" t="s">
        <v>1942</v>
      </c>
      <c r="D67" s="226" t="s">
        <v>1943</v>
      </c>
      <c r="E67" s="199"/>
    </row>
    <row r="68" spans="1:5">
      <c r="A68" s="828">
        <v>4671</v>
      </c>
      <c r="B68" s="198" t="s">
        <v>214</v>
      </c>
      <c r="C68" s="212" t="s">
        <v>1944</v>
      </c>
      <c r="D68" s="225" t="s">
        <v>2175</v>
      </c>
      <c r="E68" s="199"/>
    </row>
    <row r="69" spans="1:5">
      <c r="A69" s="828">
        <v>4672</v>
      </c>
      <c r="B69" s="198" t="s">
        <v>288</v>
      </c>
      <c r="C69" s="212" t="s">
        <v>1945</v>
      </c>
      <c r="D69" s="225" t="s">
        <v>2176</v>
      </c>
      <c r="E69" s="199"/>
    </row>
    <row r="70" spans="1:5">
      <c r="A70" s="828">
        <v>4673</v>
      </c>
      <c r="B70" s="198" t="s">
        <v>166</v>
      </c>
      <c r="C70" s="212" t="s">
        <v>1946</v>
      </c>
      <c r="D70" s="225" t="s">
        <v>2177</v>
      </c>
      <c r="E70" s="199"/>
    </row>
    <row r="71" spans="1:5">
      <c r="A71" s="828">
        <v>4674</v>
      </c>
      <c r="B71" s="198" t="s">
        <v>290</v>
      </c>
      <c r="C71" s="212" t="s">
        <v>1947</v>
      </c>
      <c r="D71" s="225" t="s">
        <v>2178</v>
      </c>
      <c r="E71" s="199"/>
    </row>
    <row r="72" spans="1:5">
      <c r="A72" s="828">
        <v>4675</v>
      </c>
      <c r="B72" s="198" t="s">
        <v>282</v>
      </c>
      <c r="C72" s="212" t="s">
        <v>1948</v>
      </c>
      <c r="D72" s="225" t="s">
        <v>2179</v>
      </c>
      <c r="E72" s="199"/>
    </row>
    <row r="73" spans="1:5">
      <c r="A73" s="828">
        <v>4676</v>
      </c>
      <c r="B73" s="198" t="s">
        <v>217</v>
      </c>
      <c r="C73" s="212" t="s">
        <v>1949</v>
      </c>
      <c r="D73" s="225" t="s">
        <v>2180</v>
      </c>
      <c r="E73" s="199"/>
    </row>
    <row r="74" spans="1:5">
      <c r="A74" s="828">
        <v>4678</v>
      </c>
      <c r="B74" s="198" t="s">
        <v>149</v>
      </c>
      <c r="C74" s="212" t="s">
        <v>1950</v>
      </c>
      <c r="D74" s="225" t="s">
        <v>2181</v>
      </c>
      <c r="E74" s="199"/>
    </row>
    <row r="75" spans="1:5">
      <c r="A75" s="828">
        <v>4679</v>
      </c>
      <c r="B75" s="198" t="s">
        <v>82</v>
      </c>
      <c r="C75" s="212" t="s">
        <v>1951</v>
      </c>
      <c r="D75" s="225" t="s">
        <v>2182</v>
      </c>
      <c r="E75" s="199"/>
    </row>
    <row r="76" spans="1:5">
      <c r="A76" s="828">
        <v>4684</v>
      </c>
      <c r="B76" s="198" t="s">
        <v>1952</v>
      </c>
      <c r="C76" s="212" t="s">
        <v>1953</v>
      </c>
      <c r="D76" s="225" t="s">
        <v>2183</v>
      </c>
      <c r="E76" s="199"/>
    </row>
    <row r="77" spans="1:5">
      <c r="A77" s="828">
        <v>4685</v>
      </c>
      <c r="B77" s="198" t="s">
        <v>293</v>
      </c>
      <c r="C77" s="215" t="s">
        <v>1954</v>
      </c>
      <c r="D77" s="225" t="s">
        <v>2184</v>
      </c>
      <c r="E77" s="199"/>
    </row>
    <row r="78" spans="1:5">
      <c r="A78" s="828">
        <v>4688</v>
      </c>
      <c r="B78" s="198" t="s">
        <v>198</v>
      </c>
      <c r="C78" s="212" t="s">
        <v>1955</v>
      </c>
      <c r="D78" s="225" t="s">
        <v>1956</v>
      </c>
      <c r="E78" s="199"/>
    </row>
    <row r="79" spans="1:5">
      <c r="A79" s="828">
        <v>4690</v>
      </c>
      <c r="B79" s="198" t="s">
        <v>200</v>
      </c>
      <c r="C79" s="215" t="s">
        <v>1957</v>
      </c>
      <c r="D79" s="226" t="s">
        <v>2185</v>
      </c>
      <c r="E79" s="199"/>
    </row>
    <row r="80" spans="1:5" ht="20.100000000000001" customHeight="1">
      <c r="A80" s="828">
        <v>4691</v>
      </c>
      <c r="B80" s="198" t="s">
        <v>295</v>
      </c>
      <c r="C80" s="212" t="s">
        <v>1958</v>
      </c>
      <c r="D80" s="224" t="s">
        <v>1959</v>
      </c>
      <c r="E80" s="199"/>
    </row>
    <row r="81" spans="1:5">
      <c r="A81" s="828">
        <v>4743</v>
      </c>
      <c r="B81" s="198" t="s">
        <v>456</v>
      </c>
      <c r="C81" s="212" t="s">
        <v>1960</v>
      </c>
      <c r="D81" s="225" t="s">
        <v>2186</v>
      </c>
      <c r="E81" s="199"/>
    </row>
    <row r="82" spans="1:5">
      <c r="A82" s="828">
        <v>4776</v>
      </c>
      <c r="B82" s="198" t="s">
        <v>190</v>
      </c>
      <c r="C82" s="212" t="s">
        <v>1961</v>
      </c>
      <c r="D82" s="225" t="s">
        <v>2187</v>
      </c>
      <c r="E82" s="199"/>
    </row>
    <row r="83" spans="1:5">
      <c r="A83" s="828">
        <v>4777</v>
      </c>
      <c r="B83" s="198" t="s">
        <v>458</v>
      </c>
      <c r="C83" s="212" t="s">
        <v>1962</v>
      </c>
      <c r="D83" s="225" t="s">
        <v>2188</v>
      </c>
      <c r="E83" s="199"/>
    </row>
    <row r="84" spans="1:5">
      <c r="A84" s="828">
        <v>4848</v>
      </c>
      <c r="B84" s="198" t="s">
        <v>196</v>
      </c>
      <c r="C84" s="212" t="s">
        <v>1963</v>
      </c>
      <c r="D84" s="225" t="s">
        <v>2189</v>
      </c>
      <c r="E84" s="199"/>
    </row>
    <row r="85" spans="1:5">
      <c r="A85" s="828">
        <v>4883</v>
      </c>
      <c r="B85" s="198" t="s">
        <v>202</v>
      </c>
      <c r="C85" s="212" t="s">
        <v>1964</v>
      </c>
      <c r="D85" s="225" t="s">
        <v>2190</v>
      </c>
      <c r="E85" s="199"/>
    </row>
    <row r="86" spans="1:5">
      <c r="A86" s="828">
        <v>4884</v>
      </c>
      <c r="B86" s="198" t="s">
        <v>219</v>
      </c>
      <c r="C86" s="212" t="s">
        <v>1965</v>
      </c>
      <c r="D86" s="225" t="s">
        <v>2191</v>
      </c>
      <c r="E86" s="199"/>
    </row>
    <row r="87" spans="1:5">
      <c r="A87" s="828">
        <v>4997</v>
      </c>
      <c r="B87" s="198" t="s">
        <v>298</v>
      </c>
      <c r="C87" s="212" t="s">
        <v>1966</v>
      </c>
      <c r="D87" s="225" t="s">
        <v>2192</v>
      </c>
      <c r="E87" s="199"/>
    </row>
    <row r="88" spans="1:5">
      <c r="A88" s="828">
        <v>4998</v>
      </c>
      <c r="B88" s="198" t="s">
        <v>46</v>
      </c>
      <c r="C88" s="212" t="s">
        <v>1967</v>
      </c>
      <c r="D88" s="225" t="s">
        <v>2193</v>
      </c>
      <c r="E88" s="199"/>
    </row>
    <row r="89" spans="1:5">
      <c r="A89" s="828">
        <v>5039</v>
      </c>
      <c r="B89" s="198" t="s">
        <v>109</v>
      </c>
      <c r="C89" s="215" t="s">
        <v>1968</v>
      </c>
      <c r="D89" s="225" t="s">
        <v>2194</v>
      </c>
      <c r="E89" s="199"/>
    </row>
    <row r="90" spans="1:5">
      <c r="A90" s="828">
        <v>5159</v>
      </c>
      <c r="B90" s="198" t="s">
        <v>452</v>
      </c>
      <c r="C90" s="212" t="s">
        <v>1969</v>
      </c>
      <c r="D90" s="225" t="s">
        <v>2195</v>
      </c>
      <c r="E90" s="199"/>
    </row>
    <row r="91" spans="1:5">
      <c r="A91" s="828">
        <v>5167</v>
      </c>
      <c r="B91" s="198" t="s">
        <v>439</v>
      </c>
      <c r="C91" s="212" t="s">
        <v>1970</v>
      </c>
      <c r="D91" s="225" t="s">
        <v>2196</v>
      </c>
      <c r="E91" s="199"/>
    </row>
    <row r="92" spans="1:5">
      <c r="A92" s="828">
        <v>5372</v>
      </c>
      <c r="B92" s="198" t="s">
        <v>221</v>
      </c>
      <c r="C92" s="212" t="s">
        <v>1971</v>
      </c>
      <c r="D92" s="225" t="s">
        <v>2197</v>
      </c>
      <c r="E92" s="199"/>
    </row>
    <row r="93" spans="1:5">
      <c r="A93" s="828">
        <v>5373</v>
      </c>
      <c r="B93" s="198" t="s">
        <v>300</v>
      </c>
      <c r="C93" s="212" t="s">
        <v>1972</v>
      </c>
      <c r="D93" s="225" t="s">
        <v>2198</v>
      </c>
      <c r="E93" s="199"/>
    </row>
    <row r="94" spans="1:5">
      <c r="A94" s="830">
        <v>5418</v>
      </c>
      <c r="B94" s="241" t="s">
        <v>2323</v>
      </c>
      <c r="C94" s="212"/>
      <c r="D94" s="226" t="s">
        <v>2326</v>
      </c>
      <c r="E94" s="199"/>
    </row>
    <row r="95" spans="1:5">
      <c r="A95" s="828">
        <v>5447</v>
      </c>
      <c r="B95" s="198" t="s">
        <v>460</v>
      </c>
      <c r="C95" s="212" t="s">
        <v>1973</v>
      </c>
      <c r="D95" s="225" t="s">
        <v>2199</v>
      </c>
      <c r="E95" s="199"/>
    </row>
    <row r="96" spans="1:5">
      <c r="A96" s="828">
        <v>5638</v>
      </c>
      <c r="B96" s="198" t="s">
        <v>24</v>
      </c>
      <c r="C96" s="215" t="s">
        <v>1974</v>
      </c>
      <c r="D96" s="225" t="s">
        <v>2128</v>
      </c>
      <c r="E96" s="199"/>
    </row>
    <row r="97" spans="1:5">
      <c r="A97" s="830">
        <v>5792</v>
      </c>
      <c r="B97" s="241" t="s">
        <v>2370</v>
      </c>
      <c r="C97" s="393" t="s">
        <v>2374</v>
      </c>
      <c r="D97" s="226" t="s">
        <v>2375</v>
      </c>
      <c r="E97" s="199"/>
    </row>
    <row r="98" spans="1:5">
      <c r="A98" s="828">
        <v>5837</v>
      </c>
      <c r="B98" s="198" t="s">
        <v>441</v>
      </c>
      <c r="C98" s="213" t="s">
        <v>1975</v>
      </c>
      <c r="D98" s="225" t="s">
        <v>2200</v>
      </c>
      <c r="E98" s="199"/>
    </row>
    <row r="99" spans="1:5" s="718" customFormat="1">
      <c r="A99" s="831">
        <v>5811</v>
      </c>
      <c r="B99" s="240" t="s">
        <v>2367</v>
      </c>
      <c r="C99" s="717" t="s">
        <v>2368</v>
      </c>
      <c r="D99" s="211" t="s">
        <v>2369</v>
      </c>
      <c r="E99" s="202"/>
    </row>
    <row r="100" spans="1:5">
      <c r="A100" s="828">
        <v>5838</v>
      </c>
      <c r="B100" s="198" t="s">
        <v>302</v>
      </c>
      <c r="C100" s="212" t="s">
        <v>1976</v>
      </c>
      <c r="D100" s="225" t="s">
        <v>2201</v>
      </c>
      <c r="E100" s="199"/>
    </row>
    <row r="101" spans="1:5">
      <c r="A101" s="828">
        <v>5839</v>
      </c>
      <c r="B101" s="198" t="s">
        <v>304</v>
      </c>
      <c r="C101" s="215" t="s">
        <v>1977</v>
      </c>
      <c r="D101" s="225" t="s">
        <v>2202</v>
      </c>
      <c r="E101" s="199"/>
    </row>
    <row r="102" spans="1:5">
      <c r="A102" s="828">
        <v>5883</v>
      </c>
      <c r="B102" s="198" t="s">
        <v>261</v>
      </c>
      <c r="C102" s="212" t="s">
        <v>1978</v>
      </c>
      <c r="D102" s="225" t="s">
        <v>1979</v>
      </c>
      <c r="E102" s="199"/>
    </row>
    <row r="103" spans="1:5">
      <c r="A103" s="828">
        <v>6005</v>
      </c>
      <c r="B103" s="198" t="s">
        <v>263</v>
      </c>
      <c r="C103" s="217" t="s">
        <v>1980</v>
      </c>
      <c r="D103" s="225" t="s">
        <v>2203</v>
      </c>
      <c r="E103" s="199"/>
    </row>
    <row r="104" spans="1:5">
      <c r="A104" s="828">
        <v>6031</v>
      </c>
      <c r="B104" s="198" t="s">
        <v>306</v>
      </c>
      <c r="C104" s="215" t="s">
        <v>1981</v>
      </c>
      <c r="D104" s="225" t="s">
        <v>2204</v>
      </c>
      <c r="E104" s="199"/>
    </row>
    <row r="105" spans="1:5">
      <c r="A105" s="828">
        <v>6114</v>
      </c>
      <c r="B105" s="198" t="s">
        <v>309</v>
      </c>
      <c r="C105" s="212" t="s">
        <v>1982</v>
      </c>
      <c r="D105" s="225" t="s">
        <v>2205</v>
      </c>
      <c r="E105" s="199"/>
    </row>
    <row r="106" spans="1:5">
      <c r="A106" s="828">
        <v>6123</v>
      </c>
      <c r="B106" s="198" t="s">
        <v>462</v>
      </c>
      <c r="C106" s="212" t="s">
        <v>1983</v>
      </c>
      <c r="D106" s="225" t="s">
        <v>2206</v>
      </c>
      <c r="E106" s="199"/>
    </row>
    <row r="107" spans="1:5">
      <c r="A107" s="830">
        <v>6202</v>
      </c>
      <c r="B107" s="241" t="s">
        <v>2427</v>
      </c>
      <c r="C107" s="721" t="s">
        <v>2497</v>
      </c>
      <c r="D107" s="226" t="s">
        <v>2428</v>
      </c>
      <c r="E107" s="199"/>
    </row>
    <row r="108" spans="1:5">
      <c r="A108" s="828">
        <v>6208</v>
      </c>
      <c r="B108" s="198" t="s">
        <v>311</v>
      </c>
      <c r="C108" s="212" t="s">
        <v>1984</v>
      </c>
      <c r="D108" s="225" t="s">
        <v>2207</v>
      </c>
      <c r="E108" s="199"/>
    </row>
    <row r="109" spans="1:5">
      <c r="A109" s="828">
        <v>6327</v>
      </c>
      <c r="B109" s="198" t="s">
        <v>1985</v>
      </c>
      <c r="C109" s="212" t="s">
        <v>1986</v>
      </c>
      <c r="D109" s="225" t="s">
        <v>2208</v>
      </c>
      <c r="E109" s="199"/>
    </row>
    <row r="110" spans="1:5">
      <c r="A110" s="828">
        <v>6438</v>
      </c>
      <c r="B110" s="198" t="s">
        <v>428</v>
      </c>
      <c r="C110" s="215" t="s">
        <v>1987</v>
      </c>
      <c r="D110" s="225" t="s">
        <v>2209</v>
      </c>
      <c r="E110" s="199"/>
    </row>
    <row r="111" spans="1:5">
      <c r="A111" s="828">
        <v>6454</v>
      </c>
      <c r="B111" s="198" t="s">
        <v>313</v>
      </c>
      <c r="C111" s="212" t="s">
        <v>1988</v>
      </c>
      <c r="D111" s="225" t="s">
        <v>2210</v>
      </c>
      <c r="E111" s="199"/>
    </row>
    <row r="112" spans="1:5">
      <c r="A112" s="828">
        <v>6480</v>
      </c>
      <c r="B112" s="198" t="s">
        <v>266</v>
      </c>
      <c r="C112" s="212" t="s">
        <v>1989</v>
      </c>
      <c r="D112" s="225" t="s">
        <v>2211</v>
      </c>
      <c r="E112" s="199"/>
    </row>
    <row r="113" spans="1:6">
      <c r="A113" s="828">
        <v>6489</v>
      </c>
      <c r="B113" s="198" t="s">
        <v>443</v>
      </c>
      <c r="C113" s="212" t="s">
        <v>1990</v>
      </c>
      <c r="D113" s="225" t="s">
        <v>2212</v>
      </c>
      <c r="E113" s="199"/>
    </row>
    <row r="114" spans="1:6">
      <c r="A114" s="830">
        <v>6527</v>
      </c>
      <c r="B114" s="241" t="s">
        <v>2444</v>
      </c>
      <c r="C114" s="394" t="s">
        <v>2448</v>
      </c>
      <c r="D114" s="226" t="s">
        <v>2449</v>
      </c>
      <c r="E114" s="199"/>
    </row>
    <row r="115" spans="1:6">
      <c r="A115" s="828">
        <v>6539</v>
      </c>
      <c r="B115" s="198" t="s">
        <v>316</v>
      </c>
      <c r="C115" s="212" t="s">
        <v>1991</v>
      </c>
      <c r="D115" s="225" t="s">
        <v>2213</v>
      </c>
      <c r="E115" s="199"/>
    </row>
    <row r="116" spans="1:6">
      <c r="A116" s="828">
        <v>6586</v>
      </c>
      <c r="B116" s="198" t="s">
        <v>1992</v>
      </c>
      <c r="C116" s="215" t="s">
        <v>1993</v>
      </c>
      <c r="D116" s="225" t="s">
        <v>2214</v>
      </c>
      <c r="E116" s="199"/>
    </row>
    <row r="117" spans="1:6">
      <c r="A117" s="830">
        <v>6602</v>
      </c>
      <c r="B117" s="241" t="s">
        <v>2331</v>
      </c>
      <c r="C117" s="215"/>
      <c r="D117" s="226" t="s">
        <v>2332</v>
      </c>
      <c r="E117" s="199"/>
    </row>
    <row r="118" spans="1:6">
      <c r="A118" s="828">
        <v>6642</v>
      </c>
      <c r="B118" s="198" t="s">
        <v>318</v>
      </c>
      <c r="C118" s="215" t="s">
        <v>1994</v>
      </c>
      <c r="D118" s="225" t="s">
        <v>2215</v>
      </c>
      <c r="E118" s="199"/>
    </row>
    <row r="119" spans="1:6">
      <c r="A119" s="828">
        <v>6778</v>
      </c>
      <c r="B119" s="198" t="s">
        <v>320</v>
      </c>
      <c r="C119" s="212" t="s">
        <v>1995</v>
      </c>
      <c r="D119" s="225" t="s">
        <v>2216</v>
      </c>
      <c r="E119" s="199"/>
    </row>
    <row r="120" spans="1:6">
      <c r="A120" s="828">
        <v>6791</v>
      </c>
      <c r="B120" s="198" t="s">
        <v>223</v>
      </c>
      <c r="C120" s="212" t="s">
        <v>1996</v>
      </c>
      <c r="D120" s="225" t="s">
        <v>2217</v>
      </c>
      <c r="E120" s="199"/>
    </row>
    <row r="121" spans="1:6">
      <c r="A121" s="828">
        <v>6812</v>
      </c>
      <c r="B121" s="198" t="s">
        <v>40</v>
      </c>
      <c r="C121" s="212" t="s">
        <v>1997</v>
      </c>
      <c r="D121" s="225" t="s">
        <v>2218</v>
      </c>
      <c r="E121" s="199"/>
    </row>
    <row r="122" spans="1:6">
      <c r="A122" s="828">
        <v>6813</v>
      </c>
      <c r="B122" s="198" t="s">
        <v>122</v>
      </c>
      <c r="C122" s="212" t="s">
        <v>1998</v>
      </c>
      <c r="D122" s="225" t="s">
        <v>1999</v>
      </c>
      <c r="E122" s="199"/>
      <c r="F122" s="203"/>
    </row>
    <row r="123" spans="1:6">
      <c r="A123" s="828">
        <v>6894</v>
      </c>
      <c r="B123" s="198" t="s">
        <v>65</v>
      </c>
      <c r="C123" s="214" t="s">
        <v>2000</v>
      </c>
      <c r="D123" s="201" t="s">
        <v>2219</v>
      </c>
      <c r="E123" s="202"/>
    </row>
    <row r="124" spans="1:6">
      <c r="A124" s="828">
        <v>7063</v>
      </c>
      <c r="B124" s="198" t="s">
        <v>53</v>
      </c>
      <c r="C124" s="213" t="s">
        <v>2001</v>
      </c>
      <c r="D124" s="225" t="s">
        <v>2220</v>
      </c>
      <c r="E124" s="199"/>
    </row>
    <row r="125" spans="1:6">
      <c r="A125" s="828">
        <v>7161</v>
      </c>
      <c r="B125" s="198" t="s">
        <v>465</v>
      </c>
      <c r="C125" s="215" t="s">
        <v>2002</v>
      </c>
      <c r="D125" s="225" t="s">
        <v>2221</v>
      </c>
      <c r="E125" s="199"/>
    </row>
    <row r="126" spans="1:6">
      <c r="A126" s="828">
        <v>7179</v>
      </c>
      <c r="B126" s="198" t="s">
        <v>322</v>
      </c>
      <c r="C126" s="212" t="s">
        <v>2003</v>
      </c>
      <c r="D126" s="225" t="s">
        <v>2222</v>
      </c>
      <c r="E126" s="199"/>
    </row>
    <row r="127" spans="1:6">
      <c r="A127" s="828">
        <v>7195</v>
      </c>
      <c r="B127" s="198" t="s">
        <v>467</v>
      </c>
      <c r="C127" s="212" t="s">
        <v>2004</v>
      </c>
      <c r="D127" s="225" t="s">
        <v>2223</v>
      </c>
      <c r="E127" s="199"/>
    </row>
    <row r="128" spans="1:6">
      <c r="A128" s="828">
        <v>7196</v>
      </c>
      <c r="B128" s="198" t="s">
        <v>2005</v>
      </c>
      <c r="C128" s="215" t="s">
        <v>2006</v>
      </c>
      <c r="D128" s="225" t="s">
        <v>2224</v>
      </c>
      <c r="E128" s="199"/>
    </row>
    <row r="129" spans="1:5">
      <c r="A129" s="828">
        <v>7225</v>
      </c>
      <c r="B129" s="198" t="s">
        <v>470</v>
      </c>
      <c r="C129" s="393" t="s">
        <v>2498</v>
      </c>
      <c r="D129" s="225" t="s">
        <v>2225</v>
      </c>
      <c r="E129" s="199"/>
    </row>
    <row r="130" spans="1:5">
      <c r="A130" s="828">
        <v>7237</v>
      </c>
      <c r="B130" s="198" t="s">
        <v>476</v>
      </c>
      <c r="C130" s="212" t="s">
        <v>2007</v>
      </c>
      <c r="D130" s="224" t="s">
        <v>2008</v>
      </c>
      <c r="E130" s="199"/>
    </row>
    <row r="131" spans="1:5" s="203" customFormat="1">
      <c r="A131" s="828">
        <v>7404</v>
      </c>
      <c r="B131" s="198" t="s">
        <v>226</v>
      </c>
      <c r="C131" s="212" t="s">
        <v>2009</v>
      </c>
      <c r="D131" s="225" t="s">
        <v>2226</v>
      </c>
      <c r="E131" s="199"/>
    </row>
    <row r="132" spans="1:5">
      <c r="A132" s="829">
        <v>7438</v>
      </c>
      <c r="B132" s="204" t="s">
        <v>472</v>
      </c>
      <c r="C132" s="214" t="s">
        <v>2010</v>
      </c>
      <c r="D132" s="201" t="s">
        <v>2227</v>
      </c>
      <c r="E132" s="202"/>
    </row>
    <row r="133" spans="1:5">
      <c r="A133" s="828">
        <v>7447</v>
      </c>
      <c r="B133" s="198" t="s">
        <v>104</v>
      </c>
      <c r="C133" s="212" t="s">
        <v>2011</v>
      </c>
      <c r="D133" s="225" t="s">
        <v>2012</v>
      </c>
      <c r="E133" s="199"/>
    </row>
    <row r="134" spans="1:5">
      <c r="A134" s="828">
        <v>7483</v>
      </c>
      <c r="B134" s="198" t="s">
        <v>324</v>
      </c>
      <c r="C134" s="212" t="s">
        <v>2013</v>
      </c>
      <c r="D134" s="224" t="s">
        <v>2014</v>
      </c>
      <c r="E134" s="199"/>
    </row>
    <row r="135" spans="1:5">
      <c r="A135" s="828">
        <v>7489</v>
      </c>
      <c r="B135" s="198" t="s">
        <v>327</v>
      </c>
      <c r="C135" s="212" t="s">
        <v>2015</v>
      </c>
      <c r="D135" s="225" t="s">
        <v>2228</v>
      </c>
      <c r="E135" s="199"/>
    </row>
    <row r="136" spans="1:5">
      <c r="A136" s="828">
        <v>7500</v>
      </c>
      <c r="B136" s="198" t="s">
        <v>478</v>
      </c>
      <c r="C136" s="212" t="s">
        <v>2016</v>
      </c>
      <c r="D136" s="224" t="s">
        <v>2017</v>
      </c>
      <c r="E136" s="199"/>
    </row>
    <row r="137" spans="1:5">
      <c r="A137" s="829">
        <v>7502</v>
      </c>
      <c r="B137" s="204" t="s">
        <v>330</v>
      </c>
      <c r="C137" s="216" t="s">
        <v>2018</v>
      </c>
      <c r="D137" s="225" t="s">
        <v>2229</v>
      </c>
      <c r="E137" s="199"/>
    </row>
    <row r="138" spans="1:5">
      <c r="A138" s="828">
        <v>7575</v>
      </c>
      <c r="B138" s="198" t="s">
        <v>228</v>
      </c>
      <c r="C138" s="215" t="s">
        <v>2019</v>
      </c>
      <c r="D138" s="225" t="s">
        <v>2230</v>
      </c>
      <c r="E138" s="199"/>
    </row>
    <row r="139" spans="1:5">
      <c r="A139" s="828">
        <v>7578</v>
      </c>
      <c r="B139" s="198" t="s">
        <v>151</v>
      </c>
      <c r="C139" s="212" t="s">
        <v>2020</v>
      </c>
      <c r="D139" s="225" t="s">
        <v>2021</v>
      </c>
      <c r="E139" s="199"/>
    </row>
    <row r="140" spans="1:5">
      <c r="A140" s="828">
        <v>7606</v>
      </c>
      <c r="B140" s="198" t="s">
        <v>230</v>
      </c>
      <c r="C140" s="212" t="s">
        <v>2022</v>
      </c>
      <c r="D140" s="225" t="s">
        <v>2231</v>
      </c>
      <c r="E140" s="199"/>
    </row>
    <row r="141" spans="1:5">
      <c r="A141" s="828">
        <v>7611</v>
      </c>
      <c r="B141" s="198" t="s">
        <v>332</v>
      </c>
      <c r="C141" s="212" t="s">
        <v>2023</v>
      </c>
      <c r="D141" s="225" t="s">
        <v>2232</v>
      </c>
      <c r="E141" s="199"/>
    </row>
    <row r="142" spans="1:5">
      <c r="A142" s="828">
        <v>7614</v>
      </c>
      <c r="B142" s="198" t="s">
        <v>2024</v>
      </c>
      <c r="C142" s="212" t="s">
        <v>2025</v>
      </c>
      <c r="D142" s="225" t="s">
        <v>2026</v>
      </c>
      <c r="E142" s="199"/>
    </row>
    <row r="143" spans="1:5">
      <c r="A143" s="828">
        <v>7616</v>
      </c>
      <c r="B143" s="198" t="s">
        <v>236</v>
      </c>
      <c r="C143" s="212" t="s">
        <v>2027</v>
      </c>
      <c r="D143" s="225" t="s">
        <v>2233</v>
      </c>
      <c r="E143" s="199"/>
    </row>
    <row r="144" spans="1:5">
      <c r="A144" s="828">
        <v>7618</v>
      </c>
      <c r="B144" s="198" t="s">
        <v>138</v>
      </c>
      <c r="C144" s="212" t="s">
        <v>2028</v>
      </c>
      <c r="D144" s="225" t="s">
        <v>2234</v>
      </c>
      <c r="E144" s="199"/>
    </row>
    <row r="145" spans="1:5" s="203" customFormat="1">
      <c r="A145" s="828">
        <v>7622</v>
      </c>
      <c r="B145" s="198" t="s">
        <v>2029</v>
      </c>
      <c r="C145" s="216" t="s">
        <v>2030</v>
      </c>
      <c r="D145" s="225" t="s">
        <v>2235</v>
      </c>
      <c r="E145" s="199"/>
    </row>
    <row r="146" spans="1:5">
      <c r="A146" s="829">
        <v>7641</v>
      </c>
      <c r="B146" s="204" t="s">
        <v>2031</v>
      </c>
      <c r="C146" s="214" t="s">
        <v>2032</v>
      </c>
      <c r="D146" s="211" t="s">
        <v>2294</v>
      </c>
      <c r="E146" s="202"/>
    </row>
    <row r="147" spans="1:5" s="203" customFormat="1">
      <c r="A147" s="829">
        <v>7646</v>
      </c>
      <c r="B147" s="204" t="s">
        <v>269</v>
      </c>
      <c r="C147" s="214" t="s">
        <v>2033</v>
      </c>
      <c r="D147" s="226" t="s">
        <v>2295</v>
      </c>
      <c r="E147" s="199"/>
    </row>
    <row r="148" spans="1:5" s="203" customFormat="1">
      <c r="A148" s="829">
        <v>7649</v>
      </c>
      <c r="B148" s="204" t="s">
        <v>153</v>
      </c>
      <c r="C148" s="214" t="s">
        <v>2320</v>
      </c>
      <c r="D148" s="229" t="s">
        <v>2293</v>
      </c>
      <c r="E148" s="202"/>
    </row>
    <row r="149" spans="1:5" s="203" customFormat="1">
      <c r="A149" s="829">
        <v>7651</v>
      </c>
      <c r="B149" s="204" t="s">
        <v>481</v>
      </c>
      <c r="C149" s="218" t="s">
        <v>2034</v>
      </c>
      <c r="D149" s="230" t="s">
        <v>2302</v>
      </c>
      <c r="E149" s="202"/>
    </row>
    <row r="150" spans="1:5">
      <c r="A150" s="831">
        <v>7667</v>
      </c>
      <c r="B150" s="240" t="s">
        <v>2308</v>
      </c>
      <c r="C150" s="717" t="s">
        <v>2496</v>
      </c>
      <c r="D150" s="230" t="s">
        <v>2311</v>
      </c>
      <c r="E150" s="202"/>
    </row>
    <row r="151" spans="1:5">
      <c r="A151" s="828">
        <v>7672</v>
      </c>
      <c r="B151" s="198" t="s">
        <v>271</v>
      </c>
      <c r="C151" s="212" t="s">
        <v>2035</v>
      </c>
      <c r="D151" s="225" t="s">
        <v>2236</v>
      </c>
      <c r="E151" s="199"/>
    </row>
    <row r="152" spans="1:5">
      <c r="A152" s="828">
        <v>7673</v>
      </c>
      <c r="B152" s="198" t="s">
        <v>342</v>
      </c>
      <c r="C152" s="212" t="s">
        <v>2036</v>
      </c>
      <c r="D152" s="225" t="s">
        <v>2037</v>
      </c>
      <c r="E152" s="199"/>
    </row>
    <row r="153" spans="1:5">
      <c r="A153" s="828">
        <v>7682</v>
      </c>
      <c r="B153" s="198" t="s">
        <v>344</v>
      </c>
      <c r="C153" s="213" t="s">
        <v>2038</v>
      </c>
      <c r="D153" s="224" t="s">
        <v>2145</v>
      </c>
      <c r="E153" s="199"/>
    </row>
    <row r="154" spans="1:5">
      <c r="A154" s="828">
        <v>7685</v>
      </c>
      <c r="B154" s="198" t="s">
        <v>153</v>
      </c>
      <c r="C154" s="215" t="s">
        <v>2039</v>
      </c>
      <c r="D154" s="225" t="s">
        <v>2237</v>
      </c>
      <c r="E154" s="199"/>
    </row>
    <row r="155" spans="1:5">
      <c r="A155" s="828">
        <v>7688</v>
      </c>
      <c r="B155" s="198" t="s">
        <v>180</v>
      </c>
      <c r="C155" s="212" t="s">
        <v>2040</v>
      </c>
      <c r="D155" s="225" t="s">
        <v>2238</v>
      </c>
      <c r="E155" s="199"/>
    </row>
    <row r="156" spans="1:5">
      <c r="A156" s="828">
        <v>7692</v>
      </c>
      <c r="B156" s="198" t="s">
        <v>337</v>
      </c>
      <c r="C156" s="215" t="s">
        <v>2041</v>
      </c>
      <c r="D156" s="225" t="s">
        <v>2239</v>
      </c>
      <c r="E156" s="199"/>
    </row>
    <row r="157" spans="1:5">
      <c r="A157" s="828">
        <v>7693</v>
      </c>
      <c r="B157" s="198" t="s">
        <v>340</v>
      </c>
      <c r="C157" s="215" t="s">
        <v>2042</v>
      </c>
      <c r="D157" s="225" t="s">
        <v>2240</v>
      </c>
      <c r="E157" s="199"/>
    </row>
    <row r="158" spans="1:5">
      <c r="A158" s="828">
        <v>7824</v>
      </c>
      <c r="B158" s="198" t="s">
        <v>485</v>
      </c>
      <c r="C158" s="755" t="s">
        <v>2485</v>
      </c>
      <c r="D158" s="225" t="s">
        <v>2241</v>
      </c>
      <c r="E158" s="199"/>
    </row>
    <row r="159" spans="1:5">
      <c r="A159" s="828">
        <v>7843</v>
      </c>
      <c r="B159" s="198" t="s">
        <v>274</v>
      </c>
      <c r="C159" s="212" t="s">
        <v>2043</v>
      </c>
      <c r="D159" s="225" t="s">
        <v>2242</v>
      </c>
      <c r="E159" s="199"/>
    </row>
    <row r="160" spans="1:5">
      <c r="A160" s="828">
        <v>7870</v>
      </c>
      <c r="B160" s="198" t="s">
        <v>483</v>
      </c>
      <c r="C160" s="215" t="s">
        <v>2044</v>
      </c>
      <c r="D160" s="225" t="s">
        <v>2045</v>
      </c>
      <c r="E160" s="199"/>
    </row>
    <row r="161" spans="1:5">
      <c r="A161" s="828">
        <v>7935</v>
      </c>
      <c r="B161" s="198" t="s">
        <v>2046</v>
      </c>
      <c r="C161" s="212" t="s">
        <v>2047</v>
      </c>
      <c r="D161" s="225" t="s">
        <v>2243</v>
      </c>
      <c r="E161" s="199"/>
    </row>
    <row r="162" spans="1:5">
      <c r="A162" s="828">
        <v>8014</v>
      </c>
      <c r="B162" s="198" t="s">
        <v>445</v>
      </c>
      <c r="C162" s="212" t="s">
        <v>2048</v>
      </c>
      <c r="D162" s="225" t="s">
        <v>2244</v>
      </c>
      <c r="E162" s="199"/>
    </row>
    <row r="163" spans="1:5">
      <c r="A163" s="828">
        <v>8016</v>
      </c>
      <c r="B163" s="198" t="s">
        <v>2049</v>
      </c>
      <c r="C163" s="212" t="s">
        <v>2050</v>
      </c>
      <c r="D163" s="225" t="s">
        <v>2245</v>
      </c>
      <c r="E163" s="199"/>
    </row>
    <row r="164" spans="1:5">
      <c r="A164" s="830">
        <v>8017</v>
      </c>
      <c r="B164" s="241" t="s">
        <v>2372</v>
      </c>
      <c r="C164" s="721" t="s">
        <v>2495</v>
      </c>
      <c r="D164" s="226" t="s">
        <v>2380</v>
      </c>
      <c r="E164" s="199"/>
    </row>
    <row r="165" spans="1:5">
      <c r="A165" s="828">
        <v>8115</v>
      </c>
      <c r="B165" s="198" t="s">
        <v>351</v>
      </c>
      <c r="C165" s="212" t="s">
        <v>2051</v>
      </c>
      <c r="D165" s="225" t="s">
        <v>2246</v>
      </c>
      <c r="E165" s="199"/>
    </row>
    <row r="166" spans="1:5">
      <c r="A166" s="828">
        <v>8143</v>
      </c>
      <c r="B166" s="198" t="s">
        <v>2052</v>
      </c>
      <c r="C166" s="215" t="s">
        <v>2053</v>
      </c>
      <c r="D166" s="225" t="s">
        <v>2247</v>
      </c>
      <c r="E166" s="199"/>
    </row>
    <row r="167" spans="1:5">
      <c r="A167" s="830">
        <v>8165</v>
      </c>
      <c r="B167" s="241" t="s">
        <v>2312</v>
      </c>
      <c r="C167" s="215"/>
      <c r="D167" s="226" t="s">
        <v>2313</v>
      </c>
      <c r="E167" s="199"/>
    </row>
    <row r="168" spans="1:5" s="749" customFormat="1">
      <c r="A168" s="832">
        <v>8166</v>
      </c>
      <c r="B168" s="745" t="s">
        <v>2446</v>
      </c>
      <c r="C168" s="746" t="s">
        <v>2445</v>
      </c>
      <c r="D168" s="747" t="s">
        <v>2447</v>
      </c>
      <c r="E168" s="748"/>
    </row>
    <row r="169" spans="1:5">
      <c r="A169" s="828">
        <v>8190</v>
      </c>
      <c r="B169" s="198" t="s">
        <v>489</v>
      </c>
      <c r="C169" s="212" t="s">
        <v>2054</v>
      </c>
      <c r="D169" s="225" t="s">
        <v>2248</v>
      </c>
      <c r="E169" s="199"/>
    </row>
    <row r="170" spans="1:5">
      <c r="A170" s="828">
        <v>8195</v>
      </c>
      <c r="B170" s="198" t="s">
        <v>491</v>
      </c>
      <c r="C170" s="212" t="s">
        <v>2055</v>
      </c>
      <c r="D170" s="225" t="s">
        <v>2249</v>
      </c>
      <c r="E170" s="199"/>
    </row>
    <row r="171" spans="1:5">
      <c r="A171" s="828">
        <v>8205</v>
      </c>
      <c r="B171" s="198" t="s">
        <v>354</v>
      </c>
      <c r="C171" s="212" t="s">
        <v>2056</v>
      </c>
      <c r="D171" s="225" t="s">
        <v>2057</v>
      </c>
      <c r="E171" s="199"/>
    </row>
    <row r="172" spans="1:5" s="203" customFormat="1">
      <c r="A172" s="828">
        <v>8256</v>
      </c>
      <c r="B172" s="198" t="s">
        <v>193</v>
      </c>
      <c r="C172" s="212" t="s">
        <v>2058</v>
      </c>
      <c r="D172" s="224" t="s">
        <v>2059</v>
      </c>
      <c r="E172" s="199"/>
    </row>
    <row r="173" spans="1:5">
      <c r="A173" s="829">
        <v>8259</v>
      </c>
      <c r="B173" s="204" t="s">
        <v>238</v>
      </c>
      <c r="C173" s="214" t="s">
        <v>2060</v>
      </c>
      <c r="D173" s="200" t="s">
        <v>2061</v>
      </c>
      <c r="E173" s="202"/>
    </row>
    <row r="174" spans="1:5">
      <c r="A174" s="828">
        <v>8260</v>
      </c>
      <c r="B174" s="198" t="s">
        <v>57</v>
      </c>
      <c r="C174" s="215" t="s">
        <v>2062</v>
      </c>
      <c r="D174" s="225" t="s">
        <v>2063</v>
      </c>
      <c r="E174" s="199"/>
    </row>
    <row r="175" spans="1:5">
      <c r="A175" s="828">
        <v>8261</v>
      </c>
      <c r="B175" s="198" t="s">
        <v>168</v>
      </c>
      <c r="C175" s="212" t="s">
        <v>2064</v>
      </c>
      <c r="D175" s="225" t="s">
        <v>2250</v>
      </c>
      <c r="E175" s="199"/>
    </row>
    <row r="176" spans="1:5">
      <c r="A176" s="828">
        <v>8265</v>
      </c>
      <c r="B176" s="198" t="s">
        <v>356</v>
      </c>
      <c r="C176" s="212" t="s">
        <v>2065</v>
      </c>
      <c r="D176" s="225" t="s">
        <v>2251</v>
      </c>
      <c r="E176" s="199"/>
    </row>
    <row r="177" spans="1:5">
      <c r="A177" s="828">
        <v>8328</v>
      </c>
      <c r="B177" s="198" t="s">
        <v>494</v>
      </c>
      <c r="C177" s="212" t="s">
        <v>2066</v>
      </c>
      <c r="D177" s="225" t="s">
        <v>2252</v>
      </c>
      <c r="E177" s="199"/>
    </row>
    <row r="178" spans="1:5">
      <c r="A178" s="828">
        <v>8346</v>
      </c>
      <c r="B178" s="198" t="s">
        <v>241</v>
      </c>
      <c r="C178" s="212" t="s">
        <v>2067</v>
      </c>
      <c r="D178" s="226" t="s">
        <v>2501</v>
      </c>
      <c r="E178" s="199"/>
    </row>
    <row r="179" spans="1:5">
      <c r="A179" s="833">
        <v>8347</v>
      </c>
      <c r="B179" s="720" t="s">
        <v>2500</v>
      </c>
      <c r="C179" s="721" t="s">
        <v>2503</v>
      </c>
      <c r="D179" s="722" t="s">
        <v>2504</v>
      </c>
      <c r="E179" s="199"/>
    </row>
    <row r="180" spans="1:5">
      <c r="A180" s="828">
        <v>8358</v>
      </c>
      <c r="B180" s="198" t="s">
        <v>358</v>
      </c>
      <c r="C180" s="213" t="s">
        <v>2068</v>
      </c>
      <c r="D180" s="225" t="s">
        <v>2253</v>
      </c>
      <c r="E180" s="199"/>
    </row>
    <row r="181" spans="1:5">
      <c r="A181" s="828">
        <v>8359</v>
      </c>
      <c r="B181" s="198" t="s">
        <v>360</v>
      </c>
      <c r="C181" s="215" t="s">
        <v>2069</v>
      </c>
      <c r="D181" s="225" t="s">
        <v>2254</v>
      </c>
      <c r="E181" s="199"/>
    </row>
    <row r="182" spans="1:5">
      <c r="A182" s="828">
        <v>8369</v>
      </c>
      <c r="B182" s="198" t="s">
        <v>362</v>
      </c>
      <c r="C182" s="215" t="s">
        <v>2070</v>
      </c>
      <c r="D182" s="224" t="s">
        <v>2071</v>
      </c>
      <c r="E182" s="199"/>
    </row>
    <row r="183" spans="1:5">
      <c r="A183" s="828">
        <v>8415</v>
      </c>
      <c r="B183" s="198" t="s">
        <v>364</v>
      </c>
      <c r="C183" s="212" t="s">
        <v>2072</v>
      </c>
      <c r="D183" s="225" t="s">
        <v>2255</v>
      </c>
      <c r="E183" s="199"/>
    </row>
    <row r="184" spans="1:5">
      <c r="A184" s="828">
        <v>8617</v>
      </c>
      <c r="B184" s="198" t="s">
        <v>367</v>
      </c>
      <c r="C184" s="212" t="s">
        <v>2073</v>
      </c>
      <c r="D184" s="225" t="s">
        <v>2256</v>
      </c>
      <c r="E184" s="199"/>
    </row>
    <row r="185" spans="1:5">
      <c r="A185" s="828">
        <v>8659</v>
      </c>
      <c r="B185" s="198" t="s">
        <v>2074</v>
      </c>
      <c r="C185" s="212" t="s">
        <v>2075</v>
      </c>
      <c r="D185" s="225" t="s">
        <v>2257</v>
      </c>
      <c r="E185" s="199"/>
    </row>
    <row r="186" spans="1:5">
      <c r="A186" s="828">
        <v>8674</v>
      </c>
      <c r="B186" s="198" t="s">
        <v>496</v>
      </c>
      <c r="C186" s="212" t="s">
        <v>2076</v>
      </c>
      <c r="D186" s="225" t="s">
        <v>2258</v>
      </c>
      <c r="E186" s="199"/>
    </row>
    <row r="187" spans="1:5">
      <c r="A187" s="828">
        <v>8741</v>
      </c>
      <c r="B187" s="198" t="s">
        <v>372</v>
      </c>
      <c r="C187" s="212" t="s">
        <v>2077</v>
      </c>
      <c r="D187" s="225" t="s">
        <v>2259</v>
      </c>
      <c r="E187" s="199"/>
    </row>
    <row r="188" spans="1:5">
      <c r="A188" s="828">
        <v>8745</v>
      </c>
      <c r="B188" s="198" t="s">
        <v>374</v>
      </c>
      <c r="C188" s="212" t="s">
        <v>2078</v>
      </c>
      <c r="D188" s="225" t="s">
        <v>2260</v>
      </c>
      <c r="E188" s="199"/>
    </row>
    <row r="189" spans="1:5">
      <c r="A189" s="828">
        <v>8973</v>
      </c>
      <c r="B189" s="198" t="s">
        <v>376</v>
      </c>
      <c r="C189" s="212" t="s">
        <v>2079</v>
      </c>
      <c r="D189" s="225" t="s">
        <v>2261</v>
      </c>
      <c r="E189" s="199"/>
    </row>
    <row r="190" spans="1:5">
      <c r="A190" s="833">
        <v>9024</v>
      </c>
      <c r="B190" s="720" t="s">
        <v>2478</v>
      </c>
      <c r="C190" s="721" t="s">
        <v>2479</v>
      </c>
      <c r="D190" s="722" t="s">
        <v>2480</v>
      </c>
      <c r="E190" s="199"/>
    </row>
    <row r="191" spans="1:5">
      <c r="A191" s="828">
        <v>9069</v>
      </c>
      <c r="B191" s="198" t="s">
        <v>379</v>
      </c>
      <c r="C191" s="212" t="s">
        <v>2080</v>
      </c>
      <c r="D191" s="225" t="s">
        <v>2262</v>
      </c>
      <c r="E191" s="199"/>
    </row>
    <row r="192" spans="1:5">
      <c r="A192" s="833">
        <v>9241</v>
      </c>
      <c r="B192" s="241" t="s">
        <v>2481</v>
      </c>
      <c r="C192" s="721" t="s">
        <v>2473</v>
      </c>
      <c r="D192" s="722" t="s">
        <v>2474</v>
      </c>
      <c r="E192" s="199"/>
    </row>
    <row r="193" spans="1:5">
      <c r="A193" s="828">
        <v>9242</v>
      </c>
      <c r="B193" s="198" t="s">
        <v>111</v>
      </c>
      <c r="C193" s="212" t="s">
        <v>2081</v>
      </c>
      <c r="D193" s="225" t="s">
        <v>2263</v>
      </c>
      <c r="E193" s="199"/>
    </row>
    <row r="194" spans="1:5" s="203" customFormat="1">
      <c r="A194" s="828">
        <v>9287</v>
      </c>
      <c r="B194" s="198" t="s">
        <v>381</v>
      </c>
      <c r="C194" s="212" t="s">
        <v>2082</v>
      </c>
      <c r="D194" s="225" t="s">
        <v>2264</v>
      </c>
      <c r="E194" s="199"/>
    </row>
    <row r="195" spans="1:5">
      <c r="A195" s="829">
        <v>9315</v>
      </c>
      <c r="B195" s="204" t="s">
        <v>498</v>
      </c>
      <c r="C195" s="214" t="s">
        <v>2083</v>
      </c>
      <c r="D195" s="201" t="s">
        <v>2265</v>
      </c>
      <c r="E195" s="202"/>
    </row>
    <row r="196" spans="1:5">
      <c r="A196" s="828">
        <v>9514</v>
      </c>
      <c r="B196" s="198" t="s">
        <v>385</v>
      </c>
      <c r="C196" s="215" t="s">
        <v>2084</v>
      </c>
      <c r="D196" s="225" t="s">
        <v>2266</v>
      </c>
      <c r="E196" s="199"/>
    </row>
    <row r="197" spans="1:5">
      <c r="A197" s="830">
        <v>9516</v>
      </c>
      <c r="B197" s="435" t="s">
        <v>2451</v>
      </c>
      <c r="C197" s="393" t="s">
        <v>2470</v>
      </c>
      <c r="D197" s="226" t="s">
        <v>2471</v>
      </c>
      <c r="E197" s="199"/>
    </row>
    <row r="198" spans="1:5">
      <c r="A198" s="828">
        <v>9517</v>
      </c>
      <c r="B198" s="198" t="s">
        <v>387</v>
      </c>
      <c r="C198" s="212" t="s">
        <v>2085</v>
      </c>
      <c r="D198" s="225" t="s">
        <v>2267</v>
      </c>
      <c r="E198" s="199"/>
    </row>
    <row r="199" spans="1:5">
      <c r="A199" s="828">
        <v>9520</v>
      </c>
      <c r="B199" s="198" t="s">
        <v>389</v>
      </c>
      <c r="C199" s="212" t="s">
        <v>2086</v>
      </c>
      <c r="D199" s="225" t="s">
        <v>2268</v>
      </c>
      <c r="E199" s="199"/>
    </row>
    <row r="200" spans="1:5">
      <c r="A200" s="828">
        <v>9521</v>
      </c>
      <c r="B200" s="198" t="s">
        <v>391</v>
      </c>
      <c r="C200" s="219" t="s">
        <v>2087</v>
      </c>
      <c r="D200" s="225" t="s">
        <v>2269</v>
      </c>
      <c r="E200" s="199"/>
    </row>
    <row r="201" spans="1:5">
      <c r="A201" s="828">
        <v>9522</v>
      </c>
      <c r="B201" s="198" t="s">
        <v>1673</v>
      </c>
      <c r="C201" s="212" t="s">
        <v>2088</v>
      </c>
      <c r="D201" s="225" t="s">
        <v>2270</v>
      </c>
      <c r="E201" s="199"/>
    </row>
    <row r="202" spans="1:5">
      <c r="A202" s="828">
        <v>9523</v>
      </c>
      <c r="B202" s="198" t="s">
        <v>395</v>
      </c>
      <c r="C202" s="212" t="s">
        <v>2089</v>
      </c>
      <c r="D202" s="225" t="s">
        <v>2271</v>
      </c>
      <c r="E202" s="199"/>
    </row>
    <row r="203" spans="1:5">
      <c r="A203" s="828">
        <v>9524</v>
      </c>
      <c r="B203" s="198" t="s">
        <v>397</v>
      </c>
      <c r="C203" s="212" t="s">
        <v>2090</v>
      </c>
      <c r="D203" s="225" t="s">
        <v>2272</v>
      </c>
      <c r="E203" s="199"/>
    </row>
    <row r="204" spans="1:5" s="203" customFormat="1">
      <c r="A204" s="828">
        <v>9526</v>
      </c>
      <c r="B204" s="198" t="s">
        <v>399</v>
      </c>
      <c r="C204" s="215" t="s">
        <v>2091</v>
      </c>
      <c r="D204" s="225" t="s">
        <v>2092</v>
      </c>
      <c r="E204" s="199"/>
    </row>
    <row r="205" spans="1:5">
      <c r="A205" s="829">
        <v>9527</v>
      </c>
      <c r="B205" s="204" t="s">
        <v>401</v>
      </c>
      <c r="C205" s="216" t="s">
        <v>2093</v>
      </c>
      <c r="D205" s="201" t="s">
        <v>2273</v>
      </c>
      <c r="E205" s="202"/>
    </row>
    <row r="206" spans="1:5">
      <c r="A206" s="828">
        <v>9530</v>
      </c>
      <c r="B206" s="198" t="s">
        <v>403</v>
      </c>
      <c r="C206" s="212" t="s">
        <v>2094</v>
      </c>
      <c r="D206" s="225" t="s">
        <v>2274</v>
      </c>
      <c r="E206" s="199"/>
    </row>
    <row r="207" spans="1:5">
      <c r="A207" s="828">
        <v>9531</v>
      </c>
      <c r="B207" s="198" t="s">
        <v>406</v>
      </c>
      <c r="C207" s="212" t="s">
        <v>2095</v>
      </c>
      <c r="D207" s="225" t="s">
        <v>2275</v>
      </c>
      <c r="E207" s="199"/>
    </row>
    <row r="208" spans="1:5">
      <c r="A208" s="828">
        <v>9532</v>
      </c>
      <c r="B208" s="198" t="s">
        <v>60</v>
      </c>
      <c r="C208" s="212" t="s">
        <v>2096</v>
      </c>
      <c r="D208" s="225" t="s">
        <v>2276</v>
      </c>
      <c r="E208" s="199"/>
    </row>
    <row r="209" spans="1:21">
      <c r="A209" s="828">
        <v>9534</v>
      </c>
      <c r="B209" s="198" t="s">
        <v>408</v>
      </c>
      <c r="C209" s="212" t="s">
        <v>2097</v>
      </c>
      <c r="D209" s="225" t="s">
        <v>2277</v>
      </c>
      <c r="E209" s="199"/>
    </row>
    <row r="210" spans="1:21">
      <c r="A210" s="828">
        <v>9535</v>
      </c>
      <c r="B210" s="198" t="s">
        <v>501</v>
      </c>
      <c r="C210" s="215" t="s">
        <v>2098</v>
      </c>
      <c r="D210" s="225" t="s">
        <v>2278</v>
      </c>
      <c r="E210" s="199"/>
    </row>
    <row r="211" spans="1:21">
      <c r="A211" s="828">
        <v>9536</v>
      </c>
      <c r="B211" s="198" t="s">
        <v>503</v>
      </c>
      <c r="C211" s="212" t="s">
        <v>2099</v>
      </c>
      <c r="D211" s="225" t="s">
        <v>2279</v>
      </c>
      <c r="E211" s="199"/>
    </row>
    <row r="212" spans="1:21" s="203" customFormat="1">
      <c r="A212" s="828">
        <v>9538</v>
      </c>
      <c r="B212" s="198" t="s">
        <v>410</v>
      </c>
      <c r="C212" s="215" t="s">
        <v>2100</v>
      </c>
      <c r="D212" s="225" t="s">
        <v>2280</v>
      </c>
      <c r="E212" s="199"/>
    </row>
    <row r="213" spans="1:21">
      <c r="A213" s="829">
        <v>9539</v>
      </c>
      <c r="B213" s="204" t="s">
        <v>244</v>
      </c>
      <c r="C213" s="216" t="s">
        <v>2101</v>
      </c>
      <c r="D213" s="201" t="s">
        <v>2281</v>
      </c>
      <c r="E213" s="202"/>
    </row>
    <row r="214" spans="1:21" s="203" customFormat="1">
      <c r="A214" s="828">
        <v>9540</v>
      </c>
      <c r="B214" s="198" t="s">
        <v>413</v>
      </c>
      <c r="C214" s="212" t="s">
        <v>2102</v>
      </c>
      <c r="D214" s="225" t="s">
        <v>2282</v>
      </c>
      <c r="E214" s="199"/>
    </row>
    <row r="215" spans="1:21">
      <c r="A215" s="829">
        <v>9541</v>
      </c>
      <c r="B215" s="204" t="s">
        <v>505</v>
      </c>
      <c r="C215" s="214" t="s">
        <v>2103</v>
      </c>
      <c r="D215" s="201" t="s">
        <v>2283</v>
      </c>
      <c r="E215" s="202"/>
    </row>
    <row r="216" spans="1:21">
      <c r="A216" s="828">
        <v>9542</v>
      </c>
      <c r="B216" s="198" t="s">
        <v>2104</v>
      </c>
      <c r="C216" s="212" t="s">
        <v>2105</v>
      </c>
      <c r="D216" s="226" t="s">
        <v>2327</v>
      </c>
      <c r="E216" s="199"/>
    </row>
    <row r="217" spans="1:21">
      <c r="A217" s="828">
        <v>9543</v>
      </c>
      <c r="B217" s="198" t="s">
        <v>416</v>
      </c>
      <c r="C217" s="212" t="s">
        <v>2106</v>
      </c>
      <c r="D217" s="225" t="s">
        <v>2107</v>
      </c>
      <c r="E217" s="199"/>
    </row>
    <row r="218" spans="1:21">
      <c r="A218" s="830">
        <v>9550</v>
      </c>
      <c r="B218" s="241" t="s">
        <v>2435</v>
      </c>
      <c r="C218" s="394" t="s">
        <v>2440</v>
      </c>
      <c r="D218" s="226" t="s">
        <v>2439</v>
      </c>
      <c r="E218" s="199"/>
    </row>
    <row r="219" spans="1:21">
      <c r="A219" s="828">
        <v>9667</v>
      </c>
      <c r="B219" s="198" t="s">
        <v>448</v>
      </c>
      <c r="C219" s="719" t="s">
        <v>2108</v>
      </c>
      <c r="D219" s="225" t="s">
        <v>2284</v>
      </c>
      <c r="E219" s="199"/>
    </row>
    <row r="220" spans="1:21">
      <c r="A220" s="828">
        <v>9701</v>
      </c>
      <c r="B220" s="198" t="s">
        <v>507</v>
      </c>
      <c r="C220" s="212" t="s">
        <v>2109</v>
      </c>
      <c r="D220" s="225" t="s">
        <v>2285</v>
      </c>
      <c r="E220" s="199"/>
    </row>
    <row r="221" spans="1:21">
      <c r="A221" s="828">
        <v>9902</v>
      </c>
      <c r="B221" s="198" t="s">
        <v>420</v>
      </c>
      <c r="C221" s="212" t="s">
        <v>2110</v>
      </c>
      <c r="D221" s="226" t="s">
        <v>2807</v>
      </c>
      <c r="E221" s="199"/>
    </row>
    <row r="222" spans="1:21">
      <c r="A222" s="828">
        <v>9969</v>
      </c>
      <c r="B222" s="198" t="s">
        <v>246</v>
      </c>
      <c r="C222" s="212" t="s">
        <v>2111</v>
      </c>
      <c r="D222" s="226" t="s">
        <v>2299</v>
      </c>
      <c r="E222" s="199"/>
    </row>
    <row r="223" spans="1:21" s="407" customFormat="1" ht="12.95" customHeight="1">
      <c r="A223" s="834">
        <v>9973</v>
      </c>
      <c r="B223" s="435" t="s">
        <v>2488</v>
      </c>
      <c r="C223" s="753" t="s">
        <v>2487</v>
      </c>
      <c r="D223" s="415" t="s">
        <v>2395</v>
      </c>
      <c r="E223" s="199"/>
      <c r="F223" s="911"/>
      <c r="G223" s="911"/>
      <c r="H223" s="911"/>
      <c r="I223" s="911"/>
      <c r="J223" s="911"/>
      <c r="K223" s="912"/>
      <c r="L223" s="913"/>
      <c r="M223" s="914"/>
      <c r="N223" s="913"/>
      <c r="O223" s="914"/>
      <c r="P223" s="913"/>
      <c r="Q223" s="915"/>
      <c r="R223" s="911"/>
      <c r="S223" s="911"/>
      <c r="T223" s="911"/>
      <c r="U223" s="916"/>
    </row>
    <row r="224" spans="1:21">
      <c r="A224" s="828">
        <v>9995</v>
      </c>
      <c r="B224" s="198" t="s">
        <v>418</v>
      </c>
      <c r="C224" s="212" t="s">
        <v>2112</v>
      </c>
      <c r="D224" s="226" t="s">
        <v>2298</v>
      </c>
      <c r="E224" s="199"/>
    </row>
    <row r="225" spans="1:5">
      <c r="A225" s="828">
        <v>9997</v>
      </c>
      <c r="B225" s="198" t="s">
        <v>422</v>
      </c>
      <c r="C225" s="212" t="s">
        <v>2113</v>
      </c>
      <c r="D225" s="225" t="s">
        <v>2286</v>
      </c>
      <c r="E225" s="199"/>
    </row>
    <row r="226" spans="1:5">
      <c r="A226" s="828">
        <v>10041</v>
      </c>
      <c r="B226" s="198" t="s">
        <v>509</v>
      </c>
      <c r="C226" s="212" t="s">
        <v>2114</v>
      </c>
      <c r="D226" s="225" t="s">
        <v>2287</v>
      </c>
      <c r="E226" s="199"/>
    </row>
    <row r="227" spans="1:5">
      <c r="A227" s="828">
        <v>10153</v>
      </c>
      <c r="B227" s="198" t="s">
        <v>425</v>
      </c>
      <c r="C227" s="212" t="s">
        <v>2115</v>
      </c>
      <c r="D227" s="224" t="s">
        <v>2116</v>
      </c>
      <c r="E227" s="199"/>
    </row>
    <row r="228" spans="1:5">
      <c r="A228" s="828">
        <v>10154</v>
      </c>
      <c r="B228" s="198" t="s">
        <v>427</v>
      </c>
      <c r="C228" s="212" t="s">
        <v>2117</v>
      </c>
      <c r="D228" s="226" t="s">
        <v>2300</v>
      </c>
      <c r="E228" s="199"/>
    </row>
    <row r="229" spans="1:5">
      <c r="A229" s="828">
        <v>10160</v>
      </c>
      <c r="B229" s="198" t="s">
        <v>248</v>
      </c>
      <c r="C229" s="212" t="s">
        <v>2118</v>
      </c>
      <c r="D229" s="225" t="s">
        <v>2288</v>
      </c>
      <c r="E229" s="199"/>
    </row>
    <row r="230" spans="1:5">
      <c r="A230" s="828">
        <v>10308</v>
      </c>
      <c r="B230" s="198" t="s">
        <v>511</v>
      </c>
      <c r="C230" s="212" t="s">
        <v>2119</v>
      </c>
      <c r="D230" s="226" t="s">
        <v>2303</v>
      </c>
      <c r="E230" s="199"/>
    </row>
    <row r="231" spans="1:5">
      <c r="A231" s="867">
        <v>10313</v>
      </c>
      <c r="B231" s="869" t="s">
        <v>2724</v>
      </c>
      <c r="C231" s="870" t="s">
        <v>2725</v>
      </c>
      <c r="D231" s="868" t="s">
        <v>2726</v>
      </c>
      <c r="E231" s="206"/>
    </row>
    <row r="232" spans="1:5">
      <c r="A232" s="835">
        <v>10340</v>
      </c>
      <c r="B232" s="205" t="s">
        <v>2120</v>
      </c>
      <c r="C232" s="220" t="s">
        <v>2121</v>
      </c>
      <c r="D232" s="231" t="s">
        <v>2289</v>
      </c>
      <c r="E232" s="206"/>
    </row>
    <row r="233" spans="1:5">
      <c r="A233" s="835">
        <v>10428</v>
      </c>
      <c r="B233" s="435" t="s">
        <v>2411</v>
      </c>
      <c r="C233" s="754" t="s">
        <v>2493</v>
      </c>
      <c r="D233" s="231" t="s">
        <v>2412</v>
      </c>
      <c r="E233" s="206"/>
    </row>
    <row r="234" spans="1:5">
      <c r="A234" s="836">
        <v>10453</v>
      </c>
      <c r="B234" s="400" t="s">
        <v>2373</v>
      </c>
      <c r="C234" s="754" t="s">
        <v>2494</v>
      </c>
      <c r="D234" s="401" t="s">
        <v>2381</v>
      </c>
      <c r="E234" s="206"/>
    </row>
    <row r="235" spans="1:5" s="210" customFormat="1" ht="15.75" thickBot="1">
      <c r="A235" s="837">
        <v>3917</v>
      </c>
      <c r="B235" s="207" t="s">
        <v>1868</v>
      </c>
      <c r="C235" s="221" t="s">
        <v>2122</v>
      </c>
      <c r="D235" s="232" t="s">
        <v>2301</v>
      </c>
      <c r="E235" s="208"/>
    </row>
    <row r="236" spans="1:5" s="210" customFormat="1">
      <c r="A236" s="209"/>
      <c r="C236" s="222"/>
      <c r="D236" s="233"/>
    </row>
    <row r="237" spans="1:5">
      <c r="A237" s="209"/>
      <c r="B237" s="210"/>
      <c r="C237" s="222"/>
      <c r="D237" s="233"/>
      <c r="E237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66"/>
  <sheetViews>
    <sheetView view="pageBreakPreview" topLeftCell="A136" zoomScaleNormal="55" zoomScaleSheetLayoutView="100" workbookViewId="0">
      <selection activeCell="S67" sqref="S67"/>
    </sheetView>
  </sheetViews>
  <sheetFormatPr defaultRowHeight="15"/>
  <cols>
    <col min="1" max="1" width="6.42578125" style="28" bestFit="1" customWidth="1"/>
    <col min="2" max="2" width="6.85546875" style="811" customWidth="1"/>
    <col min="3" max="3" width="30.140625" style="28" bestFit="1" customWidth="1"/>
    <col min="4" max="4" width="7.140625" style="28" bestFit="1" customWidth="1"/>
    <col min="5" max="5" width="43" style="28" bestFit="1" customWidth="1"/>
    <col min="6" max="6" width="8.7109375" style="28" customWidth="1"/>
    <col min="7" max="7" width="4.42578125" style="28" bestFit="1" customWidth="1"/>
    <col min="8" max="9" width="6" style="28" bestFit="1" customWidth="1"/>
    <col min="10" max="10" width="4.42578125" style="28" customWidth="1"/>
    <col min="11" max="11" width="14.7109375" style="28" bestFit="1" customWidth="1"/>
    <col min="12" max="12" width="19.5703125" style="32" customWidth="1"/>
    <col min="13" max="13" width="8.42578125" style="316" bestFit="1" customWidth="1"/>
    <col min="14" max="14" width="19.5703125" style="32" customWidth="1"/>
    <col min="15" max="15" width="6.5703125" style="32" bestFit="1" customWidth="1"/>
    <col min="16" max="16" width="19" style="32" customWidth="1"/>
    <col min="17" max="17" width="4.7109375" style="28" customWidth="1"/>
    <col min="18" max="18" width="8.140625" style="28" customWidth="1"/>
    <col min="19" max="19" width="9.85546875" style="28" customWidth="1"/>
    <col min="20" max="20" width="6" style="55" bestFit="1" customWidth="1"/>
    <col min="21" max="21" width="78.140625" style="28" bestFit="1" customWidth="1"/>
    <col min="22" max="16384" width="9.140625" style="28"/>
  </cols>
  <sheetData>
    <row r="1" spans="1:25" ht="19.5">
      <c r="A1" s="951" t="s">
        <v>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  <c r="S1" s="951"/>
      <c r="T1" s="951"/>
      <c r="U1" s="951"/>
    </row>
    <row r="2" spans="1:25" ht="19.5">
      <c r="A2" s="951" t="s">
        <v>2772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  <c r="Q2" s="951"/>
      <c r="R2" s="951"/>
      <c r="S2" s="951"/>
      <c r="T2" s="951"/>
      <c r="U2" s="951"/>
    </row>
    <row r="3" spans="1:25" ht="19.5">
      <c r="A3" s="1"/>
      <c r="B3" s="804"/>
      <c r="C3" s="609"/>
      <c r="D3" s="609"/>
      <c r="E3" s="609"/>
      <c r="F3" s="609"/>
      <c r="G3" s="609"/>
      <c r="H3" s="609"/>
      <c r="I3" s="609"/>
      <c r="J3" s="609"/>
      <c r="K3" s="609"/>
      <c r="L3" s="30"/>
      <c r="M3" s="30"/>
      <c r="N3" s="33"/>
      <c r="O3" s="33"/>
      <c r="P3" s="33"/>
      <c r="Q3" s="609"/>
      <c r="R3" s="609"/>
      <c r="S3" s="609"/>
      <c r="T3" s="609"/>
      <c r="U3" s="609"/>
    </row>
    <row r="4" spans="1:25" ht="10.5" customHeight="1" thickBot="1">
      <c r="A4" s="1"/>
      <c r="B4" s="804"/>
      <c r="C4" s="3"/>
      <c r="D4" s="1"/>
      <c r="E4" s="3"/>
      <c r="F4" s="3"/>
      <c r="G4" s="660"/>
      <c r="H4" s="660"/>
      <c r="I4" s="660"/>
      <c r="J4" s="660"/>
      <c r="K4" s="3"/>
      <c r="L4" s="31"/>
      <c r="M4" s="313"/>
      <c r="N4" s="34"/>
      <c r="O4" s="34"/>
      <c r="P4" s="34"/>
      <c r="Q4" s="1"/>
      <c r="R4" s="1"/>
      <c r="S4" s="1"/>
      <c r="T4" s="1"/>
      <c r="U4" s="1"/>
    </row>
    <row r="5" spans="1:25" s="407" customFormat="1" ht="30" customHeight="1" thickTop="1">
      <c r="A5" s="960" t="s">
        <v>1</v>
      </c>
      <c r="B5" s="973" t="s">
        <v>2</v>
      </c>
      <c r="C5" s="956" t="s">
        <v>3</v>
      </c>
      <c r="D5" s="956" t="s">
        <v>2321</v>
      </c>
      <c r="E5" s="956" t="s">
        <v>5</v>
      </c>
      <c r="F5" s="963" t="s">
        <v>6</v>
      </c>
      <c r="G5" s="965" t="s">
        <v>2523</v>
      </c>
      <c r="H5" s="965" t="s">
        <v>2433</v>
      </c>
      <c r="I5" s="971" t="s">
        <v>2432</v>
      </c>
      <c r="J5" s="965" t="s">
        <v>7</v>
      </c>
      <c r="K5" s="952" t="s">
        <v>8</v>
      </c>
      <c r="L5" s="953"/>
      <c r="M5" s="956" t="s">
        <v>809</v>
      </c>
      <c r="N5" s="958" t="s">
        <v>808</v>
      </c>
      <c r="O5" s="661" t="s">
        <v>2309</v>
      </c>
      <c r="P5" s="958" t="s">
        <v>9</v>
      </c>
      <c r="Q5" s="967" t="s">
        <v>10</v>
      </c>
      <c r="R5" s="969" t="s">
        <v>11</v>
      </c>
      <c r="S5" s="970"/>
      <c r="T5" s="665" t="s">
        <v>4</v>
      </c>
      <c r="U5" s="956" t="s">
        <v>12</v>
      </c>
    </row>
    <row r="6" spans="1:25" s="407" customFormat="1" ht="24" customHeight="1" thickBot="1">
      <c r="A6" s="961"/>
      <c r="B6" s="974"/>
      <c r="C6" s="957"/>
      <c r="D6" s="962"/>
      <c r="E6" s="957"/>
      <c r="F6" s="964"/>
      <c r="G6" s="966"/>
      <c r="H6" s="966"/>
      <c r="I6" s="972"/>
      <c r="J6" s="966"/>
      <c r="K6" s="954"/>
      <c r="L6" s="955"/>
      <c r="M6" s="957"/>
      <c r="N6" s="959"/>
      <c r="O6" s="662" t="s">
        <v>2310</v>
      </c>
      <c r="P6" s="959"/>
      <c r="Q6" s="968"/>
      <c r="R6" s="663" t="s">
        <v>13</v>
      </c>
      <c r="S6" s="664" t="s">
        <v>14</v>
      </c>
      <c r="T6" s="666" t="s">
        <v>15</v>
      </c>
      <c r="U6" s="957"/>
    </row>
    <row r="7" spans="1:25" s="407" customFormat="1" ht="20.100000000000001" customHeight="1" thickTop="1">
      <c r="A7" s="402"/>
      <c r="B7" s="805" t="s">
        <v>654</v>
      </c>
      <c r="C7" s="403"/>
      <c r="D7" s="403"/>
      <c r="E7" s="403"/>
      <c r="F7" s="403"/>
      <c r="G7" s="659"/>
      <c r="H7" s="659"/>
      <c r="I7" s="659"/>
      <c r="J7" s="659"/>
      <c r="K7" s="403"/>
      <c r="L7" s="404"/>
      <c r="M7" s="404"/>
      <c r="N7" s="404"/>
      <c r="O7" s="404"/>
      <c r="P7" s="404"/>
      <c r="Q7" s="403"/>
      <c r="R7" s="403"/>
      <c r="S7" s="403"/>
      <c r="T7" s="405"/>
      <c r="U7" s="406"/>
    </row>
    <row r="8" spans="1:25" s="407" customFormat="1" ht="12.95" customHeight="1">
      <c r="A8" s="408">
        <v>1</v>
      </c>
      <c r="B8" s="817">
        <v>10313</v>
      </c>
      <c r="C8" s="410" t="str">
        <f>VLOOKUP(B8,MASTER!$B$8:$C$137,2,FALSE)</f>
        <v>JOHANNES MANCELLY</v>
      </c>
      <c r="D8" s="409" t="s">
        <v>2333</v>
      </c>
      <c r="E8" s="410" t="s">
        <v>635</v>
      </c>
      <c r="F8" s="411" t="s">
        <v>18</v>
      </c>
      <c r="G8" s="411" t="str">
        <f>VLOOKUP(B8,MASTER!$B$8:$H$1435,6,FALSE)</f>
        <v>K</v>
      </c>
      <c r="H8" s="411">
        <f>VLOOKUP(B8,MASTER!$B$8:$H$1435,7,FALSE)</f>
        <v>2</v>
      </c>
      <c r="I8" s="411">
        <f>VLOOKUP(B8,MASTER!$B$8:$V$1435,8,FALSE)</f>
        <v>2</v>
      </c>
      <c r="J8" s="411" t="str">
        <f>VLOOKUP(B8,MASTER!$B$8:$V$1435,9,FALSE)</f>
        <v>L</v>
      </c>
      <c r="K8" s="412" t="str">
        <f>VLOOKUP(B8,MASTER!$B$8:$V$1435,10,FALSE)</f>
        <v>JAKARTA</v>
      </c>
      <c r="L8" s="438">
        <f>VLOOKUP(B8,MASTER!$B$8:$V$1435,11,FALSE)</f>
        <v>26650</v>
      </c>
      <c r="M8" s="422" t="str">
        <f t="shared" ref="M8" ca="1" si="0">DATEDIF(L8,TODAY(),"Y") &amp; "." &amp;DATEDIF(L8,TODAY(),"YM")</f>
        <v>45.4</v>
      </c>
      <c r="N8" s="413">
        <f>VLOOKUP(B8,MASTER!$B$8:$V$1435,14,FALSE)</f>
        <v>37900</v>
      </c>
      <c r="O8" s="422" t="str">
        <f t="shared" ref="O8" ca="1" si="1">DATEDIF(N8,TODAY(),"Y") &amp; "." &amp;DATEDIF(N8,TODAY(),"YM")</f>
        <v>14.6</v>
      </c>
      <c r="P8" s="413">
        <f>VLOOKUP(B8,MASTER!$B$8:$V$1435,16,FALSE)</f>
        <v>47104</v>
      </c>
      <c r="Q8" s="414" t="str">
        <f>VLOOKUP(B8,MASTER!$B$8:$V$1435,17,FALSE)</f>
        <v>K</v>
      </c>
      <c r="R8" s="411" t="str">
        <f>VLOOKUP(B8,MASTER!$B$8:$V$1435,18,FALSE)</f>
        <v>S1</v>
      </c>
      <c r="S8" s="411" t="str">
        <f>VLOOKUP(B8,MASTER!$B$8:$V$1435,19,FALSE)</f>
        <v>S2</v>
      </c>
      <c r="T8" s="411" t="str">
        <f>VLOOKUP(B8,MASTER!$B$8:$V$1435,20,FALSE)</f>
        <v>A</v>
      </c>
      <c r="U8" s="415" t="str">
        <f>VLOOKUP($B8,ALAMAT!$A$1:E237,4)</f>
        <v xml:space="preserve">Jl. Raya Tengah Gang Remaja RT 05 RW 03 Gedong Pasar Rebo Jakarta Timur </v>
      </c>
      <c r="X8" s="407">
        <f ca="1">DATEDIF(L8,TODAY(),"y")</f>
        <v>45</v>
      </c>
      <c r="Y8" s="407">
        <f ca="1">DATEDIF(N8,TODAY(),"y")</f>
        <v>14</v>
      </c>
    </row>
    <row r="9" spans="1:25" s="407" customFormat="1" ht="12.95" customHeight="1">
      <c r="A9" s="416"/>
      <c r="B9" s="817"/>
      <c r="C9" s="410"/>
      <c r="D9" s="411"/>
      <c r="E9" s="410"/>
      <c r="F9" s="411"/>
      <c r="G9" s="411"/>
      <c r="H9" s="411"/>
      <c r="I9" s="411"/>
      <c r="J9" s="411"/>
      <c r="K9" s="412"/>
      <c r="L9" s="413"/>
      <c r="M9" s="417"/>
      <c r="N9" s="413"/>
      <c r="O9" s="413"/>
      <c r="P9" s="413"/>
      <c r="Q9" s="414"/>
      <c r="R9" s="411"/>
      <c r="S9" s="411"/>
      <c r="T9" s="418"/>
      <c r="U9" s="415"/>
      <c r="X9" s="407">
        <f t="shared" ref="X9:X69" ca="1" si="2">DATEDIF(L9,TODAY(),"y")</f>
        <v>118</v>
      </c>
      <c r="Y9" s="407">
        <f t="shared" ref="Y9:Y69" ca="1" si="3">DATEDIF(N9,TODAY(),"y")</f>
        <v>118</v>
      </c>
    </row>
    <row r="10" spans="1:25" s="420" customFormat="1" ht="12.95" customHeight="1">
      <c r="A10" s="456"/>
      <c r="B10" s="824" t="s">
        <v>2325</v>
      </c>
      <c r="C10" s="457"/>
      <c r="D10" s="457"/>
      <c r="E10" s="457"/>
      <c r="F10" s="457"/>
      <c r="G10" s="457"/>
      <c r="H10" s="457"/>
      <c r="I10" s="457"/>
      <c r="J10" s="457"/>
      <c r="K10" s="457"/>
      <c r="L10" s="457"/>
      <c r="M10" s="458"/>
      <c r="N10" s="459"/>
      <c r="O10" s="457"/>
      <c r="P10" s="457"/>
      <c r="Q10" s="457"/>
      <c r="R10" s="457"/>
      <c r="S10" s="457"/>
      <c r="T10" s="457"/>
      <c r="U10" s="415"/>
      <c r="X10" s="407">
        <f t="shared" ca="1" si="2"/>
        <v>118</v>
      </c>
      <c r="Y10" s="407">
        <f t="shared" ca="1" si="3"/>
        <v>118</v>
      </c>
    </row>
    <row r="11" spans="1:25" s="407" customFormat="1" ht="12.95" customHeight="1">
      <c r="A11" s="421" t="s">
        <v>572</v>
      </c>
      <c r="B11" s="817">
        <v>4067</v>
      </c>
      <c r="C11" s="410" t="str">
        <f>VLOOKUP(B11,MASTER!$B$8:$C$137,2,FALSE)</f>
        <v>ZAIMIL</v>
      </c>
      <c r="D11" s="409" t="s">
        <v>2334</v>
      </c>
      <c r="E11" s="410" t="s">
        <v>676</v>
      </c>
      <c r="F11" s="411" t="s">
        <v>18</v>
      </c>
      <c r="G11" s="411" t="str">
        <f>VLOOKUP(B11,MASTER!$B$8:$H$1435,6,FALSE)</f>
        <v>K</v>
      </c>
      <c r="H11" s="411">
        <f>VLOOKUP(B11,MASTER!$B$8:$H$1435,7,FALSE)</f>
        <v>2</v>
      </c>
      <c r="I11" s="411">
        <f>VLOOKUP(B11,MASTER!$B$8:$V$1435,8,FALSE)</f>
        <v>1</v>
      </c>
      <c r="J11" s="411" t="str">
        <f>VLOOKUP(B11,MASTER!$B$8:$V$1435,9,FALSE)</f>
        <v>L</v>
      </c>
      <c r="K11" s="675" t="str">
        <f>VLOOKUP(B11,MASTER!$B$8:$V$1435,10,FALSE)</f>
        <v>TANABANG</v>
      </c>
      <c r="L11" s="438">
        <f>VLOOKUP(B11,MASTER!$B$8:$V$1435,11,FALSE)</f>
        <v>23572</v>
      </c>
      <c r="M11" s="676" t="str">
        <f ca="1">DATEDIF(L11,TODAY(),"Y") &amp; "." &amp;DATEDIF(L11,TODAY(),"YM")</f>
        <v>53.9</v>
      </c>
      <c r="N11" s="413">
        <f>VLOOKUP(B11,MASTER!$B$8:$V$1435,14,FALSE)</f>
        <v>31761</v>
      </c>
      <c r="O11" s="422" t="str">
        <f t="shared" ref="O11:O20" ca="1" si="4">DATEDIF(N11,TODAY(),"Y") &amp; "." &amp;DATEDIF(N11,TODAY(),"YM")</f>
        <v>31.4</v>
      </c>
      <c r="P11" s="438">
        <f>VLOOKUP(B11,MASTER!$B$8:$V$1435,16,FALSE)</f>
        <v>44026</v>
      </c>
      <c r="Q11" s="677" t="str">
        <f>VLOOKUP(B11,MASTER!$B$8:$V$1435,17,FALSE)</f>
        <v>I</v>
      </c>
      <c r="R11" s="436" t="str">
        <f>VLOOKUP(B11,MASTER!$B$8:$V$1435,18,FALSE)</f>
        <v>S1</v>
      </c>
      <c r="S11" s="436" t="str">
        <f>VLOOKUP(B11,MASTER!$B$8:$V$1435,19,FALSE)</f>
        <v>S1</v>
      </c>
      <c r="T11" s="608" t="str">
        <f>VLOOKUP(B11,MASTER!$B$8:$V$1435,20,FALSE)</f>
        <v>B</v>
      </c>
      <c r="U11" s="415" t="str">
        <f>VLOOKUP($B11,ALAMAT!$A$1:E240,4)</f>
        <v>Dayung III C No. 7 RT 004/ RW 006 Kelapa Dua Kabupaten Tangerang Banten</v>
      </c>
      <c r="X11" s="407">
        <f ca="1">DATEDIF(L11,TODAY(),"y")</f>
        <v>53</v>
      </c>
      <c r="Y11" s="407">
        <f ca="1">DATEDIF(N11,TODAY(),"y")</f>
        <v>31</v>
      </c>
    </row>
    <row r="12" spans="1:25" s="407" customFormat="1" ht="12.95" customHeight="1">
      <c r="A12" s="421" t="s">
        <v>567</v>
      </c>
      <c r="B12" s="817">
        <v>9550</v>
      </c>
      <c r="C12" s="410" t="str">
        <f>VLOOKUP(B12,MASTER!$B$8:$C$137,2,FALSE)</f>
        <v>AGUS BUDIYANA</v>
      </c>
      <c r="D12" s="409" t="s">
        <v>2335</v>
      </c>
      <c r="E12" s="410" t="s">
        <v>2502</v>
      </c>
      <c r="F12" s="411" t="s">
        <v>18</v>
      </c>
      <c r="G12" s="411" t="str">
        <f>VLOOKUP(B12,MASTER!$B$8:$H$1435,6,FALSE)</f>
        <v>K</v>
      </c>
      <c r="H12" s="411">
        <f>VLOOKUP(B12,MASTER!$B$8:$H$1435,7,FALSE)</f>
        <v>1</v>
      </c>
      <c r="I12" s="411">
        <f>VLOOKUP(B12,MASTER!$B$8:$V$1435,8,FALSE)</f>
        <v>1</v>
      </c>
      <c r="J12" s="411" t="str">
        <f>VLOOKUP(B12,MASTER!$B$8:$V$1435,9,FALSE)</f>
        <v>L</v>
      </c>
      <c r="K12" s="437" t="str">
        <f>VLOOKUP(B12,MASTER!$B$8:$V$1435,10,FALSE)</f>
        <v>TANGERANG</v>
      </c>
      <c r="L12" s="438">
        <f>VLOOKUP(B12,MASTER!$B$8:$V$1435,11,FALSE)</f>
        <v>27628</v>
      </c>
      <c r="M12" s="676" t="str">
        <f ca="1">DATEDIF(L12,TODAY(),"Y") &amp; "." &amp;DATEDIF(L12,TODAY(),"YM")</f>
        <v>42.8</v>
      </c>
      <c r="N12" s="413">
        <f>VLOOKUP(B12,MASTER!$B$8:$V$1435,14,FALSE)</f>
        <v>35808</v>
      </c>
      <c r="O12" s="422" t="str">
        <f t="shared" ca="1" si="4"/>
        <v>20.3</v>
      </c>
      <c r="P12" s="438">
        <f>VLOOKUP(B12,MASTER!$B$8:$V$1435,16,FALSE)</f>
        <v>48082</v>
      </c>
      <c r="Q12" s="440" t="str">
        <f>VLOOKUP(B12,MASTER!$B$8:$V$1435,17,FALSE)</f>
        <v>I</v>
      </c>
      <c r="R12" s="436" t="str">
        <f>VLOOKUP(B12,MASTER!$B$8:$V$1435,18,FALSE)</f>
        <v>S1</v>
      </c>
      <c r="S12" s="436" t="str">
        <f>VLOOKUP(B12,MASTER!$B$8:$V$1435,19,FALSE)</f>
        <v>S1</v>
      </c>
      <c r="T12" s="608" t="str">
        <f>VLOOKUP(B12,MASTER!$B$8:$V$1435,20,FALSE)</f>
        <v>O</v>
      </c>
      <c r="U12" s="415" t="str">
        <f>VLOOKUP($B12,ALAMAT!$A$1:E241,4)</f>
        <v xml:space="preserve"> JL. Sevilla Utama Blok T 26/04 Rt  003/007 Desa Ciakar Kec Panongan Tangerang Banten</v>
      </c>
      <c r="X12" s="407">
        <f t="shared" ca="1" si="2"/>
        <v>42</v>
      </c>
      <c r="Y12" s="407">
        <f t="shared" ca="1" si="3"/>
        <v>20</v>
      </c>
    </row>
    <row r="13" spans="1:25" s="407" customFormat="1" ht="12.95" customHeight="1">
      <c r="A13" s="421" t="s">
        <v>573</v>
      </c>
      <c r="B13" s="821">
        <v>8260</v>
      </c>
      <c r="C13" s="410" t="str">
        <f>VLOOKUP(B13,MASTER!$B$8:$C$137,2,FALSE)</f>
        <v>JUMADI</v>
      </c>
      <c r="D13" s="409" t="s">
        <v>2336</v>
      </c>
      <c r="E13" s="410" t="s">
        <v>2421</v>
      </c>
      <c r="F13" s="411" t="s">
        <v>18</v>
      </c>
      <c r="G13" s="411" t="str">
        <f>VLOOKUP(B13,MASTER!$B$8:$H$1435,6,FALSE)</f>
        <v>K</v>
      </c>
      <c r="H13" s="411">
        <f>VLOOKUP(B13,MASTER!$B$8:$H$1435,7,FALSE)</f>
        <v>2</v>
      </c>
      <c r="I13" s="411">
        <f>VLOOKUP(B13,MASTER!$B$8:$V$1435,8,FALSE)</f>
        <v>2</v>
      </c>
      <c r="J13" s="411" t="str">
        <f>VLOOKUP(B13,MASTER!$B$8:$V$1435,9,FALSE)</f>
        <v>L</v>
      </c>
      <c r="K13" s="423" t="str">
        <f>VLOOKUP(B13,MASTER!$B$8:$V$1435,10,FALSE)</f>
        <v>BOYOLALI</v>
      </c>
      <c r="L13" s="413">
        <f>VLOOKUP(B13,MASTER!$B$8:$V$1435,11,FALSE)</f>
        <v>26040</v>
      </c>
      <c r="M13" s="422" t="str">
        <f t="shared" ref="M13:M20" ca="1" si="5">DATEDIF(L13,TODAY(),"Y") &amp; "." &amp;DATEDIF(L13,TODAY(),"YM")</f>
        <v>47.0</v>
      </c>
      <c r="N13" s="413">
        <f>VLOOKUP(B13,MASTER!$B$8:$V$1435,14,FALSE)</f>
        <v>35034</v>
      </c>
      <c r="O13" s="422" t="str">
        <f t="shared" ca="1" si="4"/>
        <v>22.4</v>
      </c>
      <c r="P13" s="413">
        <f>VLOOKUP(B13,MASTER!$B$8:$V$1435,16,FALSE)</f>
        <v>46494</v>
      </c>
      <c r="Q13" s="414" t="str">
        <f>VLOOKUP(B13,MASTER!$B$8:$V$1435,17,FALSE)</f>
        <v>I</v>
      </c>
      <c r="R13" s="411" t="str">
        <f>VLOOKUP(B13,MASTER!$B$8:$V$1435,18,FALSE)</f>
        <v>SMA</v>
      </c>
      <c r="S13" s="411" t="str">
        <f>VLOOKUP(B13,MASTER!$B$8:$V$1435,19,FALSE)</f>
        <v>SLTA</v>
      </c>
      <c r="T13" s="418" t="str">
        <f>VLOOKUP(B13,MASTER!$B$8:$V$1435,20,FALSE)</f>
        <v>O</v>
      </c>
      <c r="U13" s="415" t="str">
        <f>VLOOKUP($B13,ALAMAT!$A$1:E242,4)</f>
        <v>Taring. RT.008 RW.001 Wonodoyo, Copogo, Boyolali</v>
      </c>
      <c r="X13" s="407">
        <f t="shared" ca="1" si="2"/>
        <v>47</v>
      </c>
      <c r="Y13" s="407">
        <f t="shared" ca="1" si="3"/>
        <v>22</v>
      </c>
    </row>
    <row r="14" spans="1:25" s="407" customFormat="1" ht="12.95" customHeight="1">
      <c r="A14" s="421" t="s">
        <v>574</v>
      </c>
      <c r="B14" s="821">
        <v>4998</v>
      </c>
      <c r="C14" s="410" t="str">
        <f>VLOOKUP(B14,MASTER!$B$8:$C$137,2,FALSE)</f>
        <v>AGNES YUDHI ASTUTI</v>
      </c>
      <c r="D14" s="409" t="s">
        <v>2336</v>
      </c>
      <c r="E14" s="410" t="s">
        <v>646</v>
      </c>
      <c r="F14" s="411" t="s">
        <v>18</v>
      </c>
      <c r="G14" s="411" t="str">
        <f>VLOOKUP(B14,MASTER!$B$8:$H$1435,6,FALSE)</f>
        <v>K</v>
      </c>
      <c r="H14" s="411">
        <f>VLOOKUP(B14,MASTER!$B$8:$H$1435,7,FALSE)</f>
        <v>1</v>
      </c>
      <c r="I14" s="411">
        <f>VLOOKUP(B14,MASTER!$B$8:$V$1435,8,FALSE)</f>
        <v>1</v>
      </c>
      <c r="J14" s="411" t="str">
        <f>VLOOKUP(B14,MASTER!$B$8:$V$1435,9,FALSE)</f>
        <v>P</v>
      </c>
      <c r="K14" s="423" t="str">
        <f>VLOOKUP(B14,MASTER!$B$8:$V$1435,10,FALSE)</f>
        <v>SEMARANG</v>
      </c>
      <c r="L14" s="413">
        <f>VLOOKUP(B14,MASTER!$B$8:$V$1435,11,FALSE)</f>
        <v>24221</v>
      </c>
      <c r="M14" s="422" t="str">
        <f t="shared" ca="1" si="5"/>
        <v>52.0</v>
      </c>
      <c r="N14" s="413">
        <f>VLOOKUP(B14,MASTER!$B$8:$V$1435,14,FALSE)</f>
        <v>32269</v>
      </c>
      <c r="O14" s="422" t="str">
        <f t="shared" ca="1" si="4"/>
        <v>29.11</v>
      </c>
      <c r="P14" s="413">
        <f>VLOOKUP(B14,MASTER!$B$8:$V$1435,16,FALSE)</f>
        <v>44675</v>
      </c>
      <c r="Q14" s="414" t="str">
        <f>VLOOKUP(B14,MASTER!$B$8:$V$1435,17,FALSE)</f>
        <v>I</v>
      </c>
      <c r="R14" s="411" t="str">
        <f>VLOOKUP(B14,MASTER!$B$8:$V$1435,18,FALSE)</f>
        <v>SMEA</v>
      </c>
      <c r="S14" s="411" t="str">
        <f>VLOOKUP(B14,MASTER!$B$8:$V$1435,19,FALSE)</f>
        <v>S1</v>
      </c>
      <c r="T14" s="418" t="str">
        <f>VLOOKUP(B14,MASTER!$B$8:$V$1435,20,FALSE)</f>
        <v>O</v>
      </c>
      <c r="U14" s="415" t="str">
        <f>VLOOKUP($B14,ALAMAT!$A$1:E243,4)</f>
        <v>Jl.Kepodang Timur V Kav.B No.200 RT.006 RW.012 Pudakpayung Banyumanik Semarang</v>
      </c>
      <c r="X14" s="407">
        <f t="shared" ca="1" si="2"/>
        <v>52</v>
      </c>
      <c r="Y14" s="407">
        <f t="shared" ca="1" si="3"/>
        <v>29</v>
      </c>
    </row>
    <row r="15" spans="1:25" s="407" customFormat="1" ht="12.95" customHeight="1">
      <c r="A15" s="421" t="s">
        <v>581</v>
      </c>
      <c r="B15" s="817">
        <v>8346</v>
      </c>
      <c r="C15" s="410" t="str">
        <f>VLOOKUP(B15,MASTER!$B$8:$C$137,2,FALSE)</f>
        <v>RONNI ERMAWAN</v>
      </c>
      <c r="D15" s="409" t="s">
        <v>2336</v>
      </c>
      <c r="E15" s="410" t="s">
        <v>2422</v>
      </c>
      <c r="F15" s="411" t="s">
        <v>18</v>
      </c>
      <c r="G15" s="411" t="str">
        <f>VLOOKUP(B15,MASTER!$B$8:$H$1435,6,FALSE)</f>
        <v>K</v>
      </c>
      <c r="H15" s="411">
        <f>VLOOKUP(B15,MASTER!$B$8:$H$1435,7,FALSE)</f>
        <v>2</v>
      </c>
      <c r="I15" s="411">
        <f>VLOOKUP(B15,MASTER!$B$8:$V$1435,8,FALSE)</f>
        <v>2</v>
      </c>
      <c r="J15" s="411" t="str">
        <f>VLOOKUP(B15,MASTER!$B$8:$V$1435,9,FALSE)</f>
        <v>L</v>
      </c>
      <c r="K15" s="423" t="str">
        <f>VLOOKUP(B15,MASTER!$B$8:$V$1435,10,FALSE)</f>
        <v>KUDUS</v>
      </c>
      <c r="L15" s="413">
        <f>VLOOKUP(B15,MASTER!$B$8:$V$1435,11,FALSE)</f>
        <v>27978</v>
      </c>
      <c r="M15" s="422" t="str">
        <f t="shared" ca="1" si="5"/>
        <v>41.8</v>
      </c>
      <c r="N15" s="413">
        <f>VLOOKUP(B15,MASTER!$B$8:$V$1435,14,FALSE)</f>
        <v>35052</v>
      </c>
      <c r="O15" s="422" t="str">
        <f t="shared" ca="1" si="4"/>
        <v>22.4</v>
      </c>
      <c r="P15" s="413">
        <f>VLOOKUP(B15,MASTER!$B$8:$V$1435,16,FALSE)</f>
        <v>48432</v>
      </c>
      <c r="Q15" s="414" t="str">
        <f>VLOOKUP(B15,MASTER!$B$8:$V$1435,17,FALSE)</f>
        <v>I</v>
      </c>
      <c r="R15" s="411" t="str">
        <f>VLOOKUP(B15,MASTER!$B$8:$V$1435,18,FALSE)</f>
        <v>SMEA</v>
      </c>
      <c r="S15" s="411" t="str">
        <f>VLOOKUP(B15,MASTER!$B$8:$V$1435,19,FALSE)</f>
        <v>S1</v>
      </c>
      <c r="T15" s="429" t="str">
        <f>VLOOKUP(B15,MASTER!$B$8:$V$1435,20,FALSE)</f>
        <v>B</v>
      </c>
      <c r="U15" s="415" t="str">
        <f>VLOOKUP($B15,ALAMAT!$A$1:E244,4)</f>
        <v>Jl.Galungan 3/83 RT.002 RW.006 Krapyak,Semarang Barat</v>
      </c>
      <c r="X15" s="407">
        <f t="shared" ca="1" si="2"/>
        <v>41</v>
      </c>
      <c r="Y15" s="407">
        <f t="shared" ca="1" si="3"/>
        <v>22</v>
      </c>
    </row>
    <row r="16" spans="1:25" s="407" customFormat="1" ht="12.95" customHeight="1">
      <c r="A16" s="421" t="s">
        <v>693</v>
      </c>
      <c r="B16" s="817">
        <v>7063</v>
      </c>
      <c r="C16" s="410" t="str">
        <f>VLOOKUP(B16,MASTER!$B$8:$C$137,2,FALSE)</f>
        <v>MUJI SETIYANTO</v>
      </c>
      <c r="D16" s="409" t="s">
        <v>2336</v>
      </c>
      <c r="E16" s="410" t="s">
        <v>2442</v>
      </c>
      <c r="F16" s="411" t="s">
        <v>18</v>
      </c>
      <c r="G16" s="411" t="str">
        <f>VLOOKUP(B16,MASTER!$B$8:$H$1435,6,FALSE)</f>
        <v>K</v>
      </c>
      <c r="H16" s="411">
        <f>VLOOKUP(B16,MASTER!$B$8:$H$1435,7,FALSE)</f>
        <v>3</v>
      </c>
      <c r="I16" s="411">
        <f>VLOOKUP(B16,MASTER!$B$8:$V$1435,8,FALSE)</f>
        <v>3</v>
      </c>
      <c r="J16" s="411" t="str">
        <f>VLOOKUP(B16,MASTER!$B$8:$V$1435,9,FALSE)</f>
        <v>L</v>
      </c>
      <c r="K16" s="423" t="str">
        <f>VLOOKUP(B16,MASTER!$B$8:$V$1435,10,FALSE)</f>
        <v>BANJARNEGARA</v>
      </c>
      <c r="L16" s="413">
        <f>VLOOKUP(B16,MASTER!$B$8:$V$1435,11,FALSE)</f>
        <v>24117</v>
      </c>
      <c r="M16" s="422" t="str">
        <f t="shared" ca="1" si="5"/>
        <v>52.3</v>
      </c>
      <c r="N16" s="413">
        <f>VLOOKUP(B16,MASTER!$B$8:$V$1435,14,FALSE)</f>
        <v>33798</v>
      </c>
      <c r="O16" s="422" t="str">
        <f t="shared" ca="1" si="4"/>
        <v>25.9</v>
      </c>
      <c r="P16" s="413">
        <f>VLOOKUP(B16,MASTER!$B$8:$V$1435,16,FALSE)</f>
        <v>44571</v>
      </c>
      <c r="Q16" s="414" t="str">
        <f>VLOOKUP(B16,MASTER!$B$8:$V$1435,17,FALSE)</f>
        <v>I</v>
      </c>
      <c r="R16" s="411" t="str">
        <f>VLOOKUP(B16,MASTER!$B$8:$V$1435,18,FALSE)</f>
        <v>SMA</v>
      </c>
      <c r="S16" s="411" t="str">
        <f>VLOOKUP(B16,MASTER!$B$8:$V$1435,19,FALSE)</f>
        <v>S1</v>
      </c>
      <c r="T16" s="418" t="str">
        <f>VLOOKUP(B16,MASTER!$B$8:$V$1435,20,FALSE)</f>
        <v>O</v>
      </c>
      <c r="U16" s="415" t="str">
        <f>VLOOKUP($B16,ALAMAT!$A$1:E245,4)</f>
        <v>Penaruban RT.003 RW.007 WeleriKab.Kendal</v>
      </c>
      <c r="X16" s="407">
        <f t="shared" ca="1" si="2"/>
        <v>52</v>
      </c>
      <c r="Y16" s="407">
        <f t="shared" ca="1" si="3"/>
        <v>25</v>
      </c>
    </row>
    <row r="17" spans="1:25" s="407" customFormat="1" ht="12.95" customHeight="1">
      <c r="A17" s="421" t="s">
        <v>694</v>
      </c>
      <c r="B17" s="817">
        <v>4630</v>
      </c>
      <c r="C17" s="410" t="str">
        <f>VLOOKUP(B17,MASTER!$B$8:$C$137,2,FALSE)</f>
        <v>SUHARTONO</v>
      </c>
      <c r="D17" s="434" t="s">
        <v>2336</v>
      </c>
      <c r="E17" s="410" t="s">
        <v>794</v>
      </c>
      <c r="F17" s="411" t="s">
        <v>18</v>
      </c>
      <c r="G17" s="411" t="str">
        <f>VLOOKUP(B17,MASTER!$B$8:$H$1435,6,FALSE)</f>
        <v>K</v>
      </c>
      <c r="H17" s="411">
        <f>VLOOKUP(B17,MASTER!$B$8:$H$1435,7,FALSE)</f>
        <v>2</v>
      </c>
      <c r="I17" s="411">
        <f>VLOOKUP(B17,MASTER!$B$8:$V$1435,8,FALSE)</f>
        <v>1</v>
      </c>
      <c r="J17" s="411" t="str">
        <f>VLOOKUP(B17,MASTER!$B$8:$V$1435,9,FALSE)</f>
        <v>L</v>
      </c>
      <c r="K17" s="423" t="str">
        <f>VLOOKUP(B17,MASTER!$B$8:$V$1435,10,FALSE)</f>
        <v>KENDAL</v>
      </c>
      <c r="L17" s="413">
        <f>VLOOKUP(B17,MASTER!$B$8:$V$1435,11,FALSE)</f>
        <v>23419</v>
      </c>
      <c r="M17" s="422" t="str">
        <f t="shared" ref="M17:M18" ca="1" si="6">DATEDIF(L17,TODAY(),"Y") &amp; "." &amp;DATEDIF(L17,TODAY(),"YM")</f>
        <v>54.2</v>
      </c>
      <c r="N17" s="413">
        <f>VLOOKUP(B17,MASTER!$B$8:$V$1435,14,FALSE)</f>
        <v>32025</v>
      </c>
      <c r="O17" s="422" t="str">
        <f t="shared" ref="O17:O18" ca="1" si="7">DATEDIF(N17,TODAY(),"Y") &amp; "." &amp;DATEDIF(N17,TODAY(),"YM")</f>
        <v>30.7</v>
      </c>
      <c r="P17" s="413">
        <f>VLOOKUP(B17,MASTER!$B$8:$V$1435,16,FALSE)</f>
        <v>43873</v>
      </c>
      <c r="Q17" s="414" t="str">
        <f>VLOOKUP(B17,MASTER!$B$8:$V$1435,17,FALSE)</f>
        <v>I</v>
      </c>
      <c r="R17" s="411" t="str">
        <f>VLOOKUP(B17,MASTER!$B$8:$V$1435,18,FALSE)</f>
        <v>SPK</v>
      </c>
      <c r="S17" s="411" t="str">
        <f>VLOOKUP(B17,MASTER!$B$8:$V$1435,19,FALSE)</f>
        <v>S1</v>
      </c>
      <c r="T17" s="418" t="str">
        <f>VLOOKUP(B17,MASTER!$B$8:$V$1435,20,FALSE)</f>
        <v>O</v>
      </c>
      <c r="U17" s="415" t="str">
        <f>VLOOKUP($B17,ALAMAT!$A$1:E246,4)</f>
        <v xml:space="preserve">Dk Kedungpane RT.001 RW.002 , Kedungpane, Mijen </v>
      </c>
      <c r="X17" s="407">
        <f t="shared" ca="1" si="2"/>
        <v>54</v>
      </c>
      <c r="Y17" s="407">
        <f t="shared" ca="1" si="3"/>
        <v>30</v>
      </c>
    </row>
    <row r="18" spans="1:25" s="407" customFormat="1" ht="12.95" customHeight="1">
      <c r="A18" s="421" t="s">
        <v>695</v>
      </c>
      <c r="B18" s="821">
        <v>7843</v>
      </c>
      <c r="C18" s="410" t="str">
        <f ca="1">VLOOKUP(B18,MASTER!$B$8:$C$137,2,FALSE)</f>
        <v>RIYONO</v>
      </c>
      <c r="D18" s="409" t="s">
        <v>2336</v>
      </c>
      <c r="E18" s="410" t="s">
        <v>2443</v>
      </c>
      <c r="F18" s="411" t="s">
        <v>18</v>
      </c>
      <c r="G18" s="411" t="str">
        <f ca="1">VLOOKUP(B18,MASTER!$B$8:$H$1435,6,FALSE)</f>
        <v>K</v>
      </c>
      <c r="H18" s="411">
        <f ca="1">VLOOKUP(B18,MASTER!$B$8:$H$1435,7,FALSE)</f>
        <v>2</v>
      </c>
      <c r="I18" s="411">
        <f ca="1">VLOOKUP(B18,MASTER!$B$8:$V$1435,8,FALSE)</f>
        <v>2</v>
      </c>
      <c r="J18" s="411" t="str">
        <f ca="1">VLOOKUP(B18,MASTER!$B$8:$V$1435,9,FALSE)</f>
        <v>L</v>
      </c>
      <c r="K18" s="423" t="str">
        <f ca="1">VLOOKUP(B18,MASTER!$B$8:$V$1435,10,FALSE)</f>
        <v>KEDIRI</v>
      </c>
      <c r="L18" s="413">
        <f>VLOOKUP(B18,MASTER!$B$8:$V$1435,11,FALSE)</f>
        <v>27318</v>
      </c>
      <c r="M18" s="422" t="str">
        <f t="shared" ca="1" si="6"/>
        <v>43.6</v>
      </c>
      <c r="N18" s="413">
        <f>VLOOKUP(B18,MASTER!$B$8:$V$1435,14,FALSE)</f>
        <v>34701</v>
      </c>
      <c r="O18" s="422" t="str">
        <f t="shared" ca="1" si="7"/>
        <v>23.3</v>
      </c>
      <c r="P18" s="413">
        <f>VLOOKUP(B18,MASTER!$B$8:$V$1435,16,FALSE)</f>
        <v>47772</v>
      </c>
      <c r="Q18" s="414" t="str">
        <f>VLOOKUP(B18,MASTER!$B$8:$V$1435,17,FALSE)</f>
        <v>I</v>
      </c>
      <c r="R18" s="411" t="str">
        <f>VLOOKUP(B18,MASTER!$B$8:$V$1435,18,FALSE)</f>
        <v>STM</v>
      </c>
      <c r="S18" s="411" t="str">
        <f>VLOOKUP(B18,MASTER!$B$8:$V$1435,19,FALSE)</f>
        <v>S1</v>
      </c>
      <c r="T18" s="418" t="str">
        <f>VLOOKUP(B18,MASTER!$B$8:$V$1435,20,FALSE)</f>
        <v>O</v>
      </c>
      <c r="U18" s="415" t="str">
        <f>VLOOKUP($B18,ALAMAT!$A$1:E247,4)</f>
        <v>Jl.Durian Dalam II BL.A No.28  RT.006 RW.001 Srondol Wetan Banyumanik Semarang</v>
      </c>
      <c r="X18" s="407">
        <f t="shared" ca="1" si="2"/>
        <v>43</v>
      </c>
      <c r="Y18" s="407">
        <f t="shared" ca="1" si="3"/>
        <v>23</v>
      </c>
    </row>
    <row r="19" spans="1:25" s="407" customFormat="1" ht="12.95" customHeight="1">
      <c r="A19" s="421" t="s">
        <v>696</v>
      </c>
      <c r="B19" s="821">
        <v>4640</v>
      </c>
      <c r="C19" s="410" t="str">
        <f>VLOOKUP(B19,MASTER!$B$8:$C$137,2,FALSE)</f>
        <v>CHRISTINA RETNO YULIATI</v>
      </c>
      <c r="D19" s="409" t="s">
        <v>2336</v>
      </c>
      <c r="E19" s="410" t="s">
        <v>636</v>
      </c>
      <c r="F19" s="411" t="s">
        <v>18</v>
      </c>
      <c r="G19" s="411" t="str">
        <f>VLOOKUP(B19,MASTER!$B$8:$H$1435,6,FALSE)</f>
        <v>J</v>
      </c>
      <c r="H19" s="411">
        <f>VLOOKUP(B19,MASTER!$B$8:$H$1435,7,FALSE)</f>
        <v>2</v>
      </c>
      <c r="I19" s="411">
        <f>VLOOKUP(B19,MASTER!$B$8:$V$1435,8,FALSE)</f>
        <v>2</v>
      </c>
      <c r="J19" s="411" t="str">
        <f>VLOOKUP(B19,MASTER!$B$8:$V$1435,9,FALSE)</f>
        <v>L</v>
      </c>
      <c r="K19" s="423" t="str">
        <f>VLOOKUP(B19,MASTER!$B$8:$V$1435,10,FALSE)</f>
        <v>KEP. RIAU</v>
      </c>
      <c r="L19" s="413">
        <f>VLOOKUP(B19,MASTER!$B$8:$V$1435,11,FALSE)</f>
        <v>25038</v>
      </c>
      <c r="M19" s="422" t="str">
        <f t="shared" ca="1" si="5"/>
        <v>49.9</v>
      </c>
      <c r="N19" s="413">
        <f>VLOOKUP(B19,MASTER!$B$8:$V$1435,14,FALSE)</f>
        <v>32025</v>
      </c>
      <c r="O19" s="422" t="str">
        <f t="shared" ca="1" si="4"/>
        <v>30.7</v>
      </c>
      <c r="P19" s="413">
        <f>VLOOKUP(B19,MASTER!$B$8:$V$1435,16,FALSE)</f>
        <v>45492</v>
      </c>
      <c r="Q19" s="414" t="str">
        <f>VLOOKUP(B19,MASTER!$B$8:$V$1435,17,FALSE)</f>
        <v>I</v>
      </c>
      <c r="R19" s="411" t="str">
        <f>VLOOKUP(B19,MASTER!$B$8:$V$1435,18,FALSE)</f>
        <v>SMA</v>
      </c>
      <c r="S19" s="411" t="str">
        <f>VLOOKUP(B19,MASTER!$B$8:$V$1435,19,FALSE)</f>
        <v>S1</v>
      </c>
      <c r="T19" s="418" t="str">
        <f>VLOOKUP(B19,MASTER!$B$8:$V$1435,20,FALSE)</f>
        <v>O</v>
      </c>
      <c r="U19" s="415" t="str">
        <f>VLOOKUP($B19,ALAMAT!$A$1:E248,4)</f>
        <v xml:space="preserve">Jl.Ngesrep Barat V No.31-32 RT.008 RW.008 Srondol Kulon Banyumanik Semarang </v>
      </c>
      <c r="X19" s="407">
        <f t="shared" ca="1" si="2"/>
        <v>49</v>
      </c>
      <c r="Y19" s="407">
        <f t="shared" ca="1" si="3"/>
        <v>30</v>
      </c>
    </row>
    <row r="20" spans="1:25" s="894" customFormat="1" ht="12.95" customHeight="1">
      <c r="A20" s="421" t="s">
        <v>697</v>
      </c>
      <c r="B20" s="817">
        <v>9520</v>
      </c>
      <c r="C20" s="410" t="str">
        <f>VLOOKUP(B20,MASTER!$B$8:$C$137,2,FALSE)</f>
        <v>INDRIYANI HARTANTI</v>
      </c>
      <c r="D20" s="409">
        <v>5</v>
      </c>
      <c r="E20" s="410" t="s">
        <v>638</v>
      </c>
      <c r="F20" s="411" t="s">
        <v>18</v>
      </c>
      <c r="G20" s="411" t="str">
        <f>VLOOKUP(B20,MASTER!$B$8:$H$1435,6,FALSE)</f>
        <v>K</v>
      </c>
      <c r="H20" s="411">
        <f>VLOOKUP(B20,MASTER!$B$8:$H$1435,7,FALSE)</f>
        <v>2</v>
      </c>
      <c r="I20" s="411">
        <f>VLOOKUP(B20,MASTER!$B$8:$V$1435,8,FALSE)</f>
        <v>2</v>
      </c>
      <c r="J20" s="411" t="str">
        <f>VLOOKUP(B20,MASTER!$B$8:$V$1435,9,FALSE)</f>
        <v>P</v>
      </c>
      <c r="K20" s="423" t="str">
        <f>VLOOKUP(B20,MASTER!$B$8:$V$1435,10,FALSE)</f>
        <v>SEMARANG</v>
      </c>
      <c r="L20" s="413">
        <f>VLOOKUP(B20,MASTER!$B$8:$V$1435,11,FALSE)</f>
        <v>28982</v>
      </c>
      <c r="M20" s="422" t="str">
        <f t="shared" ca="1" si="5"/>
        <v>38.11</v>
      </c>
      <c r="N20" s="413">
        <f>VLOOKUP(B20,MASTER!$B$8:$V$1435,14,FALSE)</f>
        <v>35807</v>
      </c>
      <c r="O20" s="422" t="str">
        <f t="shared" ca="1" si="4"/>
        <v>20.3</v>
      </c>
      <c r="P20" s="413">
        <f>VLOOKUP(B20,MASTER!$B$8:$V$1435,16,FALSE)</f>
        <v>49436</v>
      </c>
      <c r="Q20" s="414" t="str">
        <f>VLOOKUP(B20,MASTER!$B$8:$V$1435,17,FALSE)</f>
        <v>I</v>
      </c>
      <c r="R20" s="411" t="str">
        <f>VLOOKUP(B20,MASTER!$B$8:$V$1435,18,FALSE)</f>
        <v>SMA</v>
      </c>
      <c r="S20" s="411" t="str">
        <f>VLOOKUP(B20,MASTER!$B$8:$V$1435,19,FALSE)</f>
        <v>S1</v>
      </c>
      <c r="T20" s="418" t="str">
        <f>VLOOKUP(B20,MASTER!$B$8:$V$1435,20,FALSE)</f>
        <v>O</v>
      </c>
      <c r="U20" s="415" t="str">
        <f>VLOOKUP($B20,ALAMAT!$A$1:E249,4)</f>
        <v>Pondok Jangli Indah No.9 RT.008RW.001 Jangli Tembalang  Semarang</v>
      </c>
      <c r="X20" s="894">
        <f t="shared" ca="1" si="2"/>
        <v>38</v>
      </c>
      <c r="Y20" s="894">
        <f t="shared" ca="1" si="3"/>
        <v>20</v>
      </c>
    </row>
    <row r="21" spans="1:25" s="407" customFormat="1" ht="12.95" customHeight="1">
      <c r="A21" s="421" t="s">
        <v>698</v>
      </c>
      <c r="B21" s="821">
        <v>6894</v>
      </c>
      <c r="C21" s="410" t="str">
        <f>VLOOKUP(B21,MASTER!$B$8:$C$137,2,FALSE)</f>
        <v>SUGIYANTO</v>
      </c>
      <c r="D21" s="409" t="s">
        <v>2318</v>
      </c>
      <c r="E21" s="410" t="s">
        <v>639</v>
      </c>
      <c r="F21" s="411" t="s">
        <v>18</v>
      </c>
      <c r="G21" s="411" t="str">
        <f>VLOOKUP(B21,MASTER!$B$8:$H$1435,6,FALSE)</f>
        <v>K</v>
      </c>
      <c r="H21" s="411">
        <f>VLOOKUP(B21,MASTER!$B$8:$H$1435,7,FALSE)</f>
        <v>2</v>
      </c>
      <c r="I21" s="411">
        <f>VLOOKUP(B21,MASTER!$B$8:$V$1435,8,FALSE)</f>
        <v>1</v>
      </c>
      <c r="J21" s="411" t="str">
        <f>VLOOKUP(B21,MASTER!$B$8:$V$1435,9,FALSE)</f>
        <v>L</v>
      </c>
      <c r="K21" s="423" t="str">
        <f>VLOOKUP(B21,MASTER!$B$8:$V$1435,10,FALSE)</f>
        <v>SLEMAN</v>
      </c>
      <c r="L21" s="413">
        <f>VLOOKUP(B21,MASTER!$B$8:$V$1435,11,FALSE)</f>
        <v>23894</v>
      </c>
      <c r="M21" s="422" t="str">
        <f t="shared" ref="M21" ca="1" si="8">DATEDIF(L21,TODAY(),"Y") &amp; "." &amp;DATEDIF(L21,TODAY(),"YM")</f>
        <v>52.10</v>
      </c>
      <c r="N21" s="413">
        <f>VLOOKUP(B21,MASTER!$B$8:$V$1435,14,FALSE)</f>
        <v>33543</v>
      </c>
      <c r="O21" s="422" t="str">
        <f t="shared" ref="O21" ca="1" si="9">DATEDIF(N21,TODAY(),"Y") &amp; "." &amp;DATEDIF(N21,TODAY(),"YM")</f>
        <v>26.5</v>
      </c>
      <c r="P21" s="413">
        <f>VLOOKUP(B21,MASTER!$B$8:$V$1435,16,FALSE)</f>
        <v>44348</v>
      </c>
      <c r="Q21" s="414" t="str">
        <f>VLOOKUP(B21,MASTER!$B$8:$V$1435,17,FALSE)</f>
        <v>I</v>
      </c>
      <c r="R21" s="411" t="str">
        <f>VLOOKUP(B21,MASTER!$B$8:$V$1435,18,FALSE)</f>
        <v>SMP</v>
      </c>
      <c r="S21" s="411" t="str">
        <f>VLOOKUP(B21,MASTER!$B$8:$V$1435,19,FALSE)</f>
        <v>SLTP</v>
      </c>
      <c r="T21" s="418" t="str">
        <f>VLOOKUP(B21,MASTER!$B$8:$V$1435,20,FALSE)</f>
        <v>O</v>
      </c>
      <c r="U21" s="415" t="str">
        <f>VLOOKUP($B21,ALAMAT!$A$1:E250,4)</f>
        <v>Kalibening RT.003 RW.001 Tirtomartani, Kalasan Sleman, Yogyakarta</v>
      </c>
      <c r="X21" s="407">
        <f t="shared" ca="1" si="2"/>
        <v>52</v>
      </c>
      <c r="Y21" s="407">
        <f t="shared" ca="1" si="3"/>
        <v>26</v>
      </c>
    </row>
    <row r="22" spans="1:25" s="407" customFormat="1" ht="12.95" customHeight="1">
      <c r="A22" s="416" t="str">
        <f>A21</f>
        <v>12</v>
      </c>
      <c r="B22" s="821"/>
      <c r="C22" s="410"/>
      <c r="D22" s="409"/>
      <c r="E22" s="410"/>
      <c r="F22" s="411"/>
      <c r="G22" s="411"/>
      <c r="H22" s="425">
        <f ca="1">SUM(H8:H21)</f>
        <v>23</v>
      </c>
      <c r="I22" s="425">
        <f ca="1">SUM(I8:I21)</f>
        <v>20</v>
      </c>
      <c r="J22" s="411"/>
      <c r="K22" s="423"/>
      <c r="L22" s="413"/>
      <c r="M22" s="417"/>
      <c r="N22" s="413"/>
      <c r="O22" s="413"/>
      <c r="P22" s="413"/>
      <c r="Q22" s="414"/>
      <c r="R22" s="411"/>
      <c r="S22" s="411"/>
      <c r="T22" s="418"/>
      <c r="U22" s="415"/>
    </row>
    <row r="23" spans="1:25" s="407" customFormat="1" ht="12.95" customHeight="1">
      <c r="A23" s="408"/>
      <c r="B23" s="825" t="s">
        <v>655</v>
      </c>
      <c r="C23" s="426"/>
      <c r="D23" s="426"/>
      <c r="E23" s="426"/>
      <c r="F23" s="426"/>
      <c r="G23" s="411"/>
      <c r="H23" s="411"/>
      <c r="I23" s="411"/>
      <c r="J23" s="411"/>
      <c r="K23" s="297"/>
      <c r="L23" s="298"/>
      <c r="M23" s="417"/>
      <c r="N23" s="298"/>
      <c r="O23" s="298"/>
      <c r="P23" s="298"/>
      <c r="Q23" s="296"/>
      <c r="R23" s="411"/>
      <c r="S23" s="411"/>
      <c r="T23" s="418"/>
      <c r="U23" s="415"/>
    </row>
    <row r="24" spans="1:25" s="407" customFormat="1" ht="12.95" customHeight="1">
      <c r="A24" s="421">
        <v>1</v>
      </c>
      <c r="B24" s="817">
        <v>2217</v>
      </c>
      <c r="C24" s="412" t="str">
        <f>VLOOKUP(B24,MASTER!$B$8:$C$137,2,FALSE)</f>
        <v>SUNARSO</v>
      </c>
      <c r="D24" s="409" t="s">
        <v>2335</v>
      </c>
      <c r="E24" s="410" t="s">
        <v>640</v>
      </c>
      <c r="F24" s="411" t="s">
        <v>18</v>
      </c>
      <c r="G24" s="411" t="str">
        <f>VLOOKUP(B24,MASTER!$B$8:$H$1435,6,FALSE)</f>
        <v>K</v>
      </c>
      <c r="H24" s="411">
        <f>VLOOKUP(B24,MASTER!$B$8:$H$1435,7,FALSE)</f>
        <v>4</v>
      </c>
      <c r="I24" s="411">
        <f>VLOOKUP(B24,MASTER!$B$8:$V$1435,8,FALSE)</f>
        <v>1</v>
      </c>
      <c r="J24" s="411" t="str">
        <f>VLOOKUP(B24,MASTER!$B$8:$V$1435,9,FALSE)</f>
        <v>L</v>
      </c>
      <c r="K24" s="423" t="str">
        <f>VLOOKUP(B24,MASTER!$B$8:$V$1435,10,FALSE)</f>
        <v>KLATEN</v>
      </c>
      <c r="L24" s="413">
        <f>VLOOKUP(B24,MASTER!$B$8:$V$1435,11,FALSE)</f>
        <v>22832</v>
      </c>
      <c r="M24" s="422" t="str">
        <f t="shared" ref="M24:M30" ca="1" si="10">DATEDIF(L24,TODAY(),"Y") &amp; "." &amp;DATEDIF(L24,TODAY(),"YM")</f>
        <v>55.9</v>
      </c>
      <c r="N24" s="413">
        <f>VLOOKUP(B24,MASTER!$B$8:$V$1435,14,FALSE)</f>
        <v>30501</v>
      </c>
      <c r="O24" s="422" t="str">
        <f t="shared" ref="O24:O30" ca="1" si="11">DATEDIF(N24,TODAY(),"Y") &amp; "." &amp;DATEDIF(N24,TODAY(),"YM")</f>
        <v>34.9</v>
      </c>
      <c r="P24" s="413">
        <f>VLOOKUP(B24,MASTER!$B$8:$V$1435,16,FALSE)</f>
        <v>43286</v>
      </c>
      <c r="Q24" s="414" t="str">
        <f>VLOOKUP(B24,MASTER!$B$8:$V$1435,17,FALSE)</f>
        <v>I</v>
      </c>
      <c r="R24" s="411" t="str">
        <f>VLOOKUP(B24,MASTER!$B$8:$V$1435,18,FALSE)</f>
        <v>S1</v>
      </c>
      <c r="S24" s="411" t="str">
        <f>VLOOKUP(B24,MASTER!$B$8:$V$1435,19,FALSE)</f>
        <v>S1</v>
      </c>
      <c r="T24" s="418" t="str">
        <f>VLOOKUP(B24,MASTER!$B$8:$V$1435,20,FALSE)</f>
        <v>O</v>
      </c>
      <c r="U24" s="415" t="str">
        <f>VLOOKUP($B24,ALAMAT!$A$1:E253,4)</f>
        <v>Jl.Perintis Kemerdekaan Perum. Griya Pulisen RT.002 RW.012 , Boyolali</v>
      </c>
      <c r="X24" s="407">
        <f t="shared" ca="1" si="2"/>
        <v>55</v>
      </c>
      <c r="Y24" s="407">
        <f t="shared" ca="1" si="3"/>
        <v>34</v>
      </c>
    </row>
    <row r="25" spans="1:25" s="407" customFormat="1" ht="12.95" customHeight="1">
      <c r="A25" s="421">
        <v>2</v>
      </c>
      <c r="B25" s="817">
        <v>2215</v>
      </c>
      <c r="C25" s="412" t="str">
        <f>VLOOKUP(B25,MASTER!$B$8:$C$137,2,FALSE)</f>
        <v>BUDI WARDHANA</v>
      </c>
      <c r="D25" s="409" t="s">
        <v>2336</v>
      </c>
      <c r="E25" s="410" t="s">
        <v>645</v>
      </c>
      <c r="F25" s="411" t="s">
        <v>18</v>
      </c>
      <c r="G25" s="411" t="str">
        <f>VLOOKUP(B25,MASTER!$B$8:$H$1435,6,FALSE)</f>
        <v>K</v>
      </c>
      <c r="H25" s="411">
        <f>VLOOKUP(B25,MASTER!$B$8:$H$1435,7,FALSE)</f>
        <v>2</v>
      </c>
      <c r="I25" s="411">
        <f>VLOOKUP(B25,MASTER!$B$8:$V$1435,8,FALSE)</f>
        <v>2</v>
      </c>
      <c r="J25" s="411" t="str">
        <f>VLOOKUP(B25,MASTER!$B$8:$V$1435,9,FALSE)</f>
        <v>L</v>
      </c>
      <c r="K25" s="423" t="str">
        <f>VLOOKUP(B25,MASTER!$B$8:$V$1435,10,FALSE)</f>
        <v>SEMARANG</v>
      </c>
      <c r="L25" s="413">
        <f>VLOOKUP(B25,MASTER!$B$8:$V$1435,11,FALSE)</f>
        <v>23263</v>
      </c>
      <c r="M25" s="422" t="str">
        <f t="shared" ca="1" si="10"/>
        <v>54.7</v>
      </c>
      <c r="N25" s="413">
        <f>VLOOKUP(B25,MASTER!$B$8:$V$1435,14,FALSE)</f>
        <v>30501</v>
      </c>
      <c r="O25" s="422" t="str">
        <f t="shared" ca="1" si="11"/>
        <v>34.9</v>
      </c>
      <c r="P25" s="413">
        <f>VLOOKUP(B25,MASTER!$B$8:$V$1435,16,FALSE)</f>
        <v>43717</v>
      </c>
      <c r="Q25" s="414" t="str">
        <f>VLOOKUP(B25,MASTER!$B$8:$V$1435,17,FALSE)</f>
        <v>I</v>
      </c>
      <c r="R25" s="411" t="str">
        <f>VLOOKUP(B25,MASTER!$B$8:$V$1435,18,FALSE)</f>
        <v>SMA</v>
      </c>
      <c r="S25" s="411" t="str">
        <f>VLOOKUP(B25,MASTER!$B$8:$V$1435,19,FALSE)</f>
        <v>SLTA</v>
      </c>
      <c r="T25" s="418" t="str">
        <f>VLOOKUP(B25,MASTER!$B$8:$V$1435,20,FALSE)</f>
        <v>O</v>
      </c>
      <c r="U25" s="415" t="str">
        <f>VLOOKUP($B25,ALAMAT!$A$1:E256,4)</f>
        <v xml:space="preserve"> JL. Karonsih Timur IX / 344 Ngaliyan Semarang</v>
      </c>
      <c r="X25" s="407">
        <f t="shared" ca="1" si="2"/>
        <v>54</v>
      </c>
      <c r="Y25" s="407">
        <f t="shared" ca="1" si="3"/>
        <v>34</v>
      </c>
    </row>
    <row r="26" spans="1:25" s="407" customFormat="1" ht="12.95" customHeight="1">
      <c r="A26" s="421">
        <v>3</v>
      </c>
      <c r="B26" s="821">
        <v>2218</v>
      </c>
      <c r="C26" s="412" t="str">
        <f>VLOOKUP(B26,MASTER!$B$8:$C$137,2,FALSE)</f>
        <v>TUTI IRIANI</v>
      </c>
      <c r="D26" s="409" t="s">
        <v>2336</v>
      </c>
      <c r="E26" s="410" t="s">
        <v>641</v>
      </c>
      <c r="F26" s="411" t="s">
        <v>18</v>
      </c>
      <c r="G26" s="411" t="str">
        <f>VLOOKUP(B26,MASTER!$B$8:$H$1435,6,FALSE)</f>
        <v>J</v>
      </c>
      <c r="H26" s="411">
        <f>VLOOKUP(B26,MASTER!$B$8:$H$1435,7,FALSE)</f>
        <v>2</v>
      </c>
      <c r="I26" s="411">
        <f>VLOOKUP(B26,MASTER!$B$8:$V$1435,8,FALSE)</f>
        <v>2</v>
      </c>
      <c r="J26" s="411" t="str">
        <f>VLOOKUP(B26,MASTER!$B$8:$V$1435,9,FALSE)</f>
        <v>P</v>
      </c>
      <c r="K26" s="423" t="str">
        <f>VLOOKUP(B26,MASTER!$B$8:$V$1435,10,FALSE)</f>
        <v>SOLO</v>
      </c>
      <c r="L26" s="413">
        <f>VLOOKUP(B26,MASTER!$B$8:$V$1435,11,FALSE)</f>
        <v>22842</v>
      </c>
      <c r="M26" s="422" t="str">
        <f t="shared" ca="1" si="10"/>
        <v>55.9</v>
      </c>
      <c r="N26" s="413">
        <f>VLOOKUP(B26,MASTER!$B$8:$V$1435,14,FALSE)</f>
        <v>30501</v>
      </c>
      <c r="O26" s="422" t="str">
        <f t="shared" ca="1" si="11"/>
        <v>34.9</v>
      </c>
      <c r="P26" s="413">
        <f>VLOOKUP(B26,MASTER!$B$8:$V$1435,16,FALSE)</f>
        <v>43296</v>
      </c>
      <c r="Q26" s="414" t="str">
        <f>VLOOKUP(B26,MASTER!$B$8:$V$1435,17,FALSE)</f>
        <v>I</v>
      </c>
      <c r="R26" s="411" t="str">
        <f>VLOOKUP(B26,MASTER!$B$8:$V$1435,18,FALSE)</f>
        <v>SMA</v>
      </c>
      <c r="S26" s="411" t="str">
        <f>VLOOKUP(B26,MASTER!$B$8:$V$1435,19,FALSE)</f>
        <v>SLTA</v>
      </c>
      <c r="T26" s="418" t="str">
        <f>VLOOKUP(B26,MASTER!$B$8:$V$1435,20,FALSE)</f>
        <v>B</v>
      </c>
      <c r="U26" s="415" t="str">
        <f>VLOOKUP($B26,ALAMAT!$A$1:E257,4)</f>
        <v>Jl Puri D3 No 13-14 Padangsari Banyumanik Semarang</v>
      </c>
      <c r="X26" s="407">
        <f t="shared" ca="1" si="2"/>
        <v>55</v>
      </c>
      <c r="Y26" s="407">
        <f t="shared" ca="1" si="3"/>
        <v>34</v>
      </c>
    </row>
    <row r="27" spans="1:25" s="407" customFormat="1" ht="12.95" customHeight="1">
      <c r="A27" s="421">
        <v>4</v>
      </c>
      <c r="B27" s="821">
        <v>3870</v>
      </c>
      <c r="C27" s="412" t="str">
        <f>VLOOKUP(B27,MASTER!$B$8:$C$137,2,FALSE)</f>
        <v>SUSILO ANGGRAINI</v>
      </c>
      <c r="D27" s="409" t="s">
        <v>2336</v>
      </c>
      <c r="E27" s="410" t="s">
        <v>641</v>
      </c>
      <c r="F27" s="411" t="s">
        <v>18</v>
      </c>
      <c r="G27" s="411" t="str">
        <f>VLOOKUP(B27,MASTER!$B$8:$H$1435,6,FALSE)</f>
        <v>J</v>
      </c>
      <c r="H27" s="411">
        <f>VLOOKUP(B27,MASTER!$B$8:$H$1435,7,FALSE)</f>
        <v>1</v>
      </c>
      <c r="I27" s="411">
        <f>VLOOKUP(B27,MASTER!$B$8:$V$1435,8,FALSE)</f>
        <v>1</v>
      </c>
      <c r="J27" s="411" t="str">
        <f>VLOOKUP(B27,MASTER!$B$8:$V$1435,9,FALSE)</f>
        <v>P</v>
      </c>
      <c r="K27" s="423" t="str">
        <f>VLOOKUP(B27,MASTER!$B$8:$V$1435,10,FALSE)</f>
        <v>SEMARANG</v>
      </c>
      <c r="L27" s="413">
        <f>VLOOKUP(B27,MASTER!$B$8:$V$1435,11,FALSE)</f>
        <v>24220</v>
      </c>
      <c r="M27" s="422" t="str">
        <f t="shared" ca="1" si="10"/>
        <v>52.0</v>
      </c>
      <c r="N27" s="413">
        <f>VLOOKUP(B27,MASTER!$B$8:$V$1435,14,FALSE)</f>
        <v>31717</v>
      </c>
      <c r="O27" s="422" t="str">
        <f t="shared" ca="1" si="11"/>
        <v>31.5</v>
      </c>
      <c r="P27" s="413">
        <f>VLOOKUP(B27,MASTER!$B$8:$V$1435,16,FALSE)</f>
        <v>44674</v>
      </c>
      <c r="Q27" s="414" t="str">
        <f>VLOOKUP(B27,MASTER!$B$8:$V$1435,17,FALSE)</f>
        <v>I</v>
      </c>
      <c r="R27" s="411" t="str">
        <f>VLOOKUP(B27,MASTER!$B$8:$V$1435,18,FALSE)</f>
        <v>SMA</v>
      </c>
      <c r="S27" s="411" t="str">
        <f>VLOOKUP(B27,MASTER!$B$8:$V$1435,19,FALSE)</f>
        <v>SLTA</v>
      </c>
      <c r="T27" s="418" t="str">
        <f>VLOOKUP(B27,MASTER!$B$8:$V$1435,20,FALSE)</f>
        <v>A</v>
      </c>
      <c r="U27" s="415" t="str">
        <f>VLOOKUP($B27,ALAMAT!$A$1:E257,4)</f>
        <v>Jl.Cemara 6/12C RT.001 RW.008 Padangsari , Banyumanik</v>
      </c>
      <c r="X27" s="407">
        <f t="shared" ca="1" si="2"/>
        <v>52</v>
      </c>
      <c r="Y27" s="407">
        <f t="shared" ca="1" si="3"/>
        <v>31</v>
      </c>
    </row>
    <row r="28" spans="1:25" s="407" customFormat="1" ht="12.95" customHeight="1">
      <c r="A28" s="421">
        <v>5</v>
      </c>
      <c r="B28" s="821">
        <v>6480</v>
      </c>
      <c r="C28" s="412" t="str">
        <f>VLOOKUP(B28,MASTER!$B$8:$C$137,2,FALSE)</f>
        <v>YUNI BUDI KUSWORO</v>
      </c>
      <c r="D28" s="409" t="s">
        <v>2336</v>
      </c>
      <c r="E28" s="410" t="s">
        <v>641</v>
      </c>
      <c r="F28" s="411" t="s">
        <v>18</v>
      </c>
      <c r="G28" s="411" t="str">
        <f>VLOOKUP(B28,MASTER!$B$8:$H$1435,6,FALSE)</f>
        <v>K</v>
      </c>
      <c r="H28" s="411">
        <f>VLOOKUP(B28,MASTER!$B$8:$H$1435,7,FALSE)</f>
        <v>2</v>
      </c>
      <c r="I28" s="411">
        <f>VLOOKUP(B28,MASTER!$B$8:$V$1435,8,FALSE)</f>
        <v>2</v>
      </c>
      <c r="J28" s="411" t="str">
        <f>VLOOKUP(B28,MASTER!$B$8:$V$1435,9,FALSE)</f>
        <v>L</v>
      </c>
      <c r="K28" s="423" t="str">
        <f>VLOOKUP(B28,MASTER!$B$8:$V$1435,10,FALSE)</f>
        <v>MALANG</v>
      </c>
      <c r="L28" s="413">
        <f>VLOOKUP(B28,MASTER!$B$8:$V$1435,11,FALSE)</f>
        <v>25356</v>
      </c>
      <c r="M28" s="422" t="str">
        <f t="shared" ref="M28" ca="1" si="12">DATEDIF(L28,TODAY(),"Y") &amp; "." &amp;DATEDIF(L28,TODAY(),"YM")</f>
        <v>48.10</v>
      </c>
      <c r="N28" s="413">
        <f>VLOOKUP(B28,MASTER!$B$8:$V$1435,14,FALSE)</f>
        <v>33226</v>
      </c>
      <c r="O28" s="422" t="str">
        <f t="shared" ref="O28" ca="1" si="13">DATEDIF(N28,TODAY(),"Y") &amp; "." &amp;DATEDIF(N28,TODAY(),"YM")</f>
        <v>27.4</v>
      </c>
      <c r="P28" s="413">
        <f>VLOOKUP(B28,MASTER!$B$8:$V$1435,16,FALSE)</f>
        <v>45810</v>
      </c>
      <c r="Q28" s="414" t="str">
        <f>VLOOKUP(B28,MASTER!$B$8:$V$1435,17,FALSE)</f>
        <v>I</v>
      </c>
      <c r="R28" s="411" t="str">
        <f>VLOOKUP(B28,MASTER!$B$8:$V$1435,18,FALSE)</f>
        <v>SMA</v>
      </c>
      <c r="S28" s="411" t="str">
        <f>VLOOKUP(B28,MASTER!$B$8:$V$1435,19,FALSE)</f>
        <v>SLTA</v>
      </c>
      <c r="T28" s="418" t="str">
        <f>VLOOKUP(B28,MASTER!$B$8:$V$1435,20,FALSE)</f>
        <v>-</v>
      </c>
      <c r="U28" s="415" t="str">
        <f>VLOOKUP($B28,ALAMAT!$A$1:E258,4)</f>
        <v>Griya Payung Asri Kav.105 RT.008 RW.013 Pudakpayung  Banyumanik Semarang</v>
      </c>
      <c r="X28" s="407">
        <f t="shared" ref="X28" ca="1" si="14">DATEDIF(L28,TODAY(),"y")</f>
        <v>48</v>
      </c>
      <c r="Y28" s="407">
        <f t="shared" ref="Y28" ca="1" si="15">DATEDIF(N28,TODAY(),"y")</f>
        <v>27</v>
      </c>
    </row>
    <row r="29" spans="1:25" s="407" customFormat="1" ht="12.95" customHeight="1">
      <c r="A29" s="421">
        <v>6</v>
      </c>
      <c r="B29" s="821">
        <v>4678</v>
      </c>
      <c r="C29" s="412" t="str">
        <f>VLOOKUP(B29,MASTER!$B$8:$C$137,2,FALSE)</f>
        <v>MARTINI</v>
      </c>
      <c r="D29" s="409" t="s">
        <v>2336</v>
      </c>
      <c r="E29" s="410" t="s">
        <v>645</v>
      </c>
      <c r="F29" s="411" t="s">
        <v>18</v>
      </c>
      <c r="G29" s="411" t="str">
        <f>VLOOKUP(B29,MASTER!$B$8:$H$1435,6,FALSE)</f>
        <v>K</v>
      </c>
      <c r="H29" s="411">
        <f>VLOOKUP(B29,MASTER!$B$8:$H$1435,7,FALSE)</f>
        <v>2</v>
      </c>
      <c r="I29" s="411">
        <f>VLOOKUP(B29,MASTER!$B$8:$V$1435,8,FALSE)</f>
        <v>2</v>
      </c>
      <c r="J29" s="411" t="str">
        <f>VLOOKUP(B29,MASTER!$B$8:$V$1435,9,FALSE)</f>
        <v>P</v>
      </c>
      <c r="K29" s="423" t="str">
        <f>VLOOKUP(B29,MASTER!$B$8:$V$1435,10,FALSE)</f>
        <v>SEMARANG</v>
      </c>
      <c r="L29" s="413">
        <f>VLOOKUP(B29,MASTER!$B$8:$V$1435,11,FALSE)</f>
        <v>24555</v>
      </c>
      <c r="M29" s="422" t="str">
        <f t="shared" ca="1" si="10"/>
        <v>51.1</v>
      </c>
      <c r="N29" s="413">
        <f>VLOOKUP(B29,MASTER!$B$8:$V$1435,14,FALSE)</f>
        <v>32025</v>
      </c>
      <c r="O29" s="422" t="str">
        <f t="shared" ca="1" si="11"/>
        <v>30.7</v>
      </c>
      <c r="P29" s="413">
        <f>VLOOKUP(B29,MASTER!$B$8:$V$1435,16,FALSE)</f>
        <v>45009</v>
      </c>
      <c r="Q29" s="414" t="str">
        <f>VLOOKUP(B29,MASTER!$B$8:$V$1435,17,FALSE)</f>
        <v>I</v>
      </c>
      <c r="R29" s="411" t="str">
        <f>VLOOKUP(B29,MASTER!$B$8:$V$1435,18,FALSE)</f>
        <v>SMEA</v>
      </c>
      <c r="S29" s="411" t="str">
        <f>VLOOKUP(B29,MASTER!$B$8:$V$1435,19,FALSE)</f>
        <v>SLTA</v>
      </c>
      <c r="T29" s="418" t="str">
        <f>VLOOKUP(B29,MASTER!$B$8:$V$1435,20,FALSE)</f>
        <v>O</v>
      </c>
      <c r="U29" s="415" t="str">
        <f>VLOOKUP($B29,ALAMAT!$A$1:E263,4)</f>
        <v>Beringin Kulon RT.003 RW.009 Tambakaji Ngaliyan Semarang</v>
      </c>
      <c r="X29" s="407">
        <f t="shared" ca="1" si="2"/>
        <v>51</v>
      </c>
      <c r="Y29" s="407">
        <f t="shared" ca="1" si="3"/>
        <v>30</v>
      </c>
    </row>
    <row r="30" spans="1:25" s="407" customFormat="1" ht="12.95" customHeight="1">
      <c r="A30" s="421">
        <v>7</v>
      </c>
      <c r="B30" s="821">
        <v>6813</v>
      </c>
      <c r="C30" s="412" t="str">
        <f>VLOOKUP(B30,MASTER!$B$8:$C$137,2,FALSE)</f>
        <v>SRI MULYONO</v>
      </c>
      <c r="D30" s="409" t="s">
        <v>2336</v>
      </c>
      <c r="E30" s="410" t="s">
        <v>2423</v>
      </c>
      <c r="F30" s="411" t="s">
        <v>18</v>
      </c>
      <c r="G30" s="411" t="str">
        <f>VLOOKUP(B30,MASTER!$B$8:$H$1435,6,FALSE)</f>
        <v>K</v>
      </c>
      <c r="H30" s="411">
        <f>VLOOKUP(B30,MASTER!$B$8:$H$1435,7,FALSE)</f>
        <v>2</v>
      </c>
      <c r="I30" s="411">
        <f>VLOOKUP(B30,MASTER!$B$8:$V$1435,8,FALSE)</f>
        <v>1</v>
      </c>
      <c r="J30" s="411" t="str">
        <f>VLOOKUP(B30,MASTER!$B$8:$V$1435,9,FALSE)</f>
        <v>L</v>
      </c>
      <c r="K30" s="423" t="str">
        <f>VLOOKUP(B30,MASTER!$B$8:$V$1435,10,FALSE)</f>
        <v>KLATEN</v>
      </c>
      <c r="L30" s="413">
        <f>VLOOKUP(B30,MASTER!$B$8:$V$1435,11,FALSE)</f>
        <v>23339</v>
      </c>
      <c r="M30" s="422" t="str">
        <f t="shared" ca="1" si="10"/>
        <v>54.5</v>
      </c>
      <c r="N30" s="413">
        <f>VLOOKUP(B30,MASTER!$B$8:$V$1435,14,FALSE)</f>
        <v>33527</v>
      </c>
      <c r="O30" s="422" t="str">
        <f t="shared" ca="1" si="11"/>
        <v>26.6</v>
      </c>
      <c r="P30" s="413">
        <f>VLOOKUP(B30,MASTER!$B$8:$V$1435,16,FALSE)</f>
        <v>43793</v>
      </c>
      <c r="Q30" s="414" t="str">
        <f>VLOOKUP(B30,MASTER!$B$8:$V$1435,17,FALSE)</f>
        <v>I</v>
      </c>
      <c r="R30" s="411" t="str">
        <f>VLOOKUP(B30,MASTER!$B$8:$V$1435,18,FALSE)</f>
        <v>SMA</v>
      </c>
      <c r="S30" s="411" t="str">
        <f>VLOOKUP(B30,MASTER!$B$8:$V$1435,19,FALSE)</f>
        <v>S1</v>
      </c>
      <c r="T30" s="418" t="str">
        <f>VLOOKUP(B30,MASTER!$B$8:$V$1435,20,FALSE)</f>
        <v>A</v>
      </c>
      <c r="U30" s="415" t="str">
        <f>VLOOKUP($B30,ALAMAT!$A$1:E264,4)</f>
        <v>Gempol RT.003 RW.004 Leyangan Ungaran Kab.Semarang</v>
      </c>
      <c r="X30" s="407">
        <f t="shared" ca="1" si="2"/>
        <v>54</v>
      </c>
      <c r="Y30" s="407">
        <f t="shared" ca="1" si="3"/>
        <v>26</v>
      </c>
    </row>
    <row r="31" spans="1:25" s="407" customFormat="1" ht="12.95" customHeight="1">
      <c r="A31" s="421">
        <v>8</v>
      </c>
      <c r="B31" s="823">
        <v>9287</v>
      </c>
      <c r="C31" s="412" t="str">
        <f>VLOOKUP(B31,MASTER!$B$8:$C$137,2,FALSE)</f>
        <v>HIDAYAT</v>
      </c>
      <c r="D31" s="434">
        <v>5</v>
      </c>
      <c r="E31" s="410" t="s">
        <v>638</v>
      </c>
      <c r="F31" s="411" t="s">
        <v>18</v>
      </c>
      <c r="G31" s="411" t="str">
        <f>VLOOKUP(B31,MASTER!$B$8:$H$1435,6,FALSE)</f>
        <v>K</v>
      </c>
      <c r="H31" s="411">
        <f>VLOOKUP(B31,MASTER!$B$8:$H$1435,7,FALSE)</f>
        <v>3</v>
      </c>
      <c r="I31" s="411">
        <f>VLOOKUP(B31,MASTER!$B$8:$V$1435,8,FALSE)</f>
        <v>3</v>
      </c>
      <c r="J31" s="411" t="str">
        <f>VLOOKUP(B31,MASTER!$B$8:$V$1435,9,FALSE)</f>
        <v>L</v>
      </c>
      <c r="K31" s="423" t="str">
        <f>VLOOKUP(B31,MASTER!$B$8:$V$1435,10,FALSE)</f>
        <v>WONOGIRI</v>
      </c>
      <c r="L31" s="413">
        <f>VLOOKUP(B31,MASTER!$B$8:$V$1435,11,FALSE)</f>
        <v>27653</v>
      </c>
      <c r="M31" s="422" t="str">
        <f t="shared" ref="M31" ca="1" si="16">DATEDIF(L31,TODAY(),"Y") &amp; "." &amp;DATEDIF(L31,TODAY(),"YM")</f>
        <v>42.7</v>
      </c>
      <c r="N31" s="413">
        <f>VLOOKUP(B31,MASTER!$B$8:$V$1435,14,FALSE)</f>
        <v>35691</v>
      </c>
      <c r="O31" s="422" t="str">
        <f t="shared" ref="O31" ca="1" si="17">DATEDIF(N31,TODAY(),"Y") &amp; "." &amp;DATEDIF(N31,TODAY(),"YM")</f>
        <v>20.7</v>
      </c>
      <c r="P31" s="413">
        <f>VLOOKUP(B31,MASTER!$B$8:$V$1435,16,FALSE)</f>
        <v>48107</v>
      </c>
      <c r="Q31" s="414" t="str">
        <f>VLOOKUP(B31,MASTER!$B$8:$V$1435,17,FALSE)</f>
        <v>I</v>
      </c>
      <c r="R31" s="411" t="str">
        <f>VLOOKUP(B31,MASTER!$B$8:$V$1435,18,FALSE)</f>
        <v>MAN</v>
      </c>
      <c r="S31" s="411" t="str">
        <f>VLOOKUP(B31,MASTER!$B$8:$V$1435,19,FALSE)</f>
        <v>SLTA</v>
      </c>
      <c r="T31" s="418" t="str">
        <f>VLOOKUP(B31,MASTER!$B$8:$V$1435,20,FALSE)</f>
        <v>O</v>
      </c>
      <c r="U31" s="415" t="str">
        <f>VLOOKUP($B31,ALAMAT!$A$1:E265,4)</f>
        <v>Ds Kenangkan Rt 06 Rw 07 Bergas Kidul Bergas Semarang</v>
      </c>
      <c r="X31" s="407">
        <f t="shared" ca="1" si="2"/>
        <v>42</v>
      </c>
      <c r="Y31" s="407">
        <f t="shared" ca="1" si="3"/>
        <v>20</v>
      </c>
    </row>
    <row r="32" spans="1:25" s="407" customFormat="1" ht="12.95" customHeight="1">
      <c r="A32" s="416">
        <f>A31</f>
        <v>8</v>
      </c>
      <c r="B32" s="821"/>
      <c r="C32" s="410"/>
      <c r="D32" s="411"/>
      <c r="E32" s="410"/>
      <c r="F32" s="411"/>
      <c r="G32" s="411"/>
      <c r="H32" s="425">
        <f>SUM(H24:H31)</f>
        <v>18</v>
      </c>
      <c r="I32" s="425">
        <f>SUM(I24:I31)</f>
        <v>14</v>
      </c>
      <c r="J32" s="411"/>
      <c r="K32" s="423"/>
      <c r="L32" s="413"/>
      <c r="M32" s="417"/>
      <c r="N32" s="413"/>
      <c r="O32" s="413"/>
      <c r="P32" s="413"/>
      <c r="Q32" s="414"/>
      <c r="R32" s="411"/>
      <c r="S32" s="411"/>
      <c r="T32" s="418"/>
      <c r="U32" s="415"/>
      <c r="X32" s="407">
        <f t="shared" ca="1" si="2"/>
        <v>118</v>
      </c>
    </row>
    <row r="33" spans="1:25" s="407" customFormat="1" ht="12.95" customHeight="1">
      <c r="A33" s="408"/>
      <c r="B33" s="825" t="s">
        <v>656</v>
      </c>
      <c r="C33" s="426"/>
      <c r="D33" s="426"/>
      <c r="E33" s="426"/>
      <c r="F33" s="426"/>
      <c r="G33" s="411"/>
      <c r="H33" s="411"/>
      <c r="I33" s="411"/>
      <c r="J33" s="411"/>
      <c r="K33" s="297"/>
      <c r="L33" s="298"/>
      <c r="M33" s="417"/>
      <c r="N33" s="298"/>
      <c r="O33" s="298"/>
      <c r="P33" s="298"/>
      <c r="Q33" s="296"/>
      <c r="R33" s="411"/>
      <c r="S33" s="411"/>
      <c r="T33" s="418"/>
      <c r="U33" s="415"/>
      <c r="X33" s="407">
        <f t="shared" ca="1" si="2"/>
        <v>118</v>
      </c>
    </row>
    <row r="34" spans="1:25" s="407" customFormat="1" ht="12.95" customHeight="1">
      <c r="A34" s="421">
        <v>1</v>
      </c>
      <c r="B34" s="821">
        <v>4666</v>
      </c>
      <c r="C34" s="412" t="str">
        <f>VLOOKUP(B34,MASTER!$B$8:$C$137,2,FALSE)</f>
        <v>AJI SUPRIOHADI</v>
      </c>
      <c r="D34" s="409" t="s">
        <v>2335</v>
      </c>
      <c r="E34" s="410" t="s">
        <v>796</v>
      </c>
      <c r="F34" s="411" t="s">
        <v>18</v>
      </c>
      <c r="G34" s="411" t="str">
        <f>VLOOKUP(B34,MASTER!$B$8:$H$1435,6,FALSE)</f>
        <v>K</v>
      </c>
      <c r="H34" s="411">
        <f>VLOOKUP(B34,MASTER!$B$8:$H$1435,7,FALSE)</f>
        <v>3</v>
      </c>
      <c r="I34" s="411">
        <f>VLOOKUP(B34,MASTER!$B$8:$V$1435,8,FALSE)</f>
        <v>1</v>
      </c>
      <c r="J34" s="411" t="str">
        <f>VLOOKUP(B34,MASTER!$B$8:$V$1435,9,FALSE)</f>
        <v>L</v>
      </c>
      <c r="K34" s="423" t="str">
        <f>VLOOKUP(B34,MASTER!$B$8:$V$1435,10,FALSE)</f>
        <v>KEBUMEN</v>
      </c>
      <c r="L34" s="413">
        <f>VLOOKUP(B34,MASTER!$B$8:$V$1435,11,FALSE)</f>
        <v>23394</v>
      </c>
      <c r="M34" s="422" t="str">
        <f t="shared" ref="M34:M37" ca="1" si="18">DATEDIF(L34,TODAY(),"Y") &amp; "." &amp;DATEDIF(L34,TODAY(),"YM")</f>
        <v>54.3</v>
      </c>
      <c r="N34" s="413">
        <f>VLOOKUP(B34,MASTER!$B$8:$V$1435,14,FALSE)</f>
        <v>32025</v>
      </c>
      <c r="O34" s="422" t="str">
        <f t="shared" ref="O34:O37" ca="1" si="19">DATEDIF(N34,TODAY(),"Y") &amp; "." &amp;DATEDIF(N34,TODAY(),"YM")</f>
        <v>30.7</v>
      </c>
      <c r="P34" s="413">
        <f>VLOOKUP(B34,MASTER!$B$8:$V$1435,16,FALSE)</f>
        <v>43848</v>
      </c>
      <c r="Q34" s="414" t="str">
        <f>VLOOKUP(B34,MASTER!$B$8:$V$1435,17,FALSE)</f>
        <v>I</v>
      </c>
      <c r="R34" s="411" t="str">
        <f>VLOOKUP(B34,MASTER!$B$8:$V$1435,18,FALSE)</f>
        <v>S1</v>
      </c>
      <c r="S34" s="411" t="str">
        <f>VLOOKUP(B34,MASTER!$B$8:$V$1435,19,FALSE)</f>
        <v>S1</v>
      </c>
      <c r="T34" s="418" t="str">
        <f>VLOOKUP(B34,MASTER!$B$8:$V$1435,20,FALSE)</f>
        <v>B</v>
      </c>
      <c r="U34" s="415" t="str">
        <f>VLOOKUP($B34,ALAMAT!$A$1:E268,4)</f>
        <v>Perum Rumpun Diponegoro Jl Elang II/B-37 Rt05 Rw04 Mangunharjo Tembalang Smg</v>
      </c>
      <c r="X34" s="407">
        <f t="shared" ca="1" si="2"/>
        <v>54</v>
      </c>
      <c r="Y34" s="407">
        <f t="shared" ca="1" si="3"/>
        <v>30</v>
      </c>
    </row>
    <row r="35" spans="1:25" s="407" customFormat="1" ht="12.95" customHeight="1">
      <c r="A35" s="421">
        <v>2</v>
      </c>
      <c r="B35" s="821">
        <v>4627</v>
      </c>
      <c r="C35" s="412" t="str">
        <f>VLOOKUP(B35,MASTER!$B$8:$C$137,2,FALSE)</f>
        <v>SLAMET SANTOSO</v>
      </c>
      <c r="D35" s="409" t="s">
        <v>2336</v>
      </c>
      <c r="E35" s="410" t="s">
        <v>2424</v>
      </c>
      <c r="F35" s="411" t="s">
        <v>18</v>
      </c>
      <c r="G35" s="411" t="str">
        <f>VLOOKUP(B35,MASTER!$B$8:$H$1435,6,FALSE)</f>
        <v>K</v>
      </c>
      <c r="H35" s="411">
        <f>VLOOKUP(B35,MASTER!$B$8:$H$1435,7,FALSE)</f>
        <v>3</v>
      </c>
      <c r="I35" s="411">
        <f>VLOOKUP(B35,MASTER!$B$8:$V$1435,8,FALSE)</f>
        <v>3</v>
      </c>
      <c r="J35" s="411" t="str">
        <f>VLOOKUP(B35,MASTER!$B$8:$V$1435,9,FALSE)</f>
        <v>L</v>
      </c>
      <c r="K35" s="423" t="str">
        <f>VLOOKUP(B35,MASTER!$B$8:$V$1435,10,FALSE)</f>
        <v>BANDUNG</v>
      </c>
      <c r="L35" s="413">
        <f>VLOOKUP(B35,MASTER!$B$8:$V$1435,11,FALSE)</f>
        <v>23219</v>
      </c>
      <c r="M35" s="422" t="str">
        <f t="shared" ca="1" si="18"/>
        <v>54.9</v>
      </c>
      <c r="N35" s="413">
        <f>VLOOKUP(B35,MASTER!$B$8:$V$1435,14,FALSE)</f>
        <v>32025</v>
      </c>
      <c r="O35" s="422" t="str">
        <f t="shared" ca="1" si="19"/>
        <v>30.7</v>
      </c>
      <c r="P35" s="413">
        <f>VLOOKUP(B35,MASTER!$B$8:$V$1435,16,FALSE)</f>
        <v>43673</v>
      </c>
      <c r="Q35" s="414" t="str">
        <f>VLOOKUP(B35,MASTER!$B$8:$V$1435,17,FALSE)</f>
        <v>I</v>
      </c>
      <c r="R35" s="411" t="str">
        <f>VLOOKUP(B35,MASTER!$B$8:$V$1435,18,FALSE)</f>
        <v>SMA</v>
      </c>
      <c r="S35" s="411" t="str">
        <f>VLOOKUP(B35,MASTER!$B$8:$V$1435,19,FALSE)</f>
        <v>S1</v>
      </c>
      <c r="T35" s="418" t="str">
        <f>VLOOKUP(B35,MASTER!$B$8:$V$1435,20,FALSE)</f>
        <v>O</v>
      </c>
      <c r="U35" s="415" t="str">
        <f>VLOOKUP($B35,ALAMAT!$A$1:E269,4)</f>
        <v>Kesatrian G-3Jatingaleh Candisari Semarang</v>
      </c>
      <c r="X35" s="407">
        <f t="shared" ca="1" si="2"/>
        <v>54</v>
      </c>
      <c r="Y35" s="407">
        <f t="shared" ca="1" si="3"/>
        <v>30</v>
      </c>
    </row>
    <row r="36" spans="1:25" s="407" customFormat="1" ht="12.95" customHeight="1">
      <c r="A36" s="421">
        <v>3</v>
      </c>
      <c r="B36" s="821">
        <v>4641</v>
      </c>
      <c r="C36" s="412" t="str">
        <f>VLOOKUP(B36,MASTER!$B$8:$C$137,2,FALSE)</f>
        <v>RINI MARDIANI</v>
      </c>
      <c r="D36" s="409" t="s">
        <v>2336</v>
      </c>
      <c r="E36" s="410" t="s">
        <v>648</v>
      </c>
      <c r="F36" s="411" t="s">
        <v>18</v>
      </c>
      <c r="G36" s="411" t="str">
        <f>VLOOKUP(B36,MASTER!$B$8:$H$1435,6,FALSE)</f>
        <v>K</v>
      </c>
      <c r="H36" s="411">
        <f>VLOOKUP(B36,MASTER!$B$8:$H$1435,7,FALSE)</f>
        <v>3</v>
      </c>
      <c r="I36" s="411">
        <f>VLOOKUP(B36,MASTER!$B$8:$V$1435,8,FALSE)</f>
        <v>3</v>
      </c>
      <c r="J36" s="411" t="str">
        <f>VLOOKUP(B36,MASTER!$B$8:$V$1435,9,FALSE)</f>
        <v>P</v>
      </c>
      <c r="K36" s="423" t="str">
        <f>VLOOKUP(B36,MASTER!$B$8:$V$1435,10,FALSE)</f>
        <v>SEMARANG</v>
      </c>
      <c r="L36" s="413">
        <f>VLOOKUP(B36,MASTER!$B$8:$V$1435,11,FALSE)</f>
        <v>24734</v>
      </c>
      <c r="M36" s="422" t="str">
        <f t="shared" ca="1" si="18"/>
        <v>50.7</v>
      </c>
      <c r="N36" s="413">
        <f>VLOOKUP(B36,MASTER!$B$8:$V$1435,14,FALSE)</f>
        <v>32025</v>
      </c>
      <c r="O36" s="422" t="str">
        <f t="shared" ca="1" si="19"/>
        <v>30.7</v>
      </c>
      <c r="P36" s="413">
        <f>VLOOKUP(B36,MASTER!$B$8:$V$1435,16,FALSE)</f>
        <v>45188</v>
      </c>
      <c r="Q36" s="414" t="str">
        <f>VLOOKUP(B36,MASTER!$B$8:$V$1435,17,FALSE)</f>
        <v>I</v>
      </c>
      <c r="R36" s="411" t="str">
        <f>VLOOKUP(B36,MASTER!$B$8:$V$1435,18,FALSE)</f>
        <v>SMA</v>
      </c>
      <c r="S36" s="411" t="str">
        <f>VLOOKUP(B36,MASTER!$B$8:$V$1435,19,FALSE)</f>
        <v>S1</v>
      </c>
      <c r="T36" s="418" t="str">
        <f>VLOOKUP(B36,MASTER!$B$8:$V$1435,20,FALSE)</f>
        <v>A</v>
      </c>
      <c r="U36" s="415" t="str">
        <f>VLOOKUP($B36,ALAMAT!$A$1:E270,4)</f>
        <v>Jl Albesia No 43/961 Rt03 Rw 08 Plamongansari Pedurungan Smg</v>
      </c>
      <c r="X36" s="407">
        <f t="shared" ca="1" si="2"/>
        <v>50</v>
      </c>
      <c r="Y36" s="407">
        <f t="shared" ca="1" si="3"/>
        <v>30</v>
      </c>
    </row>
    <row r="37" spans="1:25" s="407" customFormat="1" ht="12.95" customHeight="1">
      <c r="A37" s="421">
        <v>4</v>
      </c>
      <c r="B37" s="821">
        <v>4776</v>
      </c>
      <c r="C37" s="412" t="str">
        <f>VLOOKUP(B37,MASTER!$B$8:$C$137,2,FALSE)</f>
        <v>EDI HASTAYOGA</v>
      </c>
      <c r="D37" s="409" t="s">
        <v>2336</v>
      </c>
      <c r="E37" s="410" t="s">
        <v>642</v>
      </c>
      <c r="F37" s="411" t="s">
        <v>18</v>
      </c>
      <c r="G37" s="411" t="str">
        <f>VLOOKUP(B37,MASTER!$B$8:$H$1435,6,FALSE)</f>
        <v>K</v>
      </c>
      <c r="H37" s="411">
        <f>VLOOKUP(B37,MASTER!$B$8:$H$1435,7,FALSE)</f>
        <v>3</v>
      </c>
      <c r="I37" s="411">
        <f>VLOOKUP(B37,MASTER!$B$8:$V$1435,8,FALSE)</f>
        <v>1</v>
      </c>
      <c r="J37" s="411" t="str">
        <f>VLOOKUP(B37,MASTER!$B$8:$V$1435,9,FALSE)</f>
        <v>L</v>
      </c>
      <c r="K37" s="423" t="str">
        <f>VLOOKUP(B37,MASTER!$B$8:$V$1435,10,FALSE)</f>
        <v>KENDAL</v>
      </c>
      <c r="L37" s="413">
        <f>VLOOKUP(B37,MASTER!$B$8:$V$1435,11,FALSE)</f>
        <v>23698</v>
      </c>
      <c r="M37" s="422" t="str">
        <f t="shared" ca="1" si="18"/>
        <v>53.5</v>
      </c>
      <c r="N37" s="413">
        <f>VLOOKUP(B37,MASTER!$B$8:$V$1435,14,FALSE)</f>
        <v>32112</v>
      </c>
      <c r="O37" s="422" t="str">
        <f t="shared" ca="1" si="19"/>
        <v>30.4</v>
      </c>
      <c r="P37" s="413">
        <f>VLOOKUP(B37,MASTER!$B$8:$V$1435,16,FALSE)</f>
        <v>44152</v>
      </c>
      <c r="Q37" s="414" t="str">
        <f>VLOOKUP(B37,MASTER!$B$8:$V$1435,17,FALSE)</f>
        <v>I</v>
      </c>
      <c r="R37" s="411" t="str">
        <f>VLOOKUP(B37,MASTER!$B$8:$V$1435,18,FALSE)</f>
        <v>SPK</v>
      </c>
      <c r="S37" s="411" t="str">
        <f>VLOOKUP(B37,MASTER!$B$8:$V$1435,19,FALSE)</f>
        <v>S1</v>
      </c>
      <c r="T37" s="418" t="str">
        <f>VLOOKUP(B37,MASTER!$B$8:$V$1435,20,FALSE)</f>
        <v>A</v>
      </c>
      <c r="U37" s="415" t="str">
        <f>VLOOKUP($B37,ALAMAT!$A$1:E271,4)</f>
        <v>Jln.Candi Pawon VI/25 RT.001RW.003 Kalipancur, Ngaliyan, Semarang</v>
      </c>
      <c r="X37" s="407">
        <f t="shared" ca="1" si="2"/>
        <v>53</v>
      </c>
      <c r="Y37" s="407">
        <f t="shared" ca="1" si="3"/>
        <v>30</v>
      </c>
    </row>
    <row r="38" spans="1:25" s="407" customFormat="1" ht="12.95" customHeight="1">
      <c r="A38" s="421">
        <v>5</v>
      </c>
      <c r="B38" s="823">
        <v>9540</v>
      </c>
      <c r="C38" s="412" t="str">
        <f>VLOOKUP(B38,MASTER!$B$8:$C$137,2,FALSE)</f>
        <v>WAHYU EKO PURNOMO</v>
      </c>
      <c r="D38" s="434">
        <v>5</v>
      </c>
      <c r="E38" s="410" t="s">
        <v>638</v>
      </c>
      <c r="F38" s="411" t="s">
        <v>18</v>
      </c>
      <c r="G38" s="411" t="str">
        <f>VLOOKUP(B38,MASTER!$B$8:$H$1435,6,FALSE)</f>
        <v>K</v>
      </c>
      <c r="H38" s="411">
        <f>VLOOKUP(B38,MASTER!$B$8:$H$1435,7,FALSE)</f>
        <v>2</v>
      </c>
      <c r="I38" s="411">
        <f>VLOOKUP(B38,MASTER!$B$8:$V$1435,8,FALSE)</f>
        <v>2</v>
      </c>
      <c r="J38" s="411" t="str">
        <f>VLOOKUP(B38,MASTER!$B$8:$V$1435,9,FALSE)</f>
        <v>L</v>
      </c>
      <c r="K38" s="423" t="str">
        <f>VLOOKUP(B38,MASTER!$B$8:$V$1435,10,FALSE)</f>
        <v>KUDUS</v>
      </c>
      <c r="L38" s="413">
        <f>VLOOKUP(B38,MASTER!$B$8:$V$1435,11,FALSE)</f>
        <v>27283</v>
      </c>
      <c r="M38" s="422" t="str">
        <f t="shared" ref="M38:M39" ca="1" si="20">DATEDIF(L38,TODAY(),"Y") &amp; "." &amp;DATEDIF(L38,TODAY(),"YM")</f>
        <v>43.7</v>
      </c>
      <c r="N38" s="413">
        <f>VLOOKUP(B38,MASTER!$B$8:$V$1435,14,FALSE)</f>
        <v>35807</v>
      </c>
      <c r="O38" s="422" t="str">
        <f t="shared" ref="O38:O39" ca="1" si="21">DATEDIF(N38,TODAY(),"Y") &amp; "." &amp;DATEDIF(N38,TODAY(),"YM")</f>
        <v>20.3</v>
      </c>
      <c r="P38" s="413">
        <f>VLOOKUP(B38,MASTER!$B$8:$V$1435,16,FALSE)</f>
        <v>47737</v>
      </c>
      <c r="Q38" s="414" t="str">
        <f>VLOOKUP(B38,MASTER!$B$8:$V$1435,17,FALSE)</f>
        <v>I</v>
      </c>
      <c r="R38" s="411" t="str">
        <f>VLOOKUP(B38,MASTER!$B$8:$V$1435,18,FALSE)</f>
        <v>SMA</v>
      </c>
      <c r="S38" s="411" t="str">
        <f>VLOOKUP(B38,MASTER!$B$8:$V$1435,19,FALSE)</f>
        <v>SLTA</v>
      </c>
      <c r="T38" s="418" t="str">
        <f>VLOOKUP(B38,MASTER!$B$8:$V$1435,20,FALSE)</f>
        <v xml:space="preserve">A </v>
      </c>
      <c r="U38" s="415" t="str">
        <f>VLOOKUP($B38,ALAMAT!$A$1:E272,4)</f>
        <v>Jl.Kruwing Barat Dalam II/59 RT.002 RW.003 Srondol Wetan Banyumanik Semarang</v>
      </c>
      <c r="X38" s="407">
        <f t="shared" ca="1" si="2"/>
        <v>43</v>
      </c>
      <c r="Y38" s="407">
        <f t="shared" ca="1" si="3"/>
        <v>20</v>
      </c>
    </row>
    <row r="39" spans="1:25" s="407" customFormat="1" ht="12.95" customHeight="1">
      <c r="A39" s="421">
        <v>6</v>
      </c>
      <c r="B39" s="823">
        <v>9902</v>
      </c>
      <c r="C39" s="412" t="str">
        <f>VLOOKUP(B39,MASTER!$B$8:$C$137,2,FALSE)</f>
        <v>SAAT DUDIN TAFTAYANI</v>
      </c>
      <c r="D39" s="434">
        <v>5</v>
      </c>
      <c r="E39" s="410" t="s">
        <v>638</v>
      </c>
      <c r="F39" s="411" t="s">
        <v>18</v>
      </c>
      <c r="G39" s="411" t="str">
        <f>VLOOKUP(B39,MASTER!$B$8:$H$1435,6,FALSE)</f>
        <v>K</v>
      </c>
      <c r="H39" s="411">
        <f>VLOOKUP(B39,MASTER!$B$8:$H$1435,7,FALSE)</f>
        <v>2</v>
      </c>
      <c r="I39" s="411">
        <f>VLOOKUP(B39,MASTER!$B$8:$V$1435,8,FALSE)</f>
        <v>2</v>
      </c>
      <c r="J39" s="411" t="str">
        <f>VLOOKUP(B39,MASTER!$B$8:$V$1435,9,FALSE)</f>
        <v>L</v>
      </c>
      <c r="K39" s="423" t="str">
        <f>VLOOKUP(B39,MASTER!$B$8:$V$1435,10,FALSE)</f>
        <v>SEMARANG</v>
      </c>
      <c r="L39" s="413">
        <f>VLOOKUP(B39,MASTER!$B$8:$V$1435,11,FALSE)</f>
        <v>28323</v>
      </c>
      <c r="M39" s="422" t="str">
        <f t="shared" ca="1" si="20"/>
        <v>40.9</v>
      </c>
      <c r="N39" s="413">
        <f>VLOOKUP(B39,MASTER!$B$8:$V$1435,14,FALSE)</f>
        <v>36514</v>
      </c>
      <c r="O39" s="422" t="str">
        <f t="shared" ca="1" si="21"/>
        <v>18.4</v>
      </c>
      <c r="P39" s="413">
        <f>VLOOKUP(B39,MASTER!$B$8:$V$1435,16,FALSE)</f>
        <v>48777</v>
      </c>
      <c r="Q39" s="414" t="str">
        <f>VLOOKUP(B39,MASTER!$B$8:$V$1435,17,FALSE)</f>
        <v>I</v>
      </c>
      <c r="R39" s="411" t="str">
        <f>VLOOKUP(B39,MASTER!$B$8:$V$1435,18,FALSE)</f>
        <v>SMA</v>
      </c>
      <c r="S39" s="411" t="str">
        <f>VLOOKUP(B39,MASTER!$B$8:$V$1435,19,FALSE)</f>
        <v>SLTA</v>
      </c>
      <c r="T39" s="418" t="str">
        <f>VLOOKUP(B39,MASTER!$B$8:$V$1435,20,FALSE)</f>
        <v>-</v>
      </c>
      <c r="U39" s="415" t="str">
        <f>VLOOKUP($B39,ALAMAT!$A$1:E273,4)</f>
        <v>Kalisari Kidul RT04 RW06 Kelurahan Langensari  Kec. Ungaran Barat</v>
      </c>
      <c r="X39" s="407">
        <f t="shared" ca="1" si="2"/>
        <v>40</v>
      </c>
      <c r="Y39" s="407">
        <f t="shared" ca="1" si="3"/>
        <v>18</v>
      </c>
    </row>
    <row r="40" spans="1:25" s="407" customFormat="1" ht="12.95" customHeight="1">
      <c r="A40" s="421">
        <v>7</v>
      </c>
      <c r="B40" s="823">
        <v>9521</v>
      </c>
      <c r="C40" s="412" t="str">
        <f>VLOOKUP(B40,MASTER!$B$8:$C$137,2,FALSE)</f>
        <v>DUGI LESTARI</v>
      </c>
      <c r="D40" s="434">
        <v>5</v>
      </c>
      <c r="E40" s="410" t="s">
        <v>638</v>
      </c>
      <c r="F40" s="411" t="s">
        <v>18</v>
      </c>
      <c r="G40" s="411" t="str">
        <f>VLOOKUP(B40,MASTER!$B$8:$H$1435,6,FALSE)</f>
        <v>K</v>
      </c>
      <c r="H40" s="411">
        <f>VLOOKUP(B40,MASTER!$B$8:$H$1435,7,FALSE)</f>
        <v>0</v>
      </c>
      <c r="I40" s="411">
        <f>VLOOKUP(B40,MASTER!$B$8:$V$1435,8,FALSE)</f>
        <v>0</v>
      </c>
      <c r="J40" s="411" t="str">
        <f>VLOOKUP(B40,MASTER!$B$8:$V$1435,9,FALSE)</f>
        <v>P</v>
      </c>
      <c r="K40" s="423" t="str">
        <f>VLOOKUP(B40,MASTER!$B$8:$V$1435,10,FALSE)</f>
        <v>YOGYAKARTA</v>
      </c>
      <c r="L40" s="413">
        <f>VLOOKUP(B40,MASTER!$B$8:$V$1435,11,FALSE)</f>
        <v>27707</v>
      </c>
      <c r="M40" s="422" t="str">
        <f t="shared" ref="M40" ca="1" si="22">DATEDIF(L40,TODAY(),"Y") &amp; "." &amp;DATEDIF(L40,TODAY(),"YM")</f>
        <v>42.5</v>
      </c>
      <c r="N40" s="413">
        <f>VLOOKUP(B40,MASTER!$B$8:$V$1435,14,FALSE)</f>
        <v>35807</v>
      </c>
      <c r="O40" s="422" t="str">
        <f t="shared" ref="O40" ca="1" si="23">DATEDIF(N40,TODAY(),"Y") &amp; "." &amp;DATEDIF(N40,TODAY(),"YM")</f>
        <v>20.3</v>
      </c>
      <c r="P40" s="413">
        <f>VLOOKUP(B40,MASTER!$B$8:$V$1435,16,FALSE)</f>
        <v>48161</v>
      </c>
      <c r="Q40" s="414" t="str">
        <f>VLOOKUP(B40,MASTER!$B$8:$V$1435,17,FALSE)</f>
        <v>I</v>
      </c>
      <c r="R40" s="411" t="str">
        <f>VLOOKUP(B40,MASTER!$B$8:$V$1435,18,FALSE)</f>
        <v>SMEA</v>
      </c>
      <c r="S40" s="411" t="str">
        <f>VLOOKUP(B40,MASTER!$B$8:$V$1435,19,FALSE)</f>
        <v>SLTA</v>
      </c>
      <c r="T40" s="418" t="str">
        <f>VLOOKUP(B40,MASTER!$B$8:$V$1435,20,FALSE)</f>
        <v>O</v>
      </c>
      <c r="U40" s="415" t="str">
        <f>VLOOKUP($B40,ALAMAT!$A$1:E274,4)</f>
        <v>Jl Ngesrep Timur III No 32 Rt 09 Rw 01 Sumurboto Banyumanik Semarang</v>
      </c>
      <c r="X40" s="407">
        <f t="shared" ca="1" si="2"/>
        <v>42</v>
      </c>
      <c r="Y40" s="407">
        <f t="shared" ca="1" si="3"/>
        <v>20</v>
      </c>
    </row>
    <row r="41" spans="1:25" s="407" customFormat="1" ht="12.95" customHeight="1">
      <c r="A41" s="416">
        <f>A40</f>
        <v>7</v>
      </c>
      <c r="B41" s="821" t="s">
        <v>769</v>
      </c>
      <c r="C41" s="410"/>
      <c r="D41" s="411"/>
      <c r="E41" s="410"/>
      <c r="F41" s="411"/>
      <c r="G41" s="411"/>
      <c r="H41" s="425">
        <f>SUM(H34:H40)</f>
        <v>16</v>
      </c>
      <c r="I41" s="425">
        <f>SUM(I34:I40)</f>
        <v>12</v>
      </c>
      <c r="J41" s="411"/>
      <c r="K41" s="423">
        <f>VLOOKUP(B41,MASTER!$B$8:$V$1435,10,FALSE)</f>
        <v>0</v>
      </c>
      <c r="L41" s="427"/>
      <c r="M41" s="417"/>
      <c r="N41" s="427"/>
      <c r="O41" s="427"/>
      <c r="P41" s="427"/>
      <c r="Q41" s="411"/>
      <c r="R41" s="411"/>
      <c r="S41" s="411"/>
      <c r="T41" s="418"/>
      <c r="U41" s="428"/>
      <c r="X41" s="407">
        <f t="shared" ca="1" si="2"/>
        <v>118</v>
      </c>
      <c r="Y41" s="407">
        <f t="shared" ca="1" si="3"/>
        <v>118</v>
      </c>
    </row>
    <row r="42" spans="1:25" s="407" customFormat="1" ht="12.95" customHeight="1">
      <c r="A42" s="408"/>
      <c r="B42" s="825" t="s">
        <v>657</v>
      </c>
      <c r="C42" s="426"/>
      <c r="D42" s="426"/>
      <c r="E42" s="426"/>
      <c r="F42" s="426"/>
      <c r="G42" s="411"/>
      <c r="H42" s="411"/>
      <c r="I42" s="411"/>
      <c r="J42" s="411"/>
      <c r="K42" s="411"/>
      <c r="L42" s="427"/>
      <c r="M42" s="417"/>
      <c r="N42" s="427"/>
      <c r="O42" s="427"/>
      <c r="P42" s="427"/>
      <c r="Q42" s="411"/>
      <c r="R42" s="411"/>
      <c r="S42" s="411"/>
      <c r="T42" s="418"/>
      <c r="U42" s="428"/>
      <c r="X42" s="407">
        <f t="shared" ca="1" si="2"/>
        <v>118</v>
      </c>
    </row>
    <row r="43" spans="1:25" s="407" customFormat="1" ht="12.95" customHeight="1">
      <c r="A43" s="421" t="s">
        <v>568</v>
      </c>
      <c r="B43" s="817">
        <v>6527</v>
      </c>
      <c r="C43" s="412" t="str">
        <f>VLOOKUP(B43,MASTER!$B$8:$C$137,2,FALSE)</f>
        <v>AGUS PRIYANTO</v>
      </c>
      <c r="D43" s="409" t="s">
        <v>2334</v>
      </c>
      <c r="E43" s="410" t="s">
        <v>647</v>
      </c>
      <c r="F43" s="411" t="s">
        <v>18</v>
      </c>
      <c r="G43" s="411" t="str">
        <f>VLOOKUP(B43,MASTER!$B$8:$H$1435,6,FALSE)</f>
        <v>K</v>
      </c>
      <c r="H43" s="411">
        <f>VLOOKUP(B43,MASTER!$B$8:$H$1435,7,FALSE)</f>
        <v>3</v>
      </c>
      <c r="I43" s="411">
        <f>VLOOKUP(B43,MASTER!$B$8:$V$1435,8,FALSE)</f>
        <v>3</v>
      </c>
      <c r="J43" s="411" t="str">
        <f>VLOOKUP(B43,MASTER!$B$8:$V$1435,9,FALSE)</f>
        <v>L</v>
      </c>
      <c r="K43" s="423" t="str">
        <f>VLOOKUP(B43,MASTER!$B$8:$V$1435,10,FALSE)</f>
        <v>JAKARTA</v>
      </c>
      <c r="L43" s="413">
        <f>VLOOKUP(B43,MASTER!$B$8:$V$1435,11,FALSE)</f>
        <v>26158</v>
      </c>
      <c r="M43" s="422" t="str">
        <f t="shared" ref="M43" ca="1" si="24">DATEDIF(L43,TODAY(),"Y") &amp; "." &amp;DATEDIF(L43,TODAY(),"YM")</f>
        <v>46.8</v>
      </c>
      <c r="N43" s="413">
        <f>VLOOKUP(B43,MASTER!$B$8:$V$1435,14,FALSE)</f>
        <v>33289</v>
      </c>
      <c r="O43" s="422" t="str">
        <f t="shared" ref="O43:O48" ca="1" si="25">DATEDIF(N43,TODAY(),"Y") &amp; "." &amp;DATEDIF(N43,TODAY(),"YM")</f>
        <v>27.2</v>
      </c>
      <c r="P43" s="413">
        <f>VLOOKUP(B43,MASTER!$B$8:$V$1435,16,FALSE)</f>
        <v>46612</v>
      </c>
      <c r="Q43" s="414" t="str">
        <f>VLOOKUP(B43,MASTER!$B$8:$V$1435,17,FALSE)</f>
        <v>I</v>
      </c>
      <c r="R43" s="411" t="str">
        <f>VLOOKUP(B43,MASTER!$B$8:$V$1435,18,FALSE)</f>
        <v>S1</v>
      </c>
      <c r="S43" s="411" t="str">
        <f>VLOOKUP(B43,MASTER!$B$8:$V$1435,19,FALSE)</f>
        <v>S1</v>
      </c>
      <c r="T43" s="418" t="str">
        <f>VLOOKUP(B43,MASTER!$B$8:$V$1435,20,FALSE)</f>
        <v>O</v>
      </c>
      <c r="U43" s="415" t="str">
        <f>VLOOKUP($B43,ALAMAT!$A$1:E266,4)</f>
        <v>Jl. Mawar Merah VI/6 No 12 RT 007 RW 007 Malaka Jaya Duren Sawit Jakarta Timur</v>
      </c>
      <c r="X43" s="407">
        <f t="shared" ca="1" si="2"/>
        <v>46</v>
      </c>
      <c r="Y43" s="407">
        <f t="shared" ca="1" si="3"/>
        <v>27</v>
      </c>
    </row>
    <row r="44" spans="1:25" s="407" customFormat="1" ht="12.95" customHeight="1">
      <c r="A44" s="421" t="s">
        <v>572</v>
      </c>
      <c r="B44" s="817">
        <v>4190</v>
      </c>
      <c r="C44" s="412" t="str">
        <f>VLOOKUP(B44,MASTER!$B$8:$C$137,2,FALSE)</f>
        <v>TRI MULYANI</v>
      </c>
      <c r="D44" s="409" t="s">
        <v>2335</v>
      </c>
      <c r="E44" s="410" t="s">
        <v>643</v>
      </c>
      <c r="F44" s="411" t="s">
        <v>18</v>
      </c>
      <c r="G44" s="411" t="str">
        <f>VLOOKUP(B44,MASTER!$B$8:$H$1435,6,FALSE)</f>
        <v>J</v>
      </c>
      <c r="H44" s="411">
        <f>VLOOKUP(B44,MASTER!$B$8:$H$1435,7,FALSE)</f>
        <v>2</v>
      </c>
      <c r="I44" s="411">
        <f>VLOOKUP(B44,MASTER!$B$8:$V$1435,8,FALSE)</f>
        <v>2</v>
      </c>
      <c r="J44" s="411" t="str">
        <f>VLOOKUP(B44,MASTER!$B$8:$V$1435,9,FALSE)</f>
        <v>P</v>
      </c>
      <c r="K44" s="423" t="str">
        <f>VLOOKUP(B44,MASTER!$B$8:$V$1435,10,FALSE)</f>
        <v>TEGAL</v>
      </c>
      <c r="L44" s="413">
        <f>VLOOKUP(B44,MASTER!$B$8:$V$1435,11,FALSE)</f>
        <v>24825</v>
      </c>
      <c r="M44" s="422" t="str">
        <f t="shared" ref="M44:M48" ca="1" si="26">DATEDIF(L44,TODAY(),"Y") &amp; "." &amp;DATEDIF(L44,TODAY(),"YM")</f>
        <v>50.4</v>
      </c>
      <c r="N44" s="413">
        <f>VLOOKUP(B44,MASTER!$B$8:$V$1435,14,FALSE)</f>
        <v>31880</v>
      </c>
      <c r="O44" s="422" t="str">
        <f t="shared" ca="1" si="25"/>
        <v>31.0</v>
      </c>
      <c r="P44" s="413">
        <f>VLOOKUP(B44,MASTER!$B$8:$V$1435,16,FALSE)</f>
        <v>45279</v>
      </c>
      <c r="Q44" s="414" t="str">
        <f>VLOOKUP(B44,MASTER!$B$8:$V$1435,17,FALSE)</f>
        <v>I</v>
      </c>
      <c r="R44" s="411" t="str">
        <f>VLOOKUP(B44,MASTER!$B$8:$V$1435,18,FALSE)</f>
        <v>S1</v>
      </c>
      <c r="S44" s="411" t="str">
        <f>VLOOKUP(B44,MASTER!$B$8:$V$1435,19,FALSE)</f>
        <v>S1</v>
      </c>
      <c r="T44" s="418" t="str">
        <f>VLOOKUP(B44,MASTER!$B$8:$V$1435,20,FALSE)</f>
        <v>AB</v>
      </c>
      <c r="U44" s="415" t="str">
        <f>VLOOKUP($B44,ALAMAT!$A$1:E267,4)</f>
        <v>Jl. Abd. Rahman Saleh 268 RT.006 RW.010 Manyaran Semarang Barat</v>
      </c>
      <c r="X44" s="407">
        <f t="shared" ca="1" si="2"/>
        <v>50</v>
      </c>
      <c r="Y44" s="407">
        <f t="shared" ca="1" si="3"/>
        <v>31</v>
      </c>
    </row>
    <row r="45" spans="1:25" s="407" customFormat="1" ht="12.95" customHeight="1">
      <c r="A45" s="421" t="s">
        <v>567</v>
      </c>
      <c r="B45" s="821">
        <v>2231</v>
      </c>
      <c r="C45" s="412" t="str">
        <f>VLOOKUP(B45,MASTER!$B$8:$C$137,2,FALSE)</f>
        <v>CECILIA KUSMIYATI</v>
      </c>
      <c r="D45" s="409" t="s">
        <v>2336</v>
      </c>
      <c r="E45" s="410" t="s">
        <v>649</v>
      </c>
      <c r="F45" s="411" t="s">
        <v>18</v>
      </c>
      <c r="G45" s="411" t="str">
        <f>VLOOKUP(B45,MASTER!$B$8:$H$1435,6,FALSE)</f>
        <v>J</v>
      </c>
      <c r="H45" s="411">
        <f>VLOOKUP(B45,MASTER!$B$8:$H$1435,7,FALSE)</f>
        <v>3</v>
      </c>
      <c r="I45" s="411">
        <f>VLOOKUP(B45,MASTER!$B$8:$V$1435,8,FALSE)</f>
        <v>3</v>
      </c>
      <c r="J45" s="411" t="str">
        <f>VLOOKUP(B45,MASTER!$B$8:$V$1435,9,FALSE)</f>
        <v>P</v>
      </c>
      <c r="K45" s="423" t="str">
        <f>VLOOKUP(B45,MASTER!$B$8:$V$1435,10,FALSE)</f>
        <v>SEMARANG</v>
      </c>
      <c r="L45" s="413">
        <f>VLOOKUP(B45,MASTER!$B$8:$V$1435,11,FALSE)</f>
        <v>23038</v>
      </c>
      <c r="M45" s="422" t="str">
        <f t="shared" ca="1" si="26"/>
        <v>55.3</v>
      </c>
      <c r="N45" s="413">
        <f>VLOOKUP(B45,MASTER!$B$8:$V$1435,14,FALSE)</f>
        <v>30501</v>
      </c>
      <c r="O45" s="422" t="str">
        <f t="shared" ca="1" si="25"/>
        <v>34.9</v>
      </c>
      <c r="P45" s="413">
        <f>VLOOKUP(B45,MASTER!$B$8:$V$1435,16,FALSE)</f>
        <v>43492</v>
      </c>
      <c r="Q45" s="414" t="str">
        <f>VLOOKUP(B45,MASTER!$B$8:$V$1435,17,FALSE)</f>
        <v>K</v>
      </c>
      <c r="R45" s="411" t="str">
        <f>VLOOKUP(B45,MASTER!$B$8:$V$1435,18,FALSE)</f>
        <v>SMEA</v>
      </c>
      <c r="S45" s="411" t="str">
        <f>VLOOKUP(B45,MASTER!$B$8:$V$1435,19,FALSE)</f>
        <v>SLTA</v>
      </c>
      <c r="T45" s="418" t="str">
        <f>VLOOKUP(B45,MASTER!$B$8:$V$1435,20,FALSE)</f>
        <v>O</v>
      </c>
      <c r="U45" s="415" t="str">
        <f>VLOOKUP($B45,ALAMAT!$A$1:E272,4)</f>
        <v>Jl.Kawung VII No.28 RT.005 RW.014. Tlogosari Kulon.  Pedurungan, Semarang</v>
      </c>
      <c r="X45" s="407">
        <f t="shared" ca="1" si="2"/>
        <v>55</v>
      </c>
      <c r="Y45" s="407">
        <f t="shared" ca="1" si="3"/>
        <v>34</v>
      </c>
    </row>
    <row r="46" spans="1:25" s="407" customFormat="1" ht="12.95" customHeight="1">
      <c r="A46" s="421" t="s">
        <v>573</v>
      </c>
      <c r="B46" s="821">
        <v>3388</v>
      </c>
      <c r="C46" s="412" t="str">
        <f>VLOOKUP(B46,MASTER!$B$8:$C$137,2,FALSE)</f>
        <v>AMINAH</v>
      </c>
      <c r="D46" s="409" t="s">
        <v>2336</v>
      </c>
      <c r="E46" s="410" t="s">
        <v>2363</v>
      </c>
      <c r="F46" s="411" t="s">
        <v>18</v>
      </c>
      <c r="G46" s="411" t="str">
        <f>VLOOKUP(B46,MASTER!$B$8:$H$1435,6,FALSE)</f>
        <v>K</v>
      </c>
      <c r="H46" s="411">
        <f>VLOOKUP(B46,MASTER!$B$8:$H$1435,7,FALSE)</f>
        <v>3</v>
      </c>
      <c r="I46" s="411">
        <f>VLOOKUP(B46,MASTER!$B$8:$V$1435,8,FALSE)</f>
        <v>3</v>
      </c>
      <c r="J46" s="411" t="str">
        <f>VLOOKUP(B46,MASTER!$B$8:$V$1435,9,FALSE)</f>
        <v>P</v>
      </c>
      <c r="K46" s="423" t="str">
        <f>VLOOKUP(B46,MASTER!$B$8:$V$1435,10,FALSE)</f>
        <v>SEMARANG</v>
      </c>
      <c r="L46" s="413">
        <f>VLOOKUP(B46,MASTER!$B$8:$V$1435,11,FALSE)</f>
        <v>23149</v>
      </c>
      <c r="M46" s="422" t="str">
        <f t="shared" ca="1" si="26"/>
        <v>54.11</v>
      </c>
      <c r="N46" s="413">
        <f>VLOOKUP(B46,MASTER!$B$8:$V$1435,14,FALSE)</f>
        <v>31472</v>
      </c>
      <c r="O46" s="422" t="str">
        <f t="shared" ca="1" si="25"/>
        <v>32.1</v>
      </c>
      <c r="P46" s="413">
        <f>VLOOKUP(B46,MASTER!$B$8:$V$1435,16,FALSE)</f>
        <v>43603</v>
      </c>
      <c r="Q46" s="414" t="str">
        <f>VLOOKUP(B46,MASTER!$B$8:$V$1435,17,FALSE)</f>
        <v>I</v>
      </c>
      <c r="R46" s="411" t="str">
        <f>VLOOKUP(B46,MASTER!$B$8:$V$1435,18,FALSE)</f>
        <v>SMA</v>
      </c>
      <c r="S46" s="411" t="str">
        <f>VLOOKUP(B46,MASTER!$B$8:$V$1435,19,FALSE)</f>
        <v>S1</v>
      </c>
      <c r="T46" s="418" t="str">
        <f>VLOOKUP(B46,MASTER!$B$8:$V$1435,20,FALSE)</f>
        <v>B</v>
      </c>
      <c r="U46" s="415" t="str">
        <f>VLOOKUP($B46,ALAMAT!$A$1:E272,4)</f>
        <v>Karangrejo IV/3 RT.005 RW.007  Srondol Wetan Banyumanik, Semarang</v>
      </c>
      <c r="X46" s="407">
        <f t="shared" ca="1" si="2"/>
        <v>54</v>
      </c>
      <c r="Y46" s="407">
        <f t="shared" ca="1" si="3"/>
        <v>32</v>
      </c>
    </row>
    <row r="47" spans="1:25" s="407" customFormat="1" ht="12.95" customHeight="1">
      <c r="A47" s="674" t="s">
        <v>574</v>
      </c>
      <c r="B47" s="818">
        <v>7622</v>
      </c>
      <c r="C47" s="412" t="str">
        <f>VLOOKUP(B47,MASTER!$B$8:$C$137,2,FALSE)</f>
        <v>R.HUSNI AGUS DRAJAT R</v>
      </c>
      <c r="D47" s="409" t="s">
        <v>2336</v>
      </c>
      <c r="E47" s="410" t="s">
        <v>2564</v>
      </c>
      <c r="F47" s="436" t="s">
        <v>18</v>
      </c>
      <c r="G47" s="411" t="str">
        <f>VLOOKUP(B47,MASTER!$B$8:$H$1435,6,FALSE)</f>
        <v>K</v>
      </c>
      <c r="H47" s="411">
        <f>VLOOKUP(B47,MASTER!$B$8:$H$1435,7,FALSE)</f>
        <v>2</v>
      </c>
      <c r="I47" s="411">
        <f>VLOOKUP(B47,MASTER!$B$8:$V$1435,8,FALSE)</f>
        <v>2</v>
      </c>
      <c r="J47" s="411" t="str">
        <f>VLOOKUP(B47,MASTER!$B$8:$V$1435,9,FALSE)</f>
        <v>L</v>
      </c>
      <c r="K47" s="423" t="str">
        <f>VLOOKUP(B47,MASTER!$B$8:$V$1435,10,FALSE)</f>
        <v>MOJOKERTO</v>
      </c>
      <c r="L47" s="413">
        <f>VLOOKUP(B47,MASTER!$B$8:$V$1435,11,FALSE)</f>
        <v>27615</v>
      </c>
      <c r="M47" s="422" t="str">
        <f t="shared" ca="1" si="26"/>
        <v>42.8</v>
      </c>
      <c r="N47" s="413">
        <f>VLOOKUP(B47,MASTER!$B$8:$V$1435,14,FALSE)</f>
        <v>34648</v>
      </c>
      <c r="O47" s="422" t="str">
        <f t="shared" ca="1" si="25"/>
        <v>23.5</v>
      </c>
      <c r="P47" s="413">
        <f>VLOOKUP(B47,MASTER!$B$8:$V$1435,16,FALSE)</f>
        <v>48069</v>
      </c>
      <c r="Q47" s="414" t="str">
        <f>VLOOKUP(B47,MASTER!$B$8:$V$1435,17,FALSE)</f>
        <v>I</v>
      </c>
      <c r="R47" s="411" t="str">
        <f>VLOOKUP(B47,MASTER!$B$8:$V$1435,18,FALSE)</f>
        <v>SMA</v>
      </c>
      <c r="S47" s="411" t="str">
        <f>VLOOKUP(B47,MASTER!$B$8:$V$1435,19,FALSE)</f>
        <v>S1</v>
      </c>
      <c r="T47" s="418" t="str">
        <f>VLOOKUP(B47,MASTER!$B$8:$V$1435,20,FALSE)</f>
        <v>O</v>
      </c>
      <c r="U47" s="415" t="str">
        <f>VLOOKUP($B47,ALAMAT!$A$1:E273,4)</f>
        <v>Jln.Darmo Indah Sel 1/MM-11 RT.001 RW.005 Tandes</v>
      </c>
      <c r="X47" s="407">
        <f t="shared" ca="1" si="2"/>
        <v>42</v>
      </c>
      <c r="Y47" s="407">
        <f t="shared" ca="1" si="3"/>
        <v>23</v>
      </c>
    </row>
    <row r="48" spans="1:25" s="407" customFormat="1" ht="12.95" customHeight="1">
      <c r="A48" s="674">
        <v>6</v>
      </c>
      <c r="B48" s="821">
        <v>9516</v>
      </c>
      <c r="C48" s="412" t="str">
        <f>VLOOKUP(B48,MASTER!$B$8:$C$137,2,FALSE)</f>
        <v>CHATARINA CAHYANING T</v>
      </c>
      <c r="D48" s="434">
        <v>5</v>
      </c>
      <c r="E48" s="410" t="s">
        <v>638</v>
      </c>
      <c r="F48" s="411" t="s">
        <v>18</v>
      </c>
      <c r="G48" s="411" t="str">
        <f>VLOOKUP(B48,MASTER!$B$8:$H$1435,6,FALSE)</f>
        <v>TK</v>
      </c>
      <c r="H48" s="411">
        <f>VLOOKUP(B48,MASTER!$B$8:$H$1435,7,FALSE)</f>
        <v>0</v>
      </c>
      <c r="I48" s="411">
        <f>VLOOKUP(B48,MASTER!$B$8:$V$1435,8,FALSE)</f>
        <v>0</v>
      </c>
      <c r="J48" s="411" t="str">
        <f>VLOOKUP(B48,MASTER!$B$8:$V$1435,9,FALSE)</f>
        <v>P</v>
      </c>
      <c r="K48" s="423" t="str">
        <f>VLOOKUP(B48,MASTER!$B$8:$V$1435,10,FALSE)</f>
        <v>SEMARANG</v>
      </c>
      <c r="L48" s="413">
        <f>VLOOKUP(B48,MASTER!$B$8:$V$1435,11,FALSE)</f>
        <v>28072</v>
      </c>
      <c r="M48" s="422" t="str">
        <f t="shared" ca="1" si="26"/>
        <v>41.5</v>
      </c>
      <c r="N48" s="413">
        <f>VLOOKUP(B48,MASTER!$B$8:$V$1435,14,FALSE)</f>
        <v>35807</v>
      </c>
      <c r="O48" s="422" t="str">
        <f t="shared" ca="1" si="25"/>
        <v>20.3</v>
      </c>
      <c r="P48" s="413">
        <f>VLOOKUP(B48,MASTER!$B$8:$V$1435,16,FALSE)</f>
        <v>48526</v>
      </c>
      <c r="Q48" s="414" t="str">
        <f>VLOOKUP(B48,MASTER!$B$8:$V$1435,17,FALSE)</f>
        <v>I</v>
      </c>
      <c r="R48" s="411" t="str">
        <f>VLOOKUP(B48,MASTER!$B$8:$V$1435,18,FALSE)</f>
        <v>SLTA</v>
      </c>
      <c r="S48" s="411" t="str">
        <f>VLOOKUP(B48,MASTER!$B$8:$V$1435,19,FALSE)</f>
        <v>S1</v>
      </c>
      <c r="T48" s="418" t="str">
        <f>VLOOKUP(B48,MASTER!$B$8:$V$1435,20,FALSE)</f>
        <v>O</v>
      </c>
      <c r="U48" s="415" t="str">
        <f>VLOOKUP($B48,ALAMAT!$A$1:E274,4)</f>
        <v>Jl. Erowati Raya No. 60 RT 004 RW 003 Bulu Lor Semarang</v>
      </c>
      <c r="X48" s="407">
        <f t="shared" ca="1" si="2"/>
        <v>41</v>
      </c>
      <c r="Y48" s="407">
        <f t="shared" ca="1" si="3"/>
        <v>20</v>
      </c>
    </row>
    <row r="49" spans="1:25" s="407" customFormat="1" ht="12.95" customHeight="1">
      <c r="A49" s="416">
        <f>A48</f>
        <v>6</v>
      </c>
      <c r="B49" s="821"/>
      <c r="C49" s="410"/>
      <c r="D49" s="411"/>
      <c r="E49" s="410"/>
      <c r="F49" s="411"/>
      <c r="G49" s="411"/>
      <c r="H49" s="425">
        <f>SUM(H43:H48)</f>
        <v>13</v>
      </c>
      <c r="I49" s="425">
        <f>SUM(I43:I48)</f>
        <v>13</v>
      </c>
      <c r="J49" s="411"/>
      <c r="K49" s="423"/>
      <c r="L49" s="413"/>
      <c r="M49" s="417"/>
      <c r="N49" s="413"/>
      <c r="O49" s="413"/>
      <c r="P49" s="413"/>
      <c r="Q49" s="414"/>
      <c r="R49" s="411"/>
      <c r="S49" s="411"/>
      <c r="T49" s="418"/>
      <c r="U49" s="415"/>
      <c r="X49" s="407">
        <f t="shared" ca="1" si="2"/>
        <v>118</v>
      </c>
    </row>
    <row r="50" spans="1:25" s="407" customFormat="1" ht="12.95" customHeight="1">
      <c r="A50" s="408"/>
      <c r="B50" s="825" t="s">
        <v>658</v>
      </c>
      <c r="C50" s="426"/>
      <c r="D50" s="426"/>
      <c r="E50" s="426"/>
      <c r="F50" s="426"/>
      <c r="G50" s="411"/>
      <c r="H50" s="411"/>
      <c r="I50" s="411"/>
      <c r="J50" s="411"/>
      <c r="K50" s="297"/>
      <c r="L50" s="298"/>
      <c r="M50" s="417"/>
      <c r="N50" s="413"/>
      <c r="O50" s="298"/>
      <c r="P50" s="298"/>
      <c r="Q50" s="296"/>
      <c r="R50" s="411"/>
      <c r="S50" s="411"/>
      <c r="T50" s="418"/>
      <c r="U50" s="415"/>
      <c r="X50" s="407">
        <f t="shared" ca="1" si="2"/>
        <v>118</v>
      </c>
      <c r="Y50" s="407">
        <f t="shared" ca="1" si="3"/>
        <v>118</v>
      </c>
    </row>
    <row r="51" spans="1:25" s="407" customFormat="1" ht="12.75">
      <c r="A51" s="421" t="s">
        <v>568</v>
      </c>
      <c r="B51" s="821">
        <v>5039</v>
      </c>
      <c r="C51" s="412" t="str">
        <f>VLOOKUP(B51,MASTER!$B$8:$C$137,2,FALSE)</f>
        <v>HADI MAKMURARTO</v>
      </c>
      <c r="D51" s="409" t="s">
        <v>2335</v>
      </c>
      <c r="E51" s="410" t="s">
        <v>777</v>
      </c>
      <c r="F51" s="411" t="s">
        <v>18</v>
      </c>
      <c r="G51" s="411" t="str">
        <f>VLOOKUP(B51,MASTER!$B$8:$H$1435,6,FALSE)</f>
        <v>K</v>
      </c>
      <c r="H51" s="411">
        <f>VLOOKUP(B51,MASTER!$B$8:$H$1435,7,FALSE)</f>
        <v>2</v>
      </c>
      <c r="I51" s="411">
        <f>VLOOKUP(B51,MASTER!$B$8:$V$1435,8,FALSE)</f>
        <v>2</v>
      </c>
      <c r="J51" s="411" t="str">
        <f>VLOOKUP(B51,MASTER!$B$8:$V$1435,9,FALSE)</f>
        <v>L</v>
      </c>
      <c r="K51" s="423" t="str">
        <f>VLOOKUP(B51,MASTER!$B$8:$V$1435,10,FALSE)</f>
        <v>JAKARTA</v>
      </c>
      <c r="L51" s="413">
        <f>VLOOKUP(B51,MASTER!$B$8:$V$1435,11,FALSE)</f>
        <v>23884</v>
      </c>
      <c r="M51" s="422" t="str">
        <f t="shared" ref="M51" ca="1" si="27">DATEDIF(L51,TODAY(),"Y") &amp; "." &amp;DATEDIF(L51,TODAY(),"YM")</f>
        <v>52.11</v>
      </c>
      <c r="N51" s="413">
        <f>VLOOKUP(B51,MASTER!$B$8:$V$1435,14,FALSE)</f>
        <v>32387</v>
      </c>
      <c r="O51" s="422" t="str">
        <f t="shared" ref="O51" ca="1" si="28">DATEDIF(N51,TODAY(),"Y") &amp; "." &amp;DATEDIF(N51,TODAY(),"YM")</f>
        <v>29.7</v>
      </c>
      <c r="P51" s="413">
        <f>VLOOKUP(B51,MASTER!$B$8:$V$1435,16,FALSE)</f>
        <v>44338</v>
      </c>
      <c r="Q51" s="414" t="str">
        <f>VLOOKUP(B51,MASTER!$B$8:$V$1435,17,FALSE)</f>
        <v>I</v>
      </c>
      <c r="R51" s="411" t="str">
        <f>VLOOKUP(B51,MASTER!$B$8:$V$1435,18,FALSE)</f>
        <v>S1</v>
      </c>
      <c r="S51" s="411" t="str">
        <f>VLOOKUP(B51,MASTER!$B$8:$V$1435,19,FALSE)</f>
        <v>S1</v>
      </c>
      <c r="T51" s="418" t="str">
        <f>VLOOKUP(B51,MASTER!$B$8:$V$1435,20,FALSE)</f>
        <v>-</v>
      </c>
      <c r="U51" s="415" t="str">
        <f>VLOOKUP($B51,ALAMAT!$A$1:E277,4)</f>
        <v>Perum Puri Babatan Asri Rt04 Rw04 Beji Ungaran Semarang</v>
      </c>
      <c r="X51" s="407">
        <f t="shared" ca="1" si="2"/>
        <v>52</v>
      </c>
      <c r="Y51" s="407">
        <f t="shared" ca="1" si="3"/>
        <v>29</v>
      </c>
    </row>
    <row r="52" spans="1:25" s="407" customFormat="1" ht="12.95" customHeight="1">
      <c r="A52" s="421" t="s">
        <v>572</v>
      </c>
      <c r="B52" s="821">
        <v>3382</v>
      </c>
      <c r="C52" s="412" t="str">
        <f>VLOOKUP(B52,MASTER!$B$8:$C$137,2,FALSE)</f>
        <v>MURDIYATI</v>
      </c>
      <c r="D52" s="409" t="s">
        <v>2336</v>
      </c>
      <c r="E52" s="410" t="s">
        <v>644</v>
      </c>
      <c r="F52" s="411" t="s">
        <v>18</v>
      </c>
      <c r="G52" s="411" t="str">
        <f>VLOOKUP(B52,MASTER!$B$8:$H$1435,6,FALSE)</f>
        <v>K</v>
      </c>
      <c r="H52" s="411">
        <f>VLOOKUP(B52,MASTER!$B$8:$H$1435,7,FALSE)</f>
        <v>1</v>
      </c>
      <c r="I52" s="411">
        <f>VLOOKUP(B52,MASTER!$B$8:$V$1435,8,FALSE)</f>
        <v>1</v>
      </c>
      <c r="J52" s="411" t="str">
        <f>VLOOKUP(B52,MASTER!$B$8:$V$1435,9,FALSE)</f>
        <v>P</v>
      </c>
      <c r="K52" s="423" t="str">
        <f>VLOOKUP(B52,MASTER!$B$8:$V$1435,10,FALSE)</f>
        <v>SLEMAN</v>
      </c>
      <c r="L52" s="413">
        <f>VLOOKUP(B52,MASTER!$B$8:$V$1435,11,FALSE)</f>
        <v>24380</v>
      </c>
      <c r="M52" s="422" t="str">
        <f t="shared" ref="M52:M54" ca="1" si="29">DATEDIF(L52,TODAY(),"Y") &amp; "." &amp;DATEDIF(L52,TODAY(),"YM")</f>
        <v>51.7</v>
      </c>
      <c r="N52" s="413">
        <f>VLOOKUP(B52,MASTER!$B$8:$V$1435,14,FALSE)</f>
        <v>31439</v>
      </c>
      <c r="O52" s="422" t="str">
        <f t="shared" ref="O52:O54" ca="1" si="30">DATEDIF(N52,TODAY(),"Y") &amp; "." &amp;DATEDIF(N52,TODAY(),"YM")</f>
        <v>32.3</v>
      </c>
      <c r="P52" s="413">
        <f>VLOOKUP(B52,MASTER!$B$8:$V$1435,16,FALSE)</f>
        <v>44834</v>
      </c>
      <c r="Q52" s="414" t="str">
        <f>VLOOKUP(B52,MASTER!$B$8:$V$1435,17,FALSE)</f>
        <v>I</v>
      </c>
      <c r="R52" s="411" t="str">
        <f>VLOOKUP(B52,MASTER!$B$8:$V$1435,18,FALSE)</f>
        <v>SMEA</v>
      </c>
      <c r="S52" s="411" t="str">
        <f>VLOOKUP(B52,MASTER!$B$8:$V$1435,19,FALSE)</f>
        <v>SLTA</v>
      </c>
      <c r="T52" s="418" t="str">
        <f>VLOOKUP(B52,MASTER!$B$8:$V$1435,20,FALSE)</f>
        <v>A</v>
      </c>
      <c r="U52" s="415" t="str">
        <f>VLOOKUP($B52,ALAMAT!$A$1:E278,4)</f>
        <v>Jl.Teuku Umar 106B RT.001 RW.004 Tinjomulyo Banyumanik Semarang</v>
      </c>
      <c r="X52" s="407">
        <f t="shared" ca="1" si="2"/>
        <v>51</v>
      </c>
      <c r="Y52" s="407">
        <f t="shared" ca="1" si="3"/>
        <v>32</v>
      </c>
    </row>
    <row r="53" spans="1:25" s="407" customFormat="1" ht="12.95" customHeight="1">
      <c r="A53" s="421" t="s">
        <v>567</v>
      </c>
      <c r="B53" s="821">
        <v>7447</v>
      </c>
      <c r="C53" s="412" t="str">
        <f>VLOOKUP(B53,MASTER!$B$8:$C$137,2,FALSE)</f>
        <v>SLAMET RIADI</v>
      </c>
      <c r="D53" s="409" t="s">
        <v>2336</v>
      </c>
      <c r="E53" s="410" t="s">
        <v>2324</v>
      </c>
      <c r="F53" s="411" t="s">
        <v>18</v>
      </c>
      <c r="G53" s="411" t="str">
        <f>VLOOKUP(B53,MASTER!$B$8:$H$1435,6,FALSE)</f>
        <v>K</v>
      </c>
      <c r="H53" s="411">
        <f>VLOOKUP(B53,MASTER!$B$8:$H$1435,7,FALSE)</f>
        <v>2</v>
      </c>
      <c r="I53" s="411">
        <f>VLOOKUP(B53,MASTER!$B$8:$V$1435,8,FALSE)</f>
        <v>2</v>
      </c>
      <c r="J53" s="411" t="str">
        <f>VLOOKUP(B53,MASTER!$B$8:$V$1435,9,FALSE)</f>
        <v>L</v>
      </c>
      <c r="K53" s="423" t="str">
        <f>VLOOKUP(B53,MASTER!$B$8:$V$1435,10,FALSE)</f>
        <v>SRAGEN</v>
      </c>
      <c r="L53" s="413">
        <f>VLOOKUP(B53,MASTER!$B$8:$V$1435,11,FALSE)</f>
        <v>26068</v>
      </c>
      <c r="M53" s="422" t="str">
        <f t="shared" ca="1" si="29"/>
        <v>46.11</v>
      </c>
      <c r="N53" s="413">
        <f>VLOOKUP(B53,MASTER!$B$8:$V$1435,14,FALSE)</f>
        <v>34533</v>
      </c>
      <c r="O53" s="422" t="str">
        <f t="shared" ca="1" si="30"/>
        <v>23.9</v>
      </c>
      <c r="P53" s="413">
        <f>VLOOKUP(B53,MASTER!$B$8:$V$1435,16,FALSE)</f>
        <v>46522</v>
      </c>
      <c r="Q53" s="414" t="str">
        <f>VLOOKUP(B53,MASTER!$B$8:$V$1435,17,FALSE)</f>
        <v>I</v>
      </c>
      <c r="R53" s="411" t="str">
        <f>VLOOKUP(B53,MASTER!$B$8:$V$1435,18,FALSE)</f>
        <v>SMA</v>
      </c>
      <c r="S53" s="411" t="str">
        <f>VLOOKUP(B53,MASTER!$B$8:$V$1435,19,FALSE)</f>
        <v>S1</v>
      </c>
      <c r="T53" s="418" t="str">
        <f>VLOOKUP(B53,MASTER!$B$8:$V$1435,20,FALSE)</f>
        <v>O</v>
      </c>
      <c r="U53" s="415" t="str">
        <f>VLOOKUP($B53,ALAMAT!$A$1:E279,4)</f>
        <v>Jl.Toras III Perum P4A Blok B1/21 RT.006 RW.011 Pudakpayung, Banyumanik</v>
      </c>
      <c r="X53" s="407">
        <f t="shared" ca="1" si="2"/>
        <v>46</v>
      </c>
      <c r="Y53" s="407">
        <f t="shared" ca="1" si="3"/>
        <v>23</v>
      </c>
    </row>
    <row r="54" spans="1:25" s="407" customFormat="1" ht="12.95" customHeight="1">
      <c r="A54" s="674" t="s">
        <v>573</v>
      </c>
      <c r="B54" s="817">
        <v>8674</v>
      </c>
      <c r="C54" s="412" t="str">
        <f>VLOOKUP(B54,MASTER!$B$8:$C$137,2,FALSE)</f>
        <v>BUDI SANTOSO</v>
      </c>
      <c r="D54" s="409">
        <v>5</v>
      </c>
      <c r="E54" s="410" t="s">
        <v>638</v>
      </c>
      <c r="F54" s="411" t="s">
        <v>18</v>
      </c>
      <c r="G54" s="411" t="str">
        <f>VLOOKUP(B54,MASTER!$B$8:$H$1435,6,FALSE)</f>
        <v>K</v>
      </c>
      <c r="H54" s="411">
        <f>VLOOKUP(B54,MASTER!$B$8:$H$1435,7,FALSE)</f>
        <v>2</v>
      </c>
      <c r="I54" s="411">
        <f>VLOOKUP(B54,MASTER!$B$8:$V$1435,8,FALSE)</f>
        <v>2</v>
      </c>
      <c r="J54" s="411" t="str">
        <f>VLOOKUP(B54,MASTER!$B$8:$V$1435,9,FALSE)</f>
        <v>L</v>
      </c>
      <c r="K54" s="423" t="str">
        <f>VLOOKUP(B54,MASTER!$B$8:$V$1435,10,FALSE)</f>
        <v>NGANJUK</v>
      </c>
      <c r="L54" s="413">
        <f>VLOOKUP(B54,MASTER!$B$8:$V$1435,11,FALSE)</f>
        <v>26858</v>
      </c>
      <c r="M54" s="422" t="str">
        <f t="shared" ca="1" si="29"/>
        <v>44.9</v>
      </c>
      <c r="N54" s="413">
        <f>VLOOKUP(B54,MASTER!$B$8:$V$1435,14,FALSE)</f>
        <v>35228</v>
      </c>
      <c r="O54" s="422" t="str">
        <f t="shared" ca="1" si="30"/>
        <v>21.10</v>
      </c>
      <c r="P54" s="413">
        <f>VLOOKUP(B54,MASTER!$B$8:$V$1435,16,FALSE)</f>
        <v>47312</v>
      </c>
      <c r="Q54" s="414" t="str">
        <f>VLOOKUP(B54,MASTER!$B$8:$V$1435,17,FALSE)</f>
        <v>I</v>
      </c>
      <c r="R54" s="411" t="str">
        <f>VLOOKUP(B54,MASTER!$B$8:$V$1435,18,FALSE)</f>
        <v>SMEA</v>
      </c>
      <c r="S54" s="411" t="str">
        <f>VLOOKUP(B54,MASTER!$B$8:$V$1435,19,FALSE)</f>
        <v>S1</v>
      </c>
      <c r="T54" s="418" t="str">
        <f>VLOOKUP(B54,MASTER!$B$8:$V$1435,20,FALSE)</f>
        <v>B</v>
      </c>
      <c r="U54" s="415" t="str">
        <f>VLOOKUP($B54,ALAMAT!$A$1:E280,4)</f>
        <v>Mantren RT.009 RW.003 Mantren Karangrejo Kab.Magetan</v>
      </c>
      <c r="X54" s="407">
        <f t="shared" ca="1" si="2"/>
        <v>44</v>
      </c>
      <c r="Y54" s="407">
        <f t="shared" ca="1" si="3"/>
        <v>21</v>
      </c>
    </row>
    <row r="55" spans="1:25" s="407" customFormat="1" ht="12.95" customHeight="1">
      <c r="A55" s="416" t="str">
        <f>A54</f>
        <v>4</v>
      </c>
      <c r="B55" s="821"/>
      <c r="C55" s="410"/>
      <c r="D55" s="411"/>
      <c r="E55" s="410"/>
      <c r="F55" s="410"/>
      <c r="G55" s="411"/>
      <c r="H55" s="425">
        <f>SUM(H51:H54)</f>
        <v>7</v>
      </c>
      <c r="I55" s="425">
        <f>SUM(I51:I54)</f>
        <v>7</v>
      </c>
      <c r="J55" s="411"/>
      <c r="K55" s="411"/>
      <c r="L55" s="427"/>
      <c r="M55" s="417"/>
      <c r="N55" s="427"/>
      <c r="O55" s="427"/>
      <c r="P55" s="427"/>
      <c r="Q55" s="411"/>
      <c r="R55" s="411"/>
      <c r="S55" s="411"/>
      <c r="T55" s="418"/>
      <c r="U55" s="415"/>
      <c r="X55" s="407">
        <f t="shared" ca="1" si="2"/>
        <v>118</v>
      </c>
      <c r="Y55" s="407">
        <f t="shared" ca="1" si="3"/>
        <v>118</v>
      </c>
    </row>
    <row r="56" spans="1:25" s="407" customFormat="1" ht="12.95" customHeight="1">
      <c r="A56" s="408"/>
      <c r="B56" s="825" t="s">
        <v>659</v>
      </c>
      <c r="C56" s="426"/>
      <c r="D56" s="426"/>
      <c r="E56" s="426"/>
      <c r="F56" s="426"/>
      <c r="G56" s="411"/>
      <c r="H56" s="411"/>
      <c r="I56" s="411"/>
      <c r="J56" s="411"/>
      <c r="K56" s="297"/>
      <c r="L56" s="438"/>
      <c r="M56" s="607"/>
      <c r="N56" s="298"/>
      <c r="O56" s="298"/>
      <c r="P56" s="298"/>
      <c r="Q56" s="296"/>
      <c r="R56" s="411"/>
      <c r="S56" s="411"/>
      <c r="T56" s="418"/>
      <c r="U56" s="415"/>
      <c r="X56" s="407">
        <f t="shared" ca="1" si="2"/>
        <v>118</v>
      </c>
      <c r="Y56" s="407">
        <f t="shared" ca="1" si="3"/>
        <v>118</v>
      </c>
    </row>
    <row r="57" spans="1:25" s="8" customFormat="1" ht="12.95" customHeight="1">
      <c r="A57" s="421"/>
      <c r="B57" s="817"/>
      <c r="C57" s="412"/>
      <c r="D57" s="409"/>
      <c r="E57" s="410" t="s">
        <v>650</v>
      </c>
      <c r="F57" s="411" t="s">
        <v>18</v>
      </c>
      <c r="G57" s="411" t="str">
        <f>IFERROR(VLOOKUP(B57,MASTER!$B$8:$H$1435,6,FALSE),"")</f>
        <v/>
      </c>
      <c r="H57" s="411" t="str">
        <f>IFERROR(VLOOKUP(B57,MASTER!$B$8:$H$1435,7,FALSE),"")</f>
        <v/>
      </c>
      <c r="I57" s="411" t="str">
        <f>IFERROR(VLOOKUP(B57,MASTER!$B$8:$V$1435,8,FALSE),"")</f>
        <v/>
      </c>
      <c r="J57" s="411" t="str">
        <f>IFERROR(VLOOKUP(B57,MASTER!$B$8:$V$1435,9,FALSE),"")</f>
        <v/>
      </c>
      <c r="K57" s="423" t="str">
        <f>IFERROR(VLOOKUP(B57,MASTER!$B$8:$V$1435,10,FALSE),"")</f>
        <v/>
      </c>
      <c r="L57" s="413" t="e">
        <f>VLOOKUP(B57,MASTER!$B$8:$V$1435,11,FALSE)</f>
        <v>#N/A</v>
      </c>
      <c r="M57" s="422" t="e">
        <f t="shared" ref="M57:M58" ca="1" si="31">DATEDIF(L57,TODAY(),"Y") &amp; "." &amp;DATEDIF(L57,TODAY(),"YM")</f>
        <v>#N/A</v>
      </c>
      <c r="N57" s="413" t="e">
        <f>VLOOKUP(B57,MASTER!$B$8:$V$1435,14,FALSE)</f>
        <v>#N/A</v>
      </c>
      <c r="O57" s="422" t="e">
        <f t="shared" ref="O57:O58" ca="1" si="32">DATEDIF(N57,TODAY(),"Y") &amp; "." &amp;DATEDIF(N57,TODAY(),"YM")</f>
        <v>#N/A</v>
      </c>
      <c r="P57" s="413" t="e">
        <f>VLOOKUP(B57,MASTER!$B$8:$V$1435,16,FALSE)</f>
        <v>#N/A</v>
      </c>
      <c r="Q57" s="414" t="e">
        <f>VLOOKUP(B57,MASTER!$B$8:$V$1435,17,FALSE)</f>
        <v>#N/A</v>
      </c>
      <c r="R57" s="411" t="e">
        <f>VLOOKUP(B57,MASTER!$B$8:$V$1435,18,FALSE)</f>
        <v>#N/A</v>
      </c>
      <c r="S57" s="411" t="e">
        <f>VLOOKUP(B57,MASTER!$B$8:$V$1435,19,FALSE)</f>
        <v>#N/A</v>
      </c>
      <c r="T57" s="418" t="e">
        <f>VLOOKUP(B57,MASTER!$B$8:$V$1435,20,FALSE)</f>
        <v>#N/A</v>
      </c>
      <c r="U57" s="415" t="e">
        <f>VLOOKUP($B57,ALAMAT!$A$1:E283,4)</f>
        <v>#N/A</v>
      </c>
      <c r="X57" s="407" t="e">
        <f t="shared" ca="1" si="2"/>
        <v>#N/A</v>
      </c>
      <c r="Y57" s="407" t="e">
        <f t="shared" ca="1" si="3"/>
        <v>#N/A</v>
      </c>
    </row>
    <row r="58" spans="1:25" s="8" customFormat="1" ht="12.95" customHeight="1">
      <c r="A58" s="421">
        <v>1</v>
      </c>
      <c r="B58" s="818">
        <v>10428</v>
      </c>
      <c r="C58" s="412" t="str">
        <f>VLOOKUP(B58,MASTER!$B$8:$C$137,2,FALSE)</f>
        <v>RIFKA ARYANSYACH PARAMITA</v>
      </c>
      <c r="D58" s="409" t="s">
        <v>2335</v>
      </c>
      <c r="E58" s="410" t="s">
        <v>661</v>
      </c>
      <c r="F58" s="436" t="s">
        <v>18</v>
      </c>
      <c r="G58" s="411" t="str">
        <f>VLOOKUP(B58,MASTER!$B$8:$H$1435,6,FALSE)</f>
        <v>K</v>
      </c>
      <c r="H58" s="411">
        <f>VLOOKUP(B58,MASTER!$B$8:$H$1435,7,FALSE)</f>
        <v>1</v>
      </c>
      <c r="I58" s="411">
        <f>VLOOKUP(B58,MASTER!$B$8:$V$1435,8,FALSE)</f>
        <v>1</v>
      </c>
      <c r="J58" s="411" t="str">
        <f>VLOOKUP(B58,MASTER!$B$8:$V$1435,9,FALSE)</f>
        <v>P</v>
      </c>
      <c r="K58" s="423" t="str">
        <f>VLOOKUP(B58,MASTER!$B$8:$V$1435,10,FALSE)</f>
        <v>JAKARTA</v>
      </c>
      <c r="L58" s="413">
        <f>VLOOKUP(B58,MASTER!$B$8:$V$1435,11,FALSE)</f>
        <v>32353</v>
      </c>
      <c r="M58" s="422" t="str">
        <f t="shared" ca="1" si="31"/>
        <v>29.9</v>
      </c>
      <c r="N58" s="413">
        <f>VLOOKUP(B58,MASTER!$B$8:$V$1435,14,FALSE)</f>
        <v>41092</v>
      </c>
      <c r="O58" s="422" t="str">
        <f t="shared" ca="1" si="32"/>
        <v>5.9</v>
      </c>
      <c r="P58" s="413">
        <f>VLOOKUP(B58,MASTER!$B$8:$V$1435,16,FALSE)</f>
        <v>52807</v>
      </c>
      <c r="Q58" s="414" t="str">
        <f>VLOOKUP(B58,MASTER!$B$8:$V$1435,17,FALSE)</f>
        <v>I</v>
      </c>
      <c r="R58" s="411" t="str">
        <f>VLOOKUP(B58,MASTER!$B$8:$V$1435,18,FALSE)</f>
        <v>S1</v>
      </c>
      <c r="S58" s="411" t="str">
        <f>VLOOKUP(B58,MASTER!$B$8:$V$1435,19,FALSE)</f>
        <v>S1</v>
      </c>
      <c r="T58" s="418">
        <f>VLOOKUP(B58,MASTER!$B$8:$V$1435,20,FALSE)</f>
        <v>0</v>
      </c>
      <c r="U58" s="415" t="str">
        <f>VLOOKUP($B58,ALAMAT!$A$1:E284,4)</f>
        <v>JL. Gaharu Utara III/52 Banyumanik Semarang</v>
      </c>
      <c r="V58" s="407"/>
      <c r="W58" s="407"/>
      <c r="X58" s="407">
        <f t="shared" ref="X58" ca="1" si="33">DATEDIF(L58,TODAY(),"y")</f>
        <v>29</v>
      </c>
      <c r="Y58" s="407">
        <f t="shared" ref="Y58" ca="1" si="34">DATEDIF(N58,TODAY(),"y")</f>
        <v>5</v>
      </c>
    </row>
    <row r="59" spans="1:25" s="407" customFormat="1" ht="12.95" customHeight="1">
      <c r="A59" s="421">
        <v>2</v>
      </c>
      <c r="B59" s="819">
        <v>7692</v>
      </c>
      <c r="C59" s="412" t="str">
        <f>VLOOKUP(B59,MASTER!$B$8:$C$137,2,FALSE)</f>
        <v>MOHAMAD HADI SUPENO</v>
      </c>
      <c r="D59" s="734" t="s">
        <v>2336</v>
      </c>
      <c r="E59" s="410" t="s">
        <v>707</v>
      </c>
      <c r="F59" s="736" t="s">
        <v>18</v>
      </c>
      <c r="G59" s="411" t="str">
        <f>VLOOKUP(B59,MASTER!$B$8:$H$1435,6,FALSE)</f>
        <v>K</v>
      </c>
      <c r="H59" s="411">
        <f>VLOOKUP(B59,MASTER!$B$8:$H$1435,7,FALSE)</f>
        <v>2</v>
      </c>
      <c r="I59" s="411">
        <f>VLOOKUP(B59,MASTER!$B$8:$V$1435,8,FALSE)</f>
        <v>2</v>
      </c>
      <c r="J59" s="411" t="str">
        <f>VLOOKUP(B59,MASTER!$B$8:$V$1435,9,FALSE)</f>
        <v>L</v>
      </c>
      <c r="K59" s="423" t="str">
        <f>VLOOKUP(B59,MASTER!$B$8:$V$1435,10,FALSE)</f>
        <v>MAGETAN</v>
      </c>
      <c r="L59" s="413">
        <f>VLOOKUP(B59,MASTER!$B$8:$V$1435,11,FALSE)</f>
        <v>27393</v>
      </c>
      <c r="M59" s="422" t="str">
        <f t="shared" ref="M59:M60" ca="1" si="35">DATEDIF(L59,TODAY(),"Y") &amp; "." &amp;DATEDIF(L59,TODAY(),"YM")</f>
        <v>43.4</v>
      </c>
      <c r="N59" s="413">
        <f>VLOOKUP(B59,MASTER!$B$8:$V$1435,14,FALSE)</f>
        <v>34648</v>
      </c>
      <c r="O59" s="422" t="str">
        <f t="shared" ref="O59:O60" ca="1" si="36">DATEDIF(N59,TODAY(),"Y") &amp; "." &amp;DATEDIF(N59,TODAY(),"YM")</f>
        <v>23.5</v>
      </c>
      <c r="P59" s="413">
        <f>VLOOKUP(B59,MASTER!$B$8:$V$1435,16,FALSE)</f>
        <v>47847</v>
      </c>
      <c r="Q59" s="414" t="str">
        <f>VLOOKUP(B59,MASTER!$B$8:$V$1435,17,FALSE)</f>
        <v>I</v>
      </c>
      <c r="R59" s="411" t="str">
        <f>VLOOKUP(B59,MASTER!$B$8:$V$1435,18,FALSE)</f>
        <v>STM</v>
      </c>
      <c r="S59" s="411" t="str">
        <f>VLOOKUP(B59,MASTER!$B$8:$V$1435,19,FALSE)</f>
        <v>S1</v>
      </c>
      <c r="T59" s="418" t="str">
        <f>VLOOKUP(B59,MASTER!$B$8:$V$1435,20,FALSE)</f>
        <v>O</v>
      </c>
      <c r="U59" s="415" t="str">
        <f>VLOOKUP($B59,ALAMAT!$A$1:E285,4)</f>
        <v>Jl.Panasan V/3 RT.003 RW.003 Beji Ungaran Timur</v>
      </c>
      <c r="X59" s="407">
        <f t="shared" ref="X59:X60" ca="1" si="37">DATEDIF(L59,TODAY(),"y")</f>
        <v>43</v>
      </c>
      <c r="Y59" s="407">
        <f t="shared" ref="Y59:Y60" ca="1" si="38">DATEDIF(N59,TODAY(),"y")</f>
        <v>23</v>
      </c>
    </row>
    <row r="60" spans="1:25" s="407" customFormat="1" ht="12.95" customHeight="1">
      <c r="A60" s="674">
        <v>3</v>
      </c>
      <c r="B60" s="820">
        <v>9538</v>
      </c>
      <c r="C60" s="412" t="str">
        <f>VLOOKUP(B60,MASTER!$B$8:$C$137,2,FALSE)</f>
        <v>NYOMAN WINAYA</v>
      </c>
      <c r="D60" s="409">
        <v>5</v>
      </c>
      <c r="E60" s="410" t="s">
        <v>638</v>
      </c>
      <c r="F60" s="736" t="s">
        <v>18</v>
      </c>
      <c r="G60" s="411" t="str">
        <f>VLOOKUP(B60,MASTER!$B$8:$H$1435,6,FALSE)</f>
        <v>K</v>
      </c>
      <c r="H60" s="411">
        <f>VLOOKUP(B60,MASTER!$B$8:$H$1435,7,FALSE)</f>
        <v>2</v>
      </c>
      <c r="I60" s="411">
        <f>VLOOKUP(B60,MASTER!$B$8:$V$1435,8,FALSE)</f>
        <v>2</v>
      </c>
      <c r="J60" s="411" t="str">
        <f>VLOOKUP(B60,MASTER!$B$8:$V$1435,9,FALSE)</f>
        <v>L</v>
      </c>
      <c r="K60" s="423" t="str">
        <f>VLOOKUP(B60,MASTER!$B$8:$V$1435,10,FALSE)</f>
        <v>SEMARANG</v>
      </c>
      <c r="L60" s="413">
        <f>VLOOKUP(B60,MASTER!$B$8:$V$1435,11,FALSE)</f>
        <v>27799</v>
      </c>
      <c r="M60" s="422" t="str">
        <f t="shared" ca="1" si="35"/>
        <v>42.2</v>
      </c>
      <c r="N60" s="413">
        <f>VLOOKUP(B60,MASTER!$B$8:$V$1435,14,FALSE)</f>
        <v>35807</v>
      </c>
      <c r="O60" s="422" t="str">
        <f t="shared" ca="1" si="36"/>
        <v>20.3</v>
      </c>
      <c r="P60" s="413">
        <f>VLOOKUP(B60,MASTER!$B$8:$V$1435,16,FALSE)</f>
        <v>48253</v>
      </c>
      <c r="Q60" s="414" t="str">
        <f>VLOOKUP(B60,MASTER!$B$8:$V$1435,17,FALSE)</f>
        <v>H</v>
      </c>
      <c r="R60" s="411" t="str">
        <f>VLOOKUP(B60,MASTER!$B$8:$V$1435,18,FALSE)</f>
        <v>SMA</v>
      </c>
      <c r="S60" s="411" t="str">
        <f>VLOOKUP(B60,MASTER!$B$8:$V$1435,19,FALSE)</f>
        <v>S1</v>
      </c>
      <c r="T60" s="418" t="str">
        <f>VLOOKUP(B60,MASTER!$B$8:$V$1435,20,FALSE)</f>
        <v xml:space="preserve">O </v>
      </c>
      <c r="U60" s="415" t="str">
        <f>VLOOKUP($B60,ALAMAT!$A$1:E286,4)</f>
        <v>Perum Griya Payung Asri Kav.37 RT.001 RW.016 Pudak Payung Banyumanik Semarang</v>
      </c>
      <c r="X60" s="407">
        <f t="shared" ca="1" si="37"/>
        <v>42</v>
      </c>
      <c r="Y60" s="407">
        <f t="shared" ca="1" si="38"/>
        <v>20</v>
      </c>
    </row>
    <row r="61" spans="1:25" s="407" customFormat="1" ht="12.95" customHeight="1">
      <c r="A61" s="416">
        <f>A60</f>
        <v>3</v>
      </c>
      <c r="B61" s="821"/>
      <c r="C61" s="410"/>
      <c r="D61" s="411"/>
      <c r="E61" s="735"/>
      <c r="F61" s="411"/>
      <c r="G61" s="411"/>
      <c r="H61" s="411">
        <f>SUM(H58:H60)</f>
        <v>5</v>
      </c>
      <c r="I61" s="411">
        <f>SUM(I58:I60)</f>
        <v>5</v>
      </c>
      <c r="J61" s="411"/>
      <c r="K61" s="423"/>
      <c r="L61" s="413"/>
      <c r="M61" s="417"/>
      <c r="N61" s="413"/>
      <c r="O61" s="413"/>
      <c r="P61" s="413"/>
      <c r="Q61" s="414"/>
      <c r="R61" s="411"/>
      <c r="S61" s="411"/>
      <c r="T61" s="418"/>
      <c r="U61" s="415"/>
      <c r="X61" s="407">
        <f t="shared" ca="1" si="2"/>
        <v>118</v>
      </c>
      <c r="Y61" s="407">
        <f t="shared" ca="1" si="3"/>
        <v>118</v>
      </c>
    </row>
    <row r="62" spans="1:25" s="407" customFormat="1" ht="12.95" customHeight="1">
      <c r="A62" s="408"/>
      <c r="B62" s="825" t="s">
        <v>660</v>
      </c>
      <c r="C62" s="419"/>
      <c r="D62" s="419"/>
      <c r="E62" s="419"/>
      <c r="F62" s="411"/>
      <c r="G62" s="411"/>
      <c r="H62" s="411"/>
      <c r="I62" s="411"/>
      <c r="J62" s="411"/>
      <c r="K62" s="423"/>
      <c r="L62" s="413"/>
      <c r="M62" s="417"/>
      <c r="N62" s="413"/>
      <c r="O62" s="413"/>
      <c r="P62" s="413"/>
      <c r="Q62" s="414"/>
      <c r="R62" s="411"/>
      <c r="S62" s="411"/>
      <c r="T62" s="418"/>
      <c r="U62" s="415"/>
      <c r="X62" s="407">
        <f t="shared" ca="1" si="2"/>
        <v>118</v>
      </c>
      <c r="Y62" s="407">
        <f t="shared" ca="1" si="3"/>
        <v>118</v>
      </c>
    </row>
    <row r="63" spans="1:25" s="743" customFormat="1" ht="12.95" customHeight="1">
      <c r="A63" s="733">
        <v>1</v>
      </c>
      <c r="B63" s="822">
        <v>9024</v>
      </c>
      <c r="C63" s="412" t="str">
        <f>VLOOKUP(B63,MASTER!$B$8:$C$137,2,FALSE)</f>
        <v>BUDI IDRIAL</v>
      </c>
      <c r="D63" s="734" t="s">
        <v>2337</v>
      </c>
      <c r="E63" s="735" t="s">
        <v>2491</v>
      </c>
      <c r="F63" s="736" t="s">
        <v>18</v>
      </c>
      <c r="G63" s="411" t="str">
        <f>VLOOKUP(B63,MASTER!$B$8:$H$1435,6,FALSE)</f>
        <v>K</v>
      </c>
      <c r="H63" s="411">
        <f>VLOOKUP(B63,MASTER!$B$8:$H$1435,7,FALSE)</f>
        <v>2</v>
      </c>
      <c r="I63" s="411">
        <f>VLOOKUP(B63,MASTER!$B$8:$V$1435,8,FALSE)</f>
        <v>2</v>
      </c>
      <c r="J63" s="411" t="str">
        <f>VLOOKUP(B63,MASTER!$B$8:$V$1435,9,FALSE)</f>
        <v>L</v>
      </c>
      <c r="K63" s="423" t="str">
        <f>VLOOKUP(B63,MASTER!$B$8:$V$1435,10,FALSE)</f>
        <v>BUKIT TINGGI</v>
      </c>
      <c r="L63" s="413">
        <f>VLOOKUP(B63,MASTER!$B$8:$V$1435,11,FALSE)</f>
        <v>27595</v>
      </c>
      <c r="M63" s="422" t="str">
        <f t="shared" ref="M63:M66" ca="1" si="39">DATEDIF(L63,TODAY(),"Y") &amp; "." &amp;DATEDIF(L63,TODAY(),"YM")</f>
        <v>42.9</v>
      </c>
      <c r="N63" s="413">
        <f>VLOOKUP(B63,MASTER!$B$8:$V$1435,14,FALSE)</f>
        <v>35325</v>
      </c>
      <c r="O63" s="422" t="str">
        <f t="shared" ref="O63:O66" ca="1" si="40">DATEDIF(N63,TODAY(),"Y") &amp; "." &amp;DATEDIF(N63,TODAY(),"YM")</f>
        <v>21.7</v>
      </c>
      <c r="P63" s="413">
        <f>VLOOKUP(B63,MASTER!$B$8:$V$1435,16,FALSE)</f>
        <v>48049</v>
      </c>
      <c r="Q63" s="414" t="str">
        <f>VLOOKUP(B63,MASTER!$B$8:$V$1435,17,FALSE)</f>
        <v>I</v>
      </c>
      <c r="R63" s="411" t="str">
        <f>VLOOKUP(B63,MASTER!$B$8:$V$1435,18,FALSE)</f>
        <v>S1</v>
      </c>
      <c r="S63" s="411" t="str">
        <f>VLOOKUP(B63,MASTER!$B$8:$V$1435,19,FALSE)</f>
        <v>S1</v>
      </c>
      <c r="T63" s="418" t="str">
        <f>VLOOKUP(B63,MASTER!$B$8:$V$1435,20,FALSE)</f>
        <v>O</v>
      </c>
      <c r="U63" s="415" t="str">
        <f>VLOOKUP($B63,ALAMAT!$A$1:E289,4)</f>
        <v>KP. Baru RT 006 / 005 Sukabumi  Selatan Kebon Jeruk Jakarta Barat</v>
      </c>
      <c r="V63" s="407"/>
      <c r="W63" s="407"/>
      <c r="X63" s="407">
        <f t="shared" ref="X63" ca="1" si="41">DATEDIF(L63,TODAY(),"y")</f>
        <v>42</v>
      </c>
      <c r="Y63" s="407">
        <f t="shared" ref="Y63" ca="1" si="42">DATEDIF(N63,TODAY(),"y")</f>
        <v>21</v>
      </c>
    </row>
    <row r="64" spans="1:25" s="743" customFormat="1" ht="12.95" customHeight="1">
      <c r="A64" s="780">
        <v>2</v>
      </c>
      <c r="B64" s="817">
        <v>8205</v>
      </c>
      <c r="C64" s="412" t="str">
        <f>VLOOKUP(B64,MASTER!$B$8:$C$137,2,FALSE)</f>
        <v>SURYO SUBONO</v>
      </c>
      <c r="D64" s="409" t="s">
        <v>2336</v>
      </c>
      <c r="E64" s="735" t="s">
        <v>662</v>
      </c>
      <c r="F64" s="736" t="s">
        <v>18</v>
      </c>
      <c r="G64" s="411" t="str">
        <f>VLOOKUP(B64,MASTER!$B$8:$H$1435,6,FALSE)</f>
        <v>K</v>
      </c>
      <c r="H64" s="411">
        <f>VLOOKUP(B64,MASTER!$B$8:$H$1435,7,FALSE)</f>
        <v>3</v>
      </c>
      <c r="I64" s="411">
        <f>VLOOKUP(B64,MASTER!$B$8:$V$1435,8,FALSE)</f>
        <v>3</v>
      </c>
      <c r="J64" s="411" t="str">
        <f>VLOOKUP(B64,MASTER!$B$8:$V$1435,9,FALSE)</f>
        <v>L</v>
      </c>
      <c r="K64" s="423" t="str">
        <f>VLOOKUP(B64,MASTER!$B$8:$V$1435,10,FALSE)</f>
        <v>SOLO</v>
      </c>
      <c r="L64" s="413">
        <f>VLOOKUP(B64,MASTER!$B$8:$V$1435,11,FALSE)</f>
        <v>26087</v>
      </c>
      <c r="M64" s="422" t="str">
        <f t="shared" ca="1" si="39"/>
        <v>46.10</v>
      </c>
      <c r="N64" s="413">
        <f>VLOOKUP(B64,MASTER!$B$8:$V$1435,14,FALSE)</f>
        <v>34957</v>
      </c>
      <c r="O64" s="422" t="str">
        <f t="shared" ca="1" si="40"/>
        <v>22.7</v>
      </c>
      <c r="P64" s="413">
        <f>VLOOKUP(B64,MASTER!$B$8:$V$1435,16,FALSE)</f>
        <v>46541</v>
      </c>
      <c r="Q64" s="414" t="str">
        <f>VLOOKUP(B64,MASTER!$B$8:$V$1435,17,FALSE)</f>
        <v>I</v>
      </c>
      <c r="R64" s="411" t="str">
        <f>VLOOKUP(B64,MASTER!$B$8:$V$1435,18,FALSE)</f>
        <v>SMA</v>
      </c>
      <c r="S64" s="411" t="str">
        <f>VLOOKUP(B64,MASTER!$B$8:$V$1435,19,FALSE)</f>
        <v>S1</v>
      </c>
      <c r="T64" s="418" t="str">
        <f>VLOOKUP(B64,MASTER!$B$8:$V$1435,20,FALSE)</f>
        <v xml:space="preserve">A </v>
      </c>
      <c r="U64" s="415" t="str">
        <f>VLOOKUP($B64,ALAMAT!$A$1:E290,4)</f>
        <v>Perum.Dinar Mas Utara I/68 RT.001 RW.019 Meteseh Tembalang Semarang</v>
      </c>
      <c r="V64" s="407"/>
      <c r="W64" s="407"/>
      <c r="X64" s="407">
        <f t="shared" ref="X64:X67" ca="1" si="43">DATEDIF(L64,TODAY(),"y")</f>
        <v>46</v>
      </c>
      <c r="Y64" s="407">
        <f t="shared" ref="Y64:Y67" ca="1" si="44">DATEDIF(N64,TODAY(),"y")</f>
        <v>22</v>
      </c>
    </row>
    <row r="65" spans="1:25" s="407" customFormat="1" ht="12.95" customHeight="1">
      <c r="A65" s="421">
        <v>3</v>
      </c>
      <c r="B65" s="821">
        <v>4658</v>
      </c>
      <c r="C65" s="412" t="str">
        <f>VLOOKUP(B65,MASTER!$B$8:$C$137,2,FALSE)</f>
        <v>BAMBANG SUTIYONO</v>
      </c>
      <c r="D65" s="409" t="s">
        <v>2336</v>
      </c>
      <c r="E65" s="410" t="s">
        <v>653</v>
      </c>
      <c r="F65" s="736" t="s">
        <v>18</v>
      </c>
      <c r="G65" s="411" t="str">
        <f>VLOOKUP(B65,MASTER!$B$8:$H$1435,6,FALSE)</f>
        <v>K</v>
      </c>
      <c r="H65" s="411">
        <f>VLOOKUP(B65,MASTER!$B$8:$H$1435,7,FALSE)</f>
        <v>2</v>
      </c>
      <c r="I65" s="411">
        <f>VLOOKUP(B65,MASTER!$B$8:$V$1435,8,FALSE)</f>
        <v>2</v>
      </c>
      <c r="J65" s="411" t="str">
        <f>VLOOKUP(B65,MASTER!$B$8:$V$1435,9,FALSE)</f>
        <v>L</v>
      </c>
      <c r="K65" s="423" t="str">
        <f>VLOOKUP(B65,MASTER!$B$8:$V$1435,10,FALSE)</f>
        <v>KEBUMEN</v>
      </c>
      <c r="L65" s="413">
        <f>VLOOKUP(B65,MASTER!$B$8:$V$1435,11,FALSE)</f>
        <v>23075</v>
      </c>
      <c r="M65" s="422" t="str">
        <f t="shared" ca="1" si="39"/>
        <v>55.1</v>
      </c>
      <c r="N65" s="413">
        <f>VLOOKUP(B65,MASTER!$B$8:$V$1435,14,FALSE)</f>
        <v>32025</v>
      </c>
      <c r="O65" s="422" t="str">
        <f t="shared" ca="1" si="40"/>
        <v>30.7</v>
      </c>
      <c r="P65" s="413">
        <f>VLOOKUP(B65,MASTER!$B$8:$V$1435,16,FALSE)</f>
        <v>43529</v>
      </c>
      <c r="Q65" s="414" t="str">
        <f>VLOOKUP(B65,MASTER!$B$8:$V$1435,17,FALSE)</f>
        <v>I</v>
      </c>
      <c r="R65" s="411" t="str">
        <f>VLOOKUP(B65,MASTER!$B$8:$V$1435,18,FALSE)</f>
        <v>STM</v>
      </c>
      <c r="S65" s="411" t="str">
        <f>VLOOKUP(B65,MASTER!$B$8:$V$1435,19,FALSE)</f>
        <v>S1</v>
      </c>
      <c r="T65" s="418" t="str">
        <f>VLOOKUP(B65,MASTER!$B$8:$V$1435,20,FALSE)</f>
        <v>B</v>
      </c>
      <c r="U65" s="415" t="str">
        <f>VLOOKUP($B65,ALAMAT!$A$1:E291,4)</f>
        <v>Jl.Panasan VI/15 RT.003 RW.013 Beji Ungaran Kab.Semarang</v>
      </c>
      <c r="X65" s="407">
        <f t="shared" ca="1" si="43"/>
        <v>55</v>
      </c>
      <c r="Y65" s="407">
        <f t="shared" ca="1" si="44"/>
        <v>30</v>
      </c>
    </row>
    <row r="66" spans="1:25" s="407" customFormat="1" ht="12.95" customHeight="1">
      <c r="A66" s="421">
        <v>4</v>
      </c>
      <c r="B66" s="823">
        <v>5159</v>
      </c>
      <c r="C66" s="412" t="str">
        <f>VLOOKUP(B66,MASTER!$B$8:$C$137,2,FALSE)</f>
        <v>NINIK SURYAWATI</v>
      </c>
      <c r="D66" s="409" t="s">
        <v>2336</v>
      </c>
      <c r="E66" s="410" t="s">
        <v>652</v>
      </c>
      <c r="F66" s="736" t="s">
        <v>18</v>
      </c>
      <c r="G66" s="411" t="str">
        <f>VLOOKUP(B66,MASTER!$B$8:$H$1435,6,FALSE)</f>
        <v>J</v>
      </c>
      <c r="H66" s="411">
        <f>VLOOKUP(B66,MASTER!$B$8:$H$1435,7,FALSE)</f>
        <v>2</v>
      </c>
      <c r="I66" s="411">
        <f>VLOOKUP(B66,MASTER!$B$8:$V$1435,8,FALSE)</f>
        <v>2</v>
      </c>
      <c r="J66" s="411" t="str">
        <f>VLOOKUP(B66,MASTER!$B$8:$V$1435,9,FALSE)</f>
        <v>P</v>
      </c>
      <c r="K66" s="423" t="str">
        <f>VLOOKUP(B66,MASTER!$B$8:$V$1435,10,FALSE)</f>
        <v>PURWOREJO</v>
      </c>
      <c r="L66" s="413">
        <f>VLOOKUP(B66,MASTER!$B$8:$V$1435,11,FALSE)</f>
        <v>24675</v>
      </c>
      <c r="M66" s="422" t="str">
        <f t="shared" ca="1" si="39"/>
        <v>50.9</v>
      </c>
      <c r="N66" s="413">
        <f>VLOOKUP(B66,MASTER!$B$8:$V$1435,14,FALSE)</f>
        <v>32387</v>
      </c>
      <c r="O66" s="422" t="str">
        <f t="shared" ca="1" si="40"/>
        <v>29.7</v>
      </c>
      <c r="P66" s="413">
        <f>VLOOKUP(B66,MASTER!$B$8:$V$1435,16,FALSE)</f>
        <v>45129</v>
      </c>
      <c r="Q66" s="414" t="str">
        <f>VLOOKUP(B66,MASTER!$B$8:$V$1435,17,FALSE)</f>
        <v>I</v>
      </c>
      <c r="R66" s="411" t="str">
        <f>VLOOKUP(B66,MASTER!$B$8:$V$1435,18,FALSE)</f>
        <v>SMEA</v>
      </c>
      <c r="S66" s="411" t="str">
        <f>VLOOKUP(B66,MASTER!$B$8:$V$1435,19,FALSE)</f>
        <v>SLTA</v>
      </c>
      <c r="T66" s="418" t="str">
        <f>VLOOKUP(B66,MASTER!$B$8:$V$1435,20,FALSE)</f>
        <v>B</v>
      </c>
      <c r="U66" s="415" t="str">
        <f>VLOOKUP($B66,ALAMAT!$A$1:E292,4)</f>
        <v>Jl Megaraya No 220 Rt03 Rw07 Bringin Ngalian Semarang</v>
      </c>
      <c r="X66" s="407">
        <f t="shared" ca="1" si="43"/>
        <v>50</v>
      </c>
      <c r="Y66" s="407">
        <f t="shared" ca="1" si="44"/>
        <v>29</v>
      </c>
    </row>
    <row r="67" spans="1:25" s="407" customFormat="1" ht="12.95" customHeight="1">
      <c r="A67" s="674">
        <v>5</v>
      </c>
      <c r="B67" s="823">
        <v>7489</v>
      </c>
      <c r="C67" s="412" t="str">
        <f>VLOOKUP(B67,MASTER!$B$8:$C$137,2,FALSE)</f>
        <v>ABDOEL MOEIS BOEDIJONO</v>
      </c>
      <c r="D67" s="409">
        <v>5</v>
      </c>
      <c r="E67" s="410" t="s">
        <v>638</v>
      </c>
      <c r="F67" s="736" t="s">
        <v>18</v>
      </c>
      <c r="G67" s="411" t="str">
        <f>VLOOKUP(B67,MASTER!$B$8:$H$1435,6,FALSE)</f>
        <v>K</v>
      </c>
      <c r="H67" s="411">
        <f>VLOOKUP(B67,MASTER!$B$8:$H$1435,7,FALSE)</f>
        <v>2</v>
      </c>
      <c r="I67" s="411">
        <f>VLOOKUP(B67,MASTER!$B$8:$V$1435,8,FALSE)</f>
        <v>2</v>
      </c>
      <c r="J67" s="411" t="str">
        <f>VLOOKUP(B67,MASTER!$B$8:$V$1435,9,FALSE)</f>
        <v>L</v>
      </c>
      <c r="K67" s="423" t="str">
        <f>VLOOKUP(B67,MASTER!$B$8:$V$1435,10,FALSE)</f>
        <v>TUBAN</v>
      </c>
      <c r="L67" s="413">
        <f>VLOOKUP(B67,MASTER!$B$8:$V$1435,11,FALSE)</f>
        <v>25203</v>
      </c>
      <c r="M67" s="422" t="str">
        <f t="shared" ref="M67" ca="1" si="45">DATEDIF(L67,TODAY(),"Y") &amp; "." &amp;DATEDIF(L67,TODAY(),"YM")</f>
        <v>49.3</v>
      </c>
      <c r="N67" s="413">
        <f>VLOOKUP(B67,MASTER!$B$8:$V$1435,14,FALSE)</f>
        <v>34608</v>
      </c>
      <c r="O67" s="422" t="str">
        <f t="shared" ref="O67" ca="1" si="46">DATEDIF(N67,TODAY(),"Y") &amp; "." &amp;DATEDIF(N67,TODAY(),"YM")</f>
        <v>23.6</v>
      </c>
      <c r="P67" s="413">
        <f>VLOOKUP(B67,MASTER!$B$8:$V$1435,16,FALSE)</f>
        <v>45657</v>
      </c>
      <c r="Q67" s="414" t="str">
        <f>VLOOKUP(B67,MASTER!$B$8:$V$1435,17,FALSE)</f>
        <v>I</v>
      </c>
      <c r="R67" s="411" t="str">
        <f>VLOOKUP(B67,MASTER!$B$8:$V$1435,18,FALSE)</f>
        <v>STM</v>
      </c>
      <c r="S67" s="411" t="str">
        <f>VLOOKUP(B67,MASTER!$B$8:$V$1435,19,FALSE)</f>
        <v>S1</v>
      </c>
      <c r="T67" s="418" t="str">
        <f>VLOOKUP(B67,MASTER!$B$8:$V$1435,20,FALSE)</f>
        <v>O</v>
      </c>
      <c r="U67" s="415" t="str">
        <f>VLOOKUP($B67,ALAMAT!$A$1:E293,4)</f>
        <v>Jl.Parikesit Raya RT.010 RW.002 Banyumanik Semarang</v>
      </c>
      <c r="X67" s="407">
        <f t="shared" ca="1" si="43"/>
        <v>49</v>
      </c>
      <c r="Y67" s="407">
        <f t="shared" ca="1" si="44"/>
        <v>23</v>
      </c>
    </row>
    <row r="68" spans="1:25" s="407" customFormat="1" ht="12.95" customHeight="1">
      <c r="A68" s="416">
        <f>A67</f>
        <v>5</v>
      </c>
      <c r="B68" s="826"/>
      <c r="C68" s="723"/>
      <c r="D68" s="724"/>
      <c r="E68" s="410"/>
      <c r="F68" s="723"/>
      <c r="G68" s="724"/>
      <c r="H68" s="725">
        <f>SUM(H63:H67)</f>
        <v>11</v>
      </c>
      <c r="I68" s="725">
        <f>SUM(I63:I67)</f>
        <v>11</v>
      </c>
      <c r="J68" s="724"/>
      <c r="K68" s="726"/>
      <c r="L68" s="727"/>
      <c r="M68" s="728"/>
      <c r="N68" s="727"/>
      <c r="O68" s="727"/>
      <c r="P68" s="727"/>
      <c r="Q68" s="729"/>
      <c r="R68" s="724"/>
      <c r="S68" s="724"/>
      <c r="T68" s="730"/>
      <c r="U68" s="731"/>
      <c r="X68" s="407">
        <f t="shared" ca="1" si="2"/>
        <v>118</v>
      </c>
      <c r="Y68" s="407">
        <f t="shared" ca="1" si="3"/>
        <v>118</v>
      </c>
    </row>
    <row r="69" spans="1:25" s="407" customFormat="1" ht="12.95" customHeight="1">
      <c r="A69" s="408"/>
      <c r="B69" s="825" t="s">
        <v>663</v>
      </c>
      <c r="C69" s="426"/>
      <c r="D69" s="426"/>
      <c r="E69" s="426"/>
      <c r="F69" s="426"/>
      <c r="G69" s="426"/>
      <c r="H69" s="426"/>
      <c r="I69" s="426"/>
      <c r="J69" s="411"/>
      <c r="K69" s="297"/>
      <c r="L69" s="298"/>
      <c r="M69" s="417"/>
      <c r="N69" s="298"/>
      <c r="O69" s="298"/>
      <c r="P69" s="298"/>
      <c r="Q69" s="296"/>
      <c r="R69" s="411"/>
      <c r="S69" s="411"/>
      <c r="T69" s="418"/>
      <c r="U69" s="415"/>
      <c r="X69" s="407">
        <f t="shared" ca="1" si="2"/>
        <v>118</v>
      </c>
      <c r="Y69" s="407">
        <f t="shared" ca="1" si="3"/>
        <v>118</v>
      </c>
    </row>
    <row r="70" spans="1:25" s="611" customFormat="1" ht="12.95" customHeight="1">
      <c r="A70" s="421" t="s">
        <v>568</v>
      </c>
      <c r="B70" s="817">
        <v>10453</v>
      </c>
      <c r="C70" s="412" t="str">
        <f>VLOOKUP(B70,MASTER!$B$8:$C$137,2,FALSE)</f>
        <v>ALVIN ANDITUAHTA SINGARIMBUN</v>
      </c>
      <c r="D70" s="409" t="s">
        <v>2335</v>
      </c>
      <c r="E70" s="410" t="s">
        <v>664</v>
      </c>
      <c r="F70" s="736" t="s">
        <v>18</v>
      </c>
      <c r="G70" s="411" t="str">
        <f>VLOOKUP(B70,MASTER!$B$8:$H$1435,6,FALSE)</f>
        <v>K</v>
      </c>
      <c r="H70" s="411">
        <f>VLOOKUP(B70,MASTER!$B$8:$H$1435,7,FALSE)</f>
        <v>0</v>
      </c>
      <c r="I70" s="411">
        <f>VLOOKUP(B70,MASTER!$B$8:$V$1435,8,FALSE)</f>
        <v>0</v>
      </c>
      <c r="J70" s="411" t="str">
        <f>VLOOKUP(B70,MASTER!$B$8:$V$1435,9,FALSE)</f>
        <v>L</v>
      </c>
      <c r="K70" s="423" t="str">
        <f>VLOOKUP(B70,MASTER!$B$8:$V$1435,10,FALSE)</f>
        <v>PANGKALAN BUN</v>
      </c>
      <c r="L70" s="413">
        <f>VLOOKUP(B70,MASTER!$B$8:$V$1435,11,FALSE)</f>
        <v>32383</v>
      </c>
      <c r="M70" s="422" t="str">
        <f t="shared" ref="M70" ca="1" si="47">DATEDIF(L70,TODAY(),"Y") &amp; "." &amp;DATEDIF(L70,TODAY(),"YM")</f>
        <v>29.8</v>
      </c>
      <c r="N70" s="413">
        <f>VLOOKUP(B70,MASTER!$B$8:$V$1435,14,FALSE)</f>
        <v>41092</v>
      </c>
      <c r="O70" s="422" t="str">
        <f t="shared" ref="O70" ca="1" si="48">DATEDIF(N70,TODAY(),"Y") &amp; "." &amp;DATEDIF(N70,TODAY(),"YM")</f>
        <v>5.9</v>
      </c>
      <c r="P70" s="413">
        <f>VLOOKUP(B70,MASTER!$B$8:$V$1435,16,FALSE)</f>
        <v>52837</v>
      </c>
      <c r="Q70" s="414" t="str">
        <f>VLOOKUP(B70,MASTER!$B$8:$V$1435,17,FALSE)</f>
        <v>P</v>
      </c>
      <c r="R70" s="411" t="str">
        <f>VLOOKUP(B70,MASTER!$B$8:$V$1435,18,FALSE)</f>
        <v>S1</v>
      </c>
      <c r="S70" s="411" t="str">
        <f>VLOOKUP(B70,MASTER!$B$8:$V$1435,19,FALSE)</f>
        <v>S1</v>
      </c>
      <c r="T70" s="418" t="str">
        <f>VLOOKUP(B70,MASTER!$B$8:$V$1435,20,FALSE)</f>
        <v>-</v>
      </c>
      <c r="U70" s="415" t="str">
        <f>VLOOKUP($B70,ALAMAT!$A$1:E297,4)</f>
        <v>Jl. HM. Rafi'i No.8, RT. 023 RW. 005 Madurejo, Kotawaringin Barat, KALIMANTAN TENGAH</v>
      </c>
      <c r="V70" s="407"/>
      <c r="W70" s="407"/>
      <c r="X70" s="407">
        <f t="shared" ref="X70" ca="1" si="49">DATEDIF(L70,TODAY(),"y")</f>
        <v>29</v>
      </c>
      <c r="Y70" s="407">
        <f t="shared" ref="Y70" ca="1" si="50">DATEDIF(N70,TODAY(),"y")</f>
        <v>5</v>
      </c>
    </row>
    <row r="71" spans="1:25" s="407" customFormat="1" ht="12.95" customHeight="1">
      <c r="A71" s="421">
        <v>2</v>
      </c>
      <c r="B71" s="821">
        <v>4413</v>
      </c>
      <c r="C71" s="412" t="str">
        <f>VLOOKUP(B71,MASTER!$B$8:$C$137,2,FALSE)</f>
        <v>ERMAWATI</v>
      </c>
      <c r="D71" s="409" t="s">
        <v>2336</v>
      </c>
      <c r="E71" s="410" t="s">
        <v>666</v>
      </c>
      <c r="F71" s="736" t="s">
        <v>18</v>
      </c>
      <c r="G71" s="411" t="str">
        <f>VLOOKUP(B71,MASTER!$B$8:$H$1435,6,FALSE)</f>
        <v>K</v>
      </c>
      <c r="H71" s="411">
        <f>VLOOKUP(B71,MASTER!$B$8:$H$1435,7,FALSE)</f>
        <v>2</v>
      </c>
      <c r="I71" s="411">
        <f>VLOOKUP(B71,MASTER!$B$8:$V$1435,8,FALSE)</f>
        <v>2</v>
      </c>
      <c r="J71" s="411" t="str">
        <f>VLOOKUP(B71,MASTER!$B$8:$V$1435,9,FALSE)</f>
        <v>P</v>
      </c>
      <c r="K71" s="423" t="str">
        <f>VLOOKUP(B71,MASTER!$B$8:$V$1435,10,FALSE)</f>
        <v>MAGELANG</v>
      </c>
      <c r="L71" s="413">
        <f>VLOOKUP(B71,MASTER!$B$8:$V$1435,11,FALSE)</f>
        <v>24442</v>
      </c>
      <c r="M71" s="422" t="str">
        <f t="shared" ref="M71" ca="1" si="51">DATEDIF(L71,TODAY(),"Y") &amp; "." &amp;DATEDIF(L71,TODAY(),"YM")</f>
        <v>51.4</v>
      </c>
      <c r="N71" s="413">
        <f>VLOOKUP(B71,MASTER!$B$8:$V$1435,14,FALSE)</f>
        <v>31876</v>
      </c>
      <c r="O71" s="422" t="str">
        <f t="shared" ref="O71" ca="1" si="52">DATEDIF(N71,TODAY(),"Y") &amp; "." &amp;DATEDIF(N71,TODAY(),"YM")</f>
        <v>31.0</v>
      </c>
      <c r="P71" s="413">
        <f>VLOOKUP(B71,MASTER!$B$8:$V$1435,16,FALSE)</f>
        <v>44896</v>
      </c>
      <c r="Q71" s="414" t="str">
        <f>VLOOKUP(B71,MASTER!$B$8:$V$1435,17,FALSE)</f>
        <v>I</v>
      </c>
      <c r="R71" s="411" t="str">
        <f>VLOOKUP(B71,MASTER!$B$8:$V$1435,18,FALSE)</f>
        <v>SMA</v>
      </c>
      <c r="S71" s="411" t="str">
        <f>VLOOKUP(B71,MASTER!$B$8:$V$1435,19,FALSE)</f>
        <v>S1</v>
      </c>
      <c r="T71" s="418" t="str">
        <f>VLOOKUP(B71,MASTER!$B$8:$V$1435,20,FALSE)</f>
        <v>AB</v>
      </c>
      <c r="U71" s="415" t="str">
        <f>VLOOKUP($B71,ALAMAT!$A$1:E298,4)</f>
        <v>Jl. Rasamala Barat I No. 168 RT.001 RW.004, Srondol Wetan, Banyumanik, Semarang</v>
      </c>
      <c r="X71" s="407">
        <f t="shared" ref="X71" ca="1" si="53">DATEDIF(L71,TODAY(),"y")</f>
        <v>51</v>
      </c>
      <c r="Y71" s="407">
        <f t="shared" ref="Y71" ca="1" si="54">DATEDIF(N71,TODAY(),"y")</f>
        <v>31</v>
      </c>
    </row>
    <row r="72" spans="1:25" s="407" customFormat="1" ht="12.95" customHeight="1">
      <c r="A72" s="421">
        <v>3</v>
      </c>
      <c r="B72" s="821">
        <v>4572</v>
      </c>
      <c r="C72" s="412" t="str">
        <f>VLOOKUP(B72,MASTER!$B$8:$C$137,2,FALSE)</f>
        <v>MARGONO</v>
      </c>
      <c r="D72" s="409" t="s">
        <v>2336</v>
      </c>
      <c r="E72" s="410" t="s">
        <v>704</v>
      </c>
      <c r="F72" s="736" t="s">
        <v>18</v>
      </c>
      <c r="G72" s="411" t="str">
        <f>VLOOKUP(B72,MASTER!$B$8:$H$1435,6,FALSE)</f>
        <v>D</v>
      </c>
      <c r="H72" s="411">
        <f>VLOOKUP(B72,MASTER!$B$8:$H$1435,7,FALSE)</f>
        <v>3</v>
      </c>
      <c r="I72" s="411">
        <f>VLOOKUP(B72,MASTER!$B$8:$V$1435,8,FALSE)</f>
        <v>1</v>
      </c>
      <c r="J72" s="411" t="str">
        <f>VLOOKUP(B72,MASTER!$B$8:$V$1435,9,FALSE)</f>
        <v>L</v>
      </c>
      <c r="K72" s="423" t="str">
        <f>VLOOKUP(B72,MASTER!$B$8:$V$1435,10,FALSE)</f>
        <v>KULON PROGO</v>
      </c>
      <c r="L72" s="413">
        <f>VLOOKUP(B72,MASTER!$B$8:$V$1435,11,FALSE)</f>
        <v>24451</v>
      </c>
      <c r="M72" s="422" t="str">
        <f ca="1">DATEDIF(L72,TODAY(),"Y") &amp; "." &amp;DATEDIF(L72,TODAY(),"YM")</f>
        <v>51.4</v>
      </c>
      <c r="N72" s="413">
        <f>VLOOKUP(B72,MASTER!$B$8:$V$1435,14,FALSE)</f>
        <v>31992</v>
      </c>
      <c r="O72" s="422" t="str">
        <f t="shared" ref="O72:O75" ca="1" si="55">DATEDIF(N72,TODAY(),"Y") &amp; "." &amp;DATEDIF(N72,TODAY(),"YM")</f>
        <v>30.8</v>
      </c>
      <c r="P72" s="413">
        <f>VLOOKUP(B72,MASTER!$B$8:$V$1435,16,FALSE)</f>
        <v>44905</v>
      </c>
      <c r="Q72" s="414" t="str">
        <f>VLOOKUP(B72,MASTER!$B$8:$V$1435,17,FALSE)</f>
        <v>I</v>
      </c>
      <c r="R72" s="411" t="str">
        <f>VLOOKUP(B72,MASTER!$B$8:$V$1435,18,FALSE)</f>
        <v>SMA</v>
      </c>
      <c r="S72" s="411" t="str">
        <f>VLOOKUP(B72,MASTER!$B$8:$V$1435,19,FALSE)</f>
        <v>S1</v>
      </c>
      <c r="T72" s="418" t="str">
        <f>VLOOKUP(B72,MASTER!$B$8:$V$1435,20,FALSE)</f>
        <v>B</v>
      </c>
      <c r="U72" s="415" t="str">
        <f>VLOOKUP($B72,ALAMAT!$A$1:E299,4)</f>
        <v>Pedukuhan VIII RT.032 RW.016  Gotakan, Panjatan, Kulon Progo</v>
      </c>
      <c r="X72" s="407">
        <f t="shared" ref="X72:X75" ca="1" si="56">DATEDIF(L72,TODAY(),"y")</f>
        <v>51</v>
      </c>
      <c r="Y72" s="407">
        <f t="shared" ref="Y72:Y75" ca="1" si="57">DATEDIF(N72,TODAY(),"y")</f>
        <v>30</v>
      </c>
    </row>
    <row r="73" spans="1:25" s="407" customFormat="1" ht="12.95" customHeight="1">
      <c r="A73" s="674">
        <v>4</v>
      </c>
      <c r="B73" s="821">
        <v>9530</v>
      </c>
      <c r="C73" s="412" t="str">
        <f>VLOOKUP(B73,MASTER!$B$8:$C$137,2,FALSE)</f>
        <v>BUDI HERMAWAN</v>
      </c>
      <c r="D73" s="409" t="s">
        <v>2336</v>
      </c>
      <c r="E73" s="410" t="s">
        <v>2783</v>
      </c>
      <c r="F73" s="411" t="s">
        <v>18</v>
      </c>
      <c r="G73" s="411" t="str">
        <f>VLOOKUP(B73,MASTER!$B$8:$H$1435,6,FALSE)</f>
        <v>K</v>
      </c>
      <c r="H73" s="411">
        <f>VLOOKUP(B73,MASTER!$B$8:$H$1435,7,FALSE)</f>
        <v>3</v>
      </c>
      <c r="I73" s="411">
        <f>VLOOKUP(B73,MASTER!$B$8:$V$1435,8,FALSE)</f>
        <v>3</v>
      </c>
      <c r="J73" s="411" t="str">
        <f>VLOOKUP(B73,MASTER!$B$8:$V$1435,9,FALSE)</f>
        <v>L</v>
      </c>
      <c r="K73" s="895" t="str">
        <f>VLOOKUP(B73,MASTER!$B$8:$V$1435,10,FALSE)</f>
        <v>TEGAL</v>
      </c>
      <c r="L73" s="413">
        <f>VLOOKUP(B73,MASTER!$B$8:$V$1435,11,FALSE)</f>
        <v>27432</v>
      </c>
      <c r="M73" s="422" t="str">
        <f ca="1">DATEDIF(L73,TODAY(),"Y") &amp; "." &amp;DATEDIF(L73,TODAY(),"YM")</f>
        <v>43.2</v>
      </c>
      <c r="N73" s="413">
        <f>VLOOKUP(B73,MASTER!$B$8:$V$1435,14,FALSE)</f>
        <v>35807</v>
      </c>
      <c r="O73" s="422" t="str">
        <f t="shared" ca="1" si="55"/>
        <v>20.3</v>
      </c>
      <c r="P73" s="413">
        <f>VLOOKUP(B73,MASTER!$B$8:$V$1435,16,FALSE)</f>
        <v>47886</v>
      </c>
      <c r="Q73" s="414" t="str">
        <f>VLOOKUP(B73,MASTER!$B$8:$V$1435,17,FALSE)</f>
        <v>I</v>
      </c>
      <c r="R73" s="411" t="str">
        <f>VLOOKUP(B73,MASTER!$B$8:$V$1435,18,FALSE)</f>
        <v>SMA</v>
      </c>
      <c r="S73" s="411" t="str">
        <f>VLOOKUP(B73,MASTER!$B$8:$V$1435,19,FALSE)</f>
        <v>S1</v>
      </c>
      <c r="T73" s="418" t="str">
        <f>VLOOKUP(B73,MASTER!$B$8:$V$1435,20,FALSE)</f>
        <v>B</v>
      </c>
      <c r="U73" s="415" t="str">
        <f>VLOOKUP($B73,ALAMAT!$A$1:E300,4)</f>
        <v>Jl.Rorojonggrang Timur X RT.008 RW.010 Manyaran Semarang Barat</v>
      </c>
      <c r="X73" s="407">
        <f t="shared" ca="1" si="56"/>
        <v>43</v>
      </c>
      <c r="Y73" s="407">
        <f t="shared" ca="1" si="57"/>
        <v>20</v>
      </c>
    </row>
    <row r="74" spans="1:25" s="407" customFormat="1" ht="12.95" customHeight="1">
      <c r="A74" s="421">
        <v>5</v>
      </c>
      <c r="B74" s="821">
        <v>7578</v>
      </c>
      <c r="C74" s="412" t="str">
        <f>VLOOKUP(B74,MASTER!$B$8:$C$137,2,FALSE)</f>
        <v>JUWADI</v>
      </c>
      <c r="D74" s="409">
        <v>5</v>
      </c>
      <c r="E74" s="410" t="s">
        <v>61</v>
      </c>
      <c r="F74" s="736" t="s">
        <v>18</v>
      </c>
      <c r="G74" s="411" t="str">
        <f>VLOOKUP(B74,MASTER!$B$8:$H$1435,6,FALSE)</f>
        <v>K</v>
      </c>
      <c r="H74" s="411">
        <f>VLOOKUP(B74,MASTER!$B$8:$H$1435,7,FALSE)</f>
        <v>2</v>
      </c>
      <c r="I74" s="411">
        <f>VLOOKUP(B74,MASTER!$B$8:$V$1435,8,FALSE)</f>
        <v>2</v>
      </c>
      <c r="J74" s="411" t="str">
        <f>VLOOKUP(B74,MASTER!$B$8:$V$1435,9,FALSE)</f>
        <v>L</v>
      </c>
      <c r="K74" s="423" t="str">
        <f>VLOOKUP(B74,MASTER!$B$8:$V$1435,10,FALSE)</f>
        <v>BATANG</v>
      </c>
      <c r="L74" s="413">
        <f>VLOOKUP(B74,MASTER!$B$8:$V$1435,11,FALSE)</f>
        <v>25758</v>
      </c>
      <c r="M74" s="422" t="str">
        <f t="shared" ref="M74:M75" ca="1" si="58">DATEDIF(L74,TODAY(),"Y") &amp; "." &amp;DATEDIF(L74,TODAY(),"YM")</f>
        <v>47.9</v>
      </c>
      <c r="N74" s="413">
        <f>VLOOKUP(B74,MASTER!$B$8:$V$1435,14,FALSE)</f>
        <v>34610</v>
      </c>
      <c r="O74" s="422" t="str">
        <f t="shared" ca="1" si="55"/>
        <v>23.6</v>
      </c>
      <c r="P74" s="413">
        <f>VLOOKUP(B74,MASTER!$B$8:$V$1435,16,FALSE)</f>
        <v>46212</v>
      </c>
      <c r="Q74" s="414" t="str">
        <f>VLOOKUP(B74,MASTER!$B$8:$V$1435,17,FALSE)</f>
        <v>I</v>
      </c>
      <c r="R74" s="411" t="str">
        <f>VLOOKUP(B74,MASTER!$B$8:$V$1435,18,FALSE)</f>
        <v>STM</v>
      </c>
      <c r="S74" s="411" t="str">
        <f>VLOOKUP(B74,MASTER!$B$8:$V$1435,19,FALSE)</f>
        <v>SLTA</v>
      </c>
      <c r="T74" s="418" t="str">
        <f>VLOOKUP(B74,MASTER!$B$8:$V$1435,20,FALSE)</f>
        <v>B</v>
      </c>
      <c r="U74" s="415" t="str">
        <f>VLOOKUP($B74,ALAMAT!$A$1:E301,4)</f>
        <v xml:space="preserve">DK.Kecubung DS Gondang RT.006 RW.002 Gondang-Subah </v>
      </c>
      <c r="X74" s="407">
        <f t="shared" ca="1" si="56"/>
        <v>47</v>
      </c>
      <c r="Y74" s="407">
        <f t="shared" ca="1" si="57"/>
        <v>23</v>
      </c>
    </row>
    <row r="75" spans="1:25" s="407" customFormat="1" ht="12.95" customHeight="1">
      <c r="A75" s="674">
        <v>6</v>
      </c>
      <c r="B75" s="821">
        <v>9514</v>
      </c>
      <c r="C75" s="412" t="str">
        <f>VLOOKUP(B75,MASTER!$B$8:$C$137,2,FALSE)</f>
        <v>TITIK AMBARWATI</v>
      </c>
      <c r="D75" s="409">
        <v>5</v>
      </c>
      <c r="E75" s="410" t="s">
        <v>2594</v>
      </c>
      <c r="F75" s="736" t="s">
        <v>18</v>
      </c>
      <c r="G75" s="411" t="str">
        <f>VLOOKUP(B75,MASTER!$B$8:$H$1435,6,FALSE)</f>
        <v>K</v>
      </c>
      <c r="H75" s="411">
        <f>VLOOKUP(B75,MASTER!$B$8:$H$1435,7,FALSE)</f>
        <v>3</v>
      </c>
      <c r="I75" s="411">
        <f>VLOOKUP(B75,MASTER!$B$8:$V$1435,8,FALSE)</f>
        <v>3</v>
      </c>
      <c r="J75" s="411" t="str">
        <f>VLOOKUP(B75,MASTER!$B$8:$V$1435,9,FALSE)</f>
        <v>P</v>
      </c>
      <c r="K75" s="423" t="str">
        <f>VLOOKUP(B75,MASTER!$B$8:$V$1435,10,FALSE)</f>
        <v>SEMARANG</v>
      </c>
      <c r="L75" s="413">
        <f>VLOOKUP(B75,MASTER!$B$8:$V$1435,11,FALSE)</f>
        <v>28026</v>
      </c>
      <c r="M75" s="422" t="str">
        <f t="shared" ca="1" si="58"/>
        <v>41.7</v>
      </c>
      <c r="N75" s="413">
        <f>VLOOKUP(B75,MASTER!$B$8:$V$1435,14,FALSE)</f>
        <v>35807</v>
      </c>
      <c r="O75" s="422" t="str">
        <f t="shared" ca="1" si="55"/>
        <v>20.3</v>
      </c>
      <c r="P75" s="413">
        <f>VLOOKUP(B75,MASTER!$B$8:$V$1435,16,FALSE)</f>
        <v>48480</v>
      </c>
      <c r="Q75" s="414" t="str">
        <f>VLOOKUP(B75,MASTER!$B$8:$V$1435,17,FALSE)</f>
        <v>I</v>
      </c>
      <c r="R75" s="411" t="str">
        <f>VLOOKUP(B75,MASTER!$B$8:$V$1435,18,FALSE)</f>
        <v>SMA</v>
      </c>
      <c r="S75" s="411" t="str">
        <f>VLOOKUP(B75,MASTER!$B$8:$V$1435,19,FALSE)</f>
        <v>S1</v>
      </c>
      <c r="T75" s="418" t="str">
        <f>VLOOKUP(B75,MASTER!$B$8:$V$1435,20,FALSE)</f>
        <v>-</v>
      </c>
      <c r="U75" s="415" t="str">
        <f>VLOOKUP($B75,ALAMAT!$A$1:E302,4)</f>
        <v>Jl Wonodri Krajan Rt 04./01 Wonodri semarang</v>
      </c>
      <c r="X75" s="407">
        <f t="shared" ca="1" si="56"/>
        <v>41</v>
      </c>
      <c r="Y75" s="407">
        <f t="shared" ca="1" si="57"/>
        <v>20</v>
      </c>
    </row>
    <row r="76" spans="1:25" s="407" customFormat="1" ht="12.95" customHeight="1">
      <c r="A76" s="416">
        <f>A75</f>
        <v>6</v>
      </c>
      <c r="B76" s="821"/>
      <c r="C76" s="412"/>
      <c r="D76" s="409"/>
      <c r="E76" s="410"/>
      <c r="F76" s="410"/>
      <c r="G76" s="411"/>
      <c r="H76" s="425">
        <f>SUM(H70:H75)</f>
        <v>13</v>
      </c>
      <c r="I76" s="425">
        <f>SUM(I70:I75)</f>
        <v>11</v>
      </c>
      <c r="J76" s="411"/>
      <c r="K76" s="411"/>
      <c r="L76" s="427"/>
      <c r="M76" s="417"/>
      <c r="N76" s="427"/>
      <c r="O76" s="427"/>
      <c r="P76" s="427"/>
      <c r="Q76" s="411"/>
      <c r="R76" s="411"/>
      <c r="S76" s="411"/>
      <c r="T76" s="418"/>
      <c r="U76" s="428"/>
      <c r="X76" s="407">
        <f t="shared" ref="X76:X133" ca="1" si="59">DATEDIF(L76,TODAY(),"y")</f>
        <v>118</v>
      </c>
      <c r="Y76" s="407">
        <f t="shared" ref="Y76:Y133" ca="1" si="60">DATEDIF(N76,TODAY(),"y")</f>
        <v>118</v>
      </c>
    </row>
    <row r="77" spans="1:25" s="407" customFormat="1" ht="12.95" customHeight="1">
      <c r="A77" s="408"/>
      <c r="B77" s="825" t="s">
        <v>667</v>
      </c>
      <c r="C77" s="426"/>
      <c r="D77" s="426"/>
      <c r="E77" s="426"/>
      <c r="F77" s="426"/>
      <c r="G77" s="411"/>
      <c r="H77" s="411"/>
      <c r="I77" s="411"/>
      <c r="J77" s="411"/>
      <c r="K77" s="411"/>
      <c r="L77" s="427"/>
      <c r="M77" s="417"/>
      <c r="N77" s="427"/>
      <c r="O77" s="427"/>
      <c r="P77" s="427"/>
      <c r="Q77" s="411"/>
      <c r="R77" s="411"/>
      <c r="S77" s="411"/>
      <c r="T77" s="418"/>
      <c r="U77" s="428"/>
      <c r="X77" s="407">
        <f t="shared" ca="1" si="59"/>
        <v>118</v>
      </c>
      <c r="Y77" s="407">
        <f t="shared" ca="1" si="60"/>
        <v>118</v>
      </c>
    </row>
    <row r="78" spans="1:25" s="407" customFormat="1" ht="12.95" customHeight="1">
      <c r="A78" s="430">
        <v>1</v>
      </c>
      <c r="B78" s="817">
        <v>7667</v>
      </c>
      <c r="C78" s="410" t="str">
        <f>VLOOKUP(B78,MASTER!$B$8:$C$137,2,FALSE)</f>
        <v>MANYUK IRWAN DANUS</v>
      </c>
      <c r="D78" s="409" t="s">
        <v>2335</v>
      </c>
      <c r="E78" s="410" t="s">
        <v>2400</v>
      </c>
      <c r="F78" s="736" t="s">
        <v>18</v>
      </c>
      <c r="G78" s="411" t="str">
        <f>VLOOKUP(B78,MASTER!$B$8:$H$1435,6,FALSE)</f>
        <v>K</v>
      </c>
      <c r="H78" s="411">
        <f>VLOOKUP(B78,MASTER!$B$8:$H$1435,7,FALSE)</f>
        <v>2</v>
      </c>
      <c r="I78" s="411">
        <f>VLOOKUP(B78,MASTER!$B$8:$V$1435,8,FALSE)</f>
        <v>2</v>
      </c>
      <c r="J78" s="411" t="str">
        <f>VLOOKUP(B78,MASTER!$B$8:$V$1435,9,FALSE)</f>
        <v>L</v>
      </c>
      <c r="K78" s="423" t="str">
        <f>VLOOKUP(B78,MASTER!$B$8:$V$1435,10,FALSE)</f>
        <v>MOJOKERTO</v>
      </c>
      <c r="L78" s="413">
        <f>VLOOKUP(B78,MASTER!$B$8:$V$1435,11,FALSE)</f>
        <v>25616</v>
      </c>
      <c r="M78" s="422" t="str">
        <f t="shared" ref="M78:M102" ca="1" si="61">DATEDIF(L78,TODAY(),"Y") &amp; "." &amp;DATEDIF(L78,TODAY(),"YM")</f>
        <v>48.2</v>
      </c>
      <c r="N78" s="413">
        <f>VLOOKUP(B78,MASTER!$B$8:$V$1435,14,FALSE)</f>
        <v>34648</v>
      </c>
      <c r="O78" s="422" t="str">
        <f t="shared" ref="O78:O102" ca="1" si="62">DATEDIF(N78,TODAY(),"Y") &amp; "." &amp;DATEDIF(N78,TODAY(),"YM")</f>
        <v>23.5</v>
      </c>
      <c r="P78" s="413">
        <f>VLOOKUP(B78,MASTER!$B$8:$V$1435,16,FALSE)</f>
        <v>46070</v>
      </c>
      <c r="Q78" s="414" t="str">
        <f>VLOOKUP(B78,MASTER!$B$8:$V$1435,17,FALSE)</f>
        <v>I</v>
      </c>
      <c r="R78" s="411" t="str">
        <f>VLOOKUP(B78,MASTER!$B$8:$V$1435,18,FALSE)</f>
        <v>S1</v>
      </c>
      <c r="S78" s="411" t="str">
        <f>VLOOKUP(B78,MASTER!$B$8:$V$1435,19,FALSE)</f>
        <v>S1</v>
      </c>
      <c r="T78" s="418" t="str">
        <f>VLOOKUP(B78,MASTER!$B$8:$V$1435,20,FALSE)</f>
        <v>O</v>
      </c>
      <c r="U78" s="415" t="str">
        <f>VLOOKUP($B78,ALAMAT!$A$1:E305,4)</f>
        <v>Jl. Pang Hidayat 12 RT 7 RW 2 Bulu sidokare Sidoarjo - Jawa Timur</v>
      </c>
      <c r="X78" s="407">
        <f t="shared" ca="1" si="59"/>
        <v>48</v>
      </c>
      <c r="Y78" s="407">
        <f t="shared" ca="1" si="60"/>
        <v>23</v>
      </c>
    </row>
    <row r="79" spans="1:25" s="407" customFormat="1" ht="12.95" customHeight="1">
      <c r="A79" s="430">
        <v>2</v>
      </c>
      <c r="B79" s="821">
        <v>4652</v>
      </c>
      <c r="C79" s="410" t="str">
        <f>VLOOKUP(B79,MASTER!$B$8:$C$137,2,FALSE)</f>
        <v>EKO JUNAEDI MARYANTO</v>
      </c>
      <c r="D79" s="409" t="s">
        <v>2336</v>
      </c>
      <c r="E79" s="410" t="s">
        <v>675</v>
      </c>
      <c r="F79" s="736" t="s">
        <v>18</v>
      </c>
      <c r="G79" s="411" t="str">
        <f>VLOOKUP(B79,MASTER!$B$8:$H$1435,6,FALSE)</f>
        <v>K</v>
      </c>
      <c r="H79" s="411">
        <f>VLOOKUP(B79,MASTER!$B$8:$H$1435,7,FALSE)</f>
        <v>4</v>
      </c>
      <c r="I79" s="411">
        <f>VLOOKUP(B79,MASTER!$B$8:$V$1435,8,FALSE)</f>
        <v>3</v>
      </c>
      <c r="J79" s="411" t="str">
        <f>VLOOKUP(B79,MASTER!$B$8:$V$1435,9,FALSE)</f>
        <v>L</v>
      </c>
      <c r="K79" s="423" t="str">
        <f>VLOOKUP(B79,MASTER!$B$8:$V$1435,10,FALSE)</f>
        <v>SEMARANG</v>
      </c>
      <c r="L79" s="413">
        <f>VLOOKUP(B79,MASTER!$B$8:$V$1435,11,FALSE)</f>
        <v>23551</v>
      </c>
      <c r="M79" s="422" t="str">
        <f t="shared" ca="1" si="61"/>
        <v>53.10</v>
      </c>
      <c r="N79" s="413">
        <f>VLOOKUP(B79,MASTER!$B$8:$V$1435,14,FALSE)</f>
        <v>32025</v>
      </c>
      <c r="O79" s="422" t="str">
        <f t="shared" ca="1" si="62"/>
        <v>30.7</v>
      </c>
      <c r="P79" s="413">
        <f>VLOOKUP(B79,MASTER!$B$8:$V$1435,16,FALSE)</f>
        <v>44005</v>
      </c>
      <c r="Q79" s="414" t="str">
        <f>VLOOKUP(B79,MASTER!$B$8:$V$1435,17,FALSE)</f>
        <v>I</v>
      </c>
      <c r="R79" s="411" t="str">
        <f>VLOOKUP(B79,MASTER!$B$8:$V$1435,18,FALSE)</f>
        <v>STM</v>
      </c>
      <c r="S79" s="411" t="str">
        <f>VLOOKUP(B79,MASTER!$B$8:$V$1435,19,FALSE)</f>
        <v>S1</v>
      </c>
      <c r="T79" s="418" t="str">
        <f>VLOOKUP(B79,MASTER!$B$8:$V$1435,20,FALSE)</f>
        <v>-</v>
      </c>
      <c r="U79" s="415" t="str">
        <f>VLOOKUP($B79,ALAMAT!$A$1:E307,4)</f>
        <v>Jl Candi Penataran I Rt 08. Rw 03 Kalipancur Ngalian Smg</v>
      </c>
      <c r="X79" s="407">
        <f t="shared" ca="1" si="59"/>
        <v>53</v>
      </c>
      <c r="Y79" s="407">
        <f t="shared" ca="1" si="60"/>
        <v>30</v>
      </c>
    </row>
    <row r="80" spans="1:25" s="407" customFormat="1" ht="12.95" customHeight="1">
      <c r="A80" s="430">
        <v>3</v>
      </c>
      <c r="B80" s="817">
        <v>8256</v>
      </c>
      <c r="C80" s="410" t="str">
        <f>VLOOKUP(B80,MASTER!$B$8:$C$137,2,FALSE)</f>
        <v>YOSEPH TUAHNA RASKITA</v>
      </c>
      <c r="D80" s="409" t="s">
        <v>2336</v>
      </c>
      <c r="E80" s="410" t="s">
        <v>669</v>
      </c>
      <c r="F80" s="736" t="s">
        <v>18</v>
      </c>
      <c r="G80" s="411" t="str">
        <f>VLOOKUP(B80,MASTER!$B$8:$H$1435,6,FALSE)</f>
        <v>K</v>
      </c>
      <c r="H80" s="411">
        <f>VLOOKUP(B80,MASTER!$B$8:$H$1435,7,FALSE)</f>
        <v>1</v>
      </c>
      <c r="I80" s="411">
        <f>VLOOKUP(B80,MASTER!$B$8:$V$1435,8,FALSE)</f>
        <v>1</v>
      </c>
      <c r="J80" s="411" t="str">
        <f>VLOOKUP(B80,MASTER!$B$8:$V$1435,9,FALSE)</f>
        <v>L</v>
      </c>
      <c r="K80" s="423" t="str">
        <f>VLOOKUP(B80,MASTER!$B$8:$V$1435,10,FALSE)</f>
        <v>MEDAN</v>
      </c>
      <c r="L80" s="413">
        <f>VLOOKUP(B80,MASTER!$B$8:$V$1435,11,FALSE)</f>
        <v>26738</v>
      </c>
      <c r="M80" s="422" t="str">
        <f t="shared" ca="1" si="61"/>
        <v>45.1</v>
      </c>
      <c r="N80" s="413">
        <f>VLOOKUP(B80,MASTER!$B$8:$V$1435,14,FALSE)</f>
        <v>35023</v>
      </c>
      <c r="O80" s="422" t="str">
        <f t="shared" ca="1" si="62"/>
        <v>22.5</v>
      </c>
      <c r="P80" s="413">
        <f>VLOOKUP(B80,MASTER!$B$8:$V$1435,16,FALSE)</f>
        <v>47192</v>
      </c>
      <c r="Q80" s="414" t="str">
        <f>VLOOKUP(B80,MASTER!$B$8:$V$1435,17,FALSE)</f>
        <v>P</v>
      </c>
      <c r="R80" s="411" t="str">
        <f>VLOOKUP(B80,MASTER!$B$8:$V$1435,18,FALSE)</f>
        <v>SMA</v>
      </c>
      <c r="S80" s="411" t="str">
        <f>VLOOKUP(B80,MASTER!$B$8:$V$1435,19,FALSE)</f>
        <v>D3</v>
      </c>
      <c r="T80" s="418" t="str">
        <f>VLOOKUP(B80,MASTER!$B$8:$V$1435,20,FALSE)</f>
        <v>B</v>
      </c>
      <c r="U80" s="415" t="str">
        <f>VLOOKUP($B80,ALAMAT!$A$1:E308,4)</f>
        <v xml:space="preserve">Jurangombo Utara Magelang </v>
      </c>
      <c r="X80" s="407">
        <f t="shared" ca="1" si="59"/>
        <v>45</v>
      </c>
      <c r="Y80" s="407">
        <f t="shared" ca="1" si="60"/>
        <v>22</v>
      </c>
    </row>
    <row r="81" spans="1:25" s="407" customFormat="1" ht="12.95" customHeight="1">
      <c r="A81" s="430">
        <v>4</v>
      </c>
      <c r="B81" s="821">
        <v>7688</v>
      </c>
      <c r="C81" s="410" t="str">
        <f>VLOOKUP(B81,MASTER!$B$8:$C$137,2,FALSE)</f>
        <v>YOSEP RUSWITO</v>
      </c>
      <c r="D81" s="409" t="s">
        <v>2336</v>
      </c>
      <c r="E81" s="410" t="s">
        <v>668</v>
      </c>
      <c r="F81" s="736" t="s">
        <v>18</v>
      </c>
      <c r="G81" s="411" t="str">
        <f>VLOOKUP(B81,MASTER!$B$8:$H$1435,6,FALSE)</f>
        <v>K</v>
      </c>
      <c r="H81" s="411">
        <f>VLOOKUP(B81,MASTER!$B$8:$H$1435,7,FALSE)</f>
        <v>2</v>
      </c>
      <c r="I81" s="411">
        <f>VLOOKUP(B81,MASTER!$B$8:$V$1435,8,FALSE)</f>
        <v>2</v>
      </c>
      <c r="J81" s="411" t="str">
        <f>VLOOKUP(B81,MASTER!$B$8:$V$1435,9,FALSE)</f>
        <v>L</v>
      </c>
      <c r="K81" s="423" t="str">
        <f>VLOOKUP(B81,MASTER!$B$8:$V$1435,10,FALSE)</f>
        <v>SURABAYA</v>
      </c>
      <c r="L81" s="413">
        <f>VLOOKUP(B81,MASTER!$B$8:$V$1435,11,FALSE)</f>
        <v>27115</v>
      </c>
      <c r="M81" s="422" t="str">
        <f t="shared" ca="1" si="61"/>
        <v>44.1</v>
      </c>
      <c r="N81" s="413">
        <f>VLOOKUP(B81,MASTER!$B$8:$V$1435,14,FALSE)</f>
        <v>34648</v>
      </c>
      <c r="O81" s="422" t="str">
        <f t="shared" ca="1" si="62"/>
        <v>23.5</v>
      </c>
      <c r="P81" s="413">
        <f>VLOOKUP(B81,MASTER!$B$8:$V$1435,16,FALSE)</f>
        <v>47569</v>
      </c>
      <c r="Q81" s="414" t="str">
        <f>VLOOKUP(B81,MASTER!$B$8:$V$1435,17,FALSE)</f>
        <v>K</v>
      </c>
      <c r="R81" s="411" t="str">
        <f>VLOOKUP(B81,MASTER!$B$8:$V$1435,18,FALSE)</f>
        <v>STM</v>
      </c>
      <c r="S81" s="411" t="str">
        <f>VLOOKUP(B81,MASTER!$B$8:$V$1435,19,FALSE)</f>
        <v>S1</v>
      </c>
      <c r="T81" s="418" t="str">
        <f>VLOOKUP(B81,MASTER!$B$8:$V$1435,20,FALSE)</f>
        <v>B</v>
      </c>
      <c r="U81" s="415" t="str">
        <f>VLOOKUP($B81,ALAMAT!$A$1:E309,4)</f>
        <v>Jl.Sinar Mas IV/972C RT.012  RW.001 Kedungmundu Tembalang</v>
      </c>
      <c r="X81" s="407">
        <f t="shared" ca="1" si="59"/>
        <v>44</v>
      </c>
      <c r="Y81" s="407">
        <f t="shared" ca="1" si="60"/>
        <v>23</v>
      </c>
    </row>
    <row r="82" spans="1:25" s="407" customFormat="1" ht="12.95" customHeight="1">
      <c r="A82" s="430">
        <v>5</v>
      </c>
      <c r="B82" s="821">
        <v>8973</v>
      </c>
      <c r="C82" s="410" t="str">
        <f>VLOOKUP(B82,MASTER!$B$8:$C$137,2,FALSE)</f>
        <v>HERI KARTONO</v>
      </c>
      <c r="D82" s="409">
        <v>5</v>
      </c>
      <c r="E82" s="410" t="s">
        <v>638</v>
      </c>
      <c r="F82" s="736" t="s">
        <v>18</v>
      </c>
      <c r="G82" s="411" t="str">
        <f>VLOOKUP(B82,MASTER!$B$8:$H$1435,6,FALSE)</f>
        <v>K</v>
      </c>
      <c r="H82" s="411">
        <f>VLOOKUP(B82,MASTER!$B$8:$H$1435,7,FALSE)</f>
        <v>1</v>
      </c>
      <c r="I82" s="411">
        <f>VLOOKUP(B82,MASTER!$B$8:$V$1435,8,FALSE)</f>
        <v>1</v>
      </c>
      <c r="J82" s="411" t="str">
        <f>VLOOKUP(B82,MASTER!$B$8:$V$1435,9,FALSE)</f>
        <v>L</v>
      </c>
      <c r="K82" s="423" t="str">
        <f>VLOOKUP(B82,MASTER!$B$8:$V$1435,10,FALSE)</f>
        <v>REMBANG</v>
      </c>
      <c r="L82" s="413">
        <f>VLOOKUP(B82,MASTER!$B$8:$V$1435,11,FALSE)</f>
        <v>26410</v>
      </c>
      <c r="M82" s="422" t="str">
        <f t="shared" ref="M82" ca="1" si="63">DATEDIF(L82,TODAY(),"Y") &amp; "." &amp;DATEDIF(L82,TODAY(),"YM")</f>
        <v>46.0</v>
      </c>
      <c r="N82" s="413">
        <f>VLOOKUP(B82,MASTER!$B$8:$V$1435,14,FALSE)</f>
        <v>35325</v>
      </c>
      <c r="O82" s="422" t="str">
        <f t="shared" ref="O82" ca="1" si="64">DATEDIF(N82,TODAY(),"Y") &amp; "." &amp;DATEDIF(N82,TODAY(),"YM")</f>
        <v>21.7</v>
      </c>
      <c r="P82" s="413">
        <f>VLOOKUP(B82,MASTER!$B$8:$V$1435,16,FALSE)</f>
        <v>46864</v>
      </c>
      <c r="Q82" s="414" t="str">
        <f>VLOOKUP(B82,MASTER!$B$8:$V$1435,17,FALSE)</f>
        <v>I</v>
      </c>
      <c r="R82" s="411" t="str">
        <f>VLOOKUP(B82,MASTER!$B$8:$V$1435,18,FALSE)</f>
        <v>SMA</v>
      </c>
      <c r="S82" s="411" t="str">
        <f>VLOOKUP(B82,MASTER!$B$8:$V$1435,19,FALSE)</f>
        <v>S1</v>
      </c>
      <c r="T82" s="418" t="str">
        <f>VLOOKUP(B82,MASTER!$B$8:$V$1435,20,FALSE)</f>
        <v>-</v>
      </c>
      <c r="U82" s="415" t="str">
        <f>VLOOKUP($B82,ALAMAT!$A$1:E310,4)</f>
        <v>Perum Kutilang Sari 3 RT.008 RW.004 Susukan Ungaran Timur</v>
      </c>
      <c r="X82" s="407">
        <f t="shared" ref="X82" ca="1" si="65">DATEDIF(L82,TODAY(),"y")</f>
        <v>46</v>
      </c>
      <c r="Y82" s="407">
        <f t="shared" ref="Y82" ca="1" si="66">DATEDIF(N82,TODAY(),"y")</f>
        <v>21</v>
      </c>
    </row>
    <row r="83" spans="1:25" s="407" customFormat="1" ht="12.95" customHeight="1">
      <c r="A83" s="430">
        <v>6</v>
      </c>
      <c r="B83" s="821">
        <v>4625</v>
      </c>
      <c r="C83" s="410" t="str">
        <f>VLOOKUP(B83,MASTER!$B$8:$C$137,2,FALSE)</f>
        <v>SUPRIYO</v>
      </c>
      <c r="D83" s="409" t="s">
        <v>2339</v>
      </c>
      <c r="E83" s="410" t="s">
        <v>159</v>
      </c>
      <c r="F83" s="736" t="s">
        <v>18</v>
      </c>
      <c r="G83" s="411" t="str">
        <f>VLOOKUP(B83,MASTER!$B$8:$H$1435,6,FALSE)</f>
        <v>K</v>
      </c>
      <c r="H83" s="411">
        <f>VLOOKUP(B83,MASTER!$B$8:$H$1435,7,FALSE)</f>
        <v>2</v>
      </c>
      <c r="I83" s="411">
        <f>VLOOKUP(B83,MASTER!$B$8:$V$1435,8,FALSE)</f>
        <v>2</v>
      </c>
      <c r="J83" s="411" t="str">
        <f>VLOOKUP(B83,MASTER!$B$8:$V$1435,9,FALSE)</f>
        <v>L</v>
      </c>
      <c r="K83" s="423" t="str">
        <f>VLOOKUP(B83,MASTER!$B$8:$V$1435,10,FALSE)</f>
        <v>SEMARANG</v>
      </c>
      <c r="L83" s="413">
        <f>VLOOKUP(B83,MASTER!$B$8:$V$1435,11,FALSE)</f>
        <v>23561</v>
      </c>
      <c r="M83" s="422" t="str">
        <f t="shared" ca="1" si="61"/>
        <v>53.9</v>
      </c>
      <c r="N83" s="413">
        <f>VLOOKUP(B83,MASTER!$B$8:$V$1435,14,FALSE)</f>
        <v>32025</v>
      </c>
      <c r="O83" s="422" t="str">
        <f t="shared" ca="1" si="62"/>
        <v>30.7</v>
      </c>
      <c r="P83" s="413">
        <f>VLOOKUP(B83,MASTER!$B$8:$V$1435,16,FALSE)</f>
        <v>44015</v>
      </c>
      <c r="Q83" s="414" t="str">
        <f>VLOOKUP(B83,MASTER!$B$8:$V$1435,17,FALSE)</f>
        <v>I</v>
      </c>
      <c r="R83" s="411" t="str">
        <f>VLOOKUP(B83,MASTER!$B$8:$V$1435,18,FALSE)</f>
        <v>SMA</v>
      </c>
      <c r="S83" s="411" t="str">
        <f>VLOOKUP(B83,MASTER!$B$8:$V$1435,19,FALSE)</f>
        <v>SLTA</v>
      </c>
      <c r="T83" s="418" t="str">
        <f>VLOOKUP(B83,MASTER!$B$8:$V$1435,20,FALSE)</f>
        <v>O</v>
      </c>
      <c r="U83" s="415" t="str">
        <f>VLOOKUP($B83,ALAMAT!$A$1:E310,4)</f>
        <v>Pakintelan RT.003 RW.002  Pakintelan, Gunungpati Semarang</v>
      </c>
      <c r="X83" s="407">
        <f t="shared" ca="1" si="59"/>
        <v>53</v>
      </c>
      <c r="Y83" s="407">
        <f t="shared" ca="1" si="60"/>
        <v>30</v>
      </c>
    </row>
    <row r="84" spans="1:25" s="407" customFormat="1" ht="12.95" customHeight="1">
      <c r="A84" s="430">
        <v>7</v>
      </c>
      <c r="B84" s="821">
        <v>4673</v>
      </c>
      <c r="C84" s="410" t="str">
        <f>VLOOKUP(B84,MASTER!$B$8:$C$137,2,FALSE)</f>
        <v>MURTIONO</v>
      </c>
      <c r="D84" s="409" t="s">
        <v>2339</v>
      </c>
      <c r="E84" s="410" t="s">
        <v>159</v>
      </c>
      <c r="F84" s="736" t="s">
        <v>18</v>
      </c>
      <c r="G84" s="411" t="str">
        <f>VLOOKUP(B84,MASTER!$B$8:$H$1435,6,FALSE)</f>
        <v>K</v>
      </c>
      <c r="H84" s="411">
        <f>VLOOKUP(B84,MASTER!$B$8:$H$1435,7,FALSE)</f>
        <v>3</v>
      </c>
      <c r="I84" s="411">
        <f>VLOOKUP(B84,MASTER!$B$8:$V$1435,8,FALSE)</f>
        <v>2</v>
      </c>
      <c r="J84" s="411" t="str">
        <f>VLOOKUP(B84,MASTER!$B$8:$V$1435,9,FALSE)</f>
        <v>L</v>
      </c>
      <c r="K84" s="423" t="str">
        <f>VLOOKUP(B84,MASTER!$B$8:$V$1435,10,FALSE)</f>
        <v>SEMARANG</v>
      </c>
      <c r="L84" s="413">
        <f>VLOOKUP(B84,MASTER!$B$8:$V$1435,11,FALSE)</f>
        <v>23069</v>
      </c>
      <c r="M84" s="422" t="str">
        <f t="shared" ca="1" si="61"/>
        <v>55.2</v>
      </c>
      <c r="N84" s="413">
        <f>VLOOKUP(B84,MASTER!$B$8:$V$1435,14,FALSE)</f>
        <v>32025</v>
      </c>
      <c r="O84" s="422" t="str">
        <f t="shared" ca="1" si="62"/>
        <v>30.7</v>
      </c>
      <c r="P84" s="413">
        <f>VLOOKUP(B84,MASTER!$B$8:$V$1435,16,FALSE)</f>
        <v>43523</v>
      </c>
      <c r="Q84" s="414" t="str">
        <f>VLOOKUP(B84,MASTER!$B$8:$V$1435,17,FALSE)</f>
        <v>I</v>
      </c>
      <c r="R84" s="411" t="str">
        <f>VLOOKUP(B84,MASTER!$B$8:$V$1435,18,FALSE)</f>
        <v>SMA</v>
      </c>
      <c r="S84" s="411" t="str">
        <f>VLOOKUP(B84,MASTER!$B$8:$V$1435,19,FALSE)</f>
        <v>SLTA</v>
      </c>
      <c r="T84" s="418" t="str">
        <f>VLOOKUP(B84,MASTER!$B$8:$V$1435,20,FALSE)</f>
        <v>B</v>
      </c>
      <c r="U84" s="415" t="str">
        <f>VLOOKUP($B84,ALAMAT!$A$1:E311,4)</f>
        <v>Gemahsari V No.178 RT.001 RW.004 Kedungmundu, Tembalang, Semarang</v>
      </c>
      <c r="X84" s="407">
        <f t="shared" ca="1" si="59"/>
        <v>55</v>
      </c>
      <c r="Y84" s="407">
        <f t="shared" ca="1" si="60"/>
        <v>30</v>
      </c>
    </row>
    <row r="85" spans="1:25" s="407" customFormat="1" ht="12.95" customHeight="1">
      <c r="A85" s="430">
        <v>8</v>
      </c>
      <c r="B85" s="821">
        <v>8261</v>
      </c>
      <c r="C85" s="410" t="str">
        <f>VLOOKUP(B85,MASTER!$B$8:$C$137,2,FALSE)</f>
        <v>DIDIK WAHYUDI</v>
      </c>
      <c r="D85" s="409" t="s">
        <v>2339</v>
      </c>
      <c r="E85" s="410" t="s">
        <v>159</v>
      </c>
      <c r="F85" s="736" t="s">
        <v>18</v>
      </c>
      <c r="G85" s="411" t="str">
        <f>VLOOKUP(B85,MASTER!$B$8:$H$1435,6,FALSE)</f>
        <v>K</v>
      </c>
      <c r="H85" s="411">
        <f>VLOOKUP(B85,MASTER!$B$8:$H$1435,7,FALSE)</f>
        <v>2</v>
      </c>
      <c r="I85" s="411">
        <f>VLOOKUP(B85,MASTER!$B$8:$V$1435,8,FALSE)</f>
        <v>2</v>
      </c>
      <c r="J85" s="411" t="str">
        <f>VLOOKUP(B85,MASTER!$B$8:$V$1435,9,FALSE)</f>
        <v>L</v>
      </c>
      <c r="K85" s="423" t="str">
        <f>VLOOKUP(B85,MASTER!$B$8:$V$1435,10,FALSE)</f>
        <v>JOMBANG</v>
      </c>
      <c r="L85" s="413">
        <f>VLOOKUP(B85,MASTER!$B$8:$V$1435,11,FALSE)</f>
        <v>26561</v>
      </c>
      <c r="M85" s="422" t="str">
        <f t="shared" ca="1" si="61"/>
        <v>45.7</v>
      </c>
      <c r="N85" s="413">
        <f>VLOOKUP(B85,MASTER!$B$8:$V$1435,14,FALSE)</f>
        <v>34922</v>
      </c>
      <c r="O85" s="422" t="str">
        <f t="shared" ca="1" si="62"/>
        <v>22.8</v>
      </c>
      <c r="P85" s="413">
        <f>VLOOKUP(B85,MASTER!$B$8:$V$1435,16,FALSE)</f>
        <v>47015</v>
      </c>
      <c r="Q85" s="414" t="str">
        <f>VLOOKUP(B85,MASTER!$B$8:$V$1435,17,FALSE)</f>
        <v>I</v>
      </c>
      <c r="R85" s="411" t="str">
        <f>VLOOKUP(B85,MASTER!$B$8:$V$1435,18,FALSE)</f>
        <v>STM</v>
      </c>
      <c r="S85" s="411" t="str">
        <f>VLOOKUP(B85,MASTER!$B$8:$V$1435,19,FALSE)</f>
        <v>S1</v>
      </c>
      <c r="T85" s="418" t="str">
        <f>VLOOKUP(B85,MASTER!$B$8:$V$1435,20,FALSE)</f>
        <v>O</v>
      </c>
      <c r="U85" s="415" t="str">
        <f>VLOOKUP($B85,ALAMAT!$A$1:E312,4)</f>
        <v>Jl. Rorojonggrang XIX RT.004 RW.010 Manyaran ,  Semarang Barat</v>
      </c>
      <c r="X85" s="407">
        <f t="shared" ca="1" si="59"/>
        <v>45</v>
      </c>
      <c r="Y85" s="407">
        <f t="shared" ca="1" si="60"/>
        <v>22</v>
      </c>
    </row>
    <row r="86" spans="1:25" s="407" customFormat="1" ht="12.95" customHeight="1">
      <c r="A86" s="430">
        <v>9</v>
      </c>
      <c r="B86" s="821">
        <v>7606</v>
      </c>
      <c r="C86" s="410" t="str">
        <f>VLOOKUP(B86,MASTER!$B$8:$C$137,2,FALSE)</f>
        <v>TITO CHRISDIAN ANDRIANTO</v>
      </c>
      <c r="D86" s="409" t="s">
        <v>2339</v>
      </c>
      <c r="E86" s="410" t="s">
        <v>159</v>
      </c>
      <c r="F86" s="736" t="s">
        <v>18</v>
      </c>
      <c r="G86" s="411" t="str">
        <f>VLOOKUP(B86,MASTER!$B$8:$H$1435,6,FALSE)</f>
        <v>K</v>
      </c>
      <c r="H86" s="411">
        <f>VLOOKUP(B86,MASTER!$B$8:$H$1435,7,FALSE)</f>
        <v>2</v>
      </c>
      <c r="I86" s="411">
        <f>VLOOKUP(B86,MASTER!$B$8:$V$1435,8,FALSE)</f>
        <v>2</v>
      </c>
      <c r="J86" s="411" t="str">
        <f>VLOOKUP(B86,MASTER!$B$8:$V$1435,9,FALSE)</f>
        <v>L</v>
      </c>
      <c r="K86" s="423" t="str">
        <f>VLOOKUP(B86,MASTER!$B$8:$V$1435,10,FALSE)</f>
        <v>MADIUN</v>
      </c>
      <c r="L86" s="413">
        <f>VLOOKUP(B86,MASTER!$B$8:$V$1435,11,FALSE)</f>
        <v>26644</v>
      </c>
      <c r="M86" s="422" t="str">
        <f t="shared" ca="1" si="61"/>
        <v>45.4</v>
      </c>
      <c r="N86" s="413">
        <f>VLOOKUP(B86,MASTER!$B$8:$V$1435,14,FALSE)</f>
        <v>34648</v>
      </c>
      <c r="O86" s="422" t="str">
        <f t="shared" ca="1" si="62"/>
        <v>23.5</v>
      </c>
      <c r="P86" s="413">
        <f>VLOOKUP(B86,MASTER!$B$8:$V$1435,16,FALSE)</f>
        <v>47098</v>
      </c>
      <c r="Q86" s="414" t="str">
        <f>VLOOKUP(B86,MASTER!$B$8:$V$1435,17,FALSE)</f>
        <v>P</v>
      </c>
      <c r="R86" s="411" t="str">
        <f>VLOOKUP(B86,MASTER!$B$8:$V$1435,18,FALSE)</f>
        <v>SMA</v>
      </c>
      <c r="S86" s="411" t="str">
        <f>VLOOKUP(B86,MASTER!$B$8:$V$1435,19,FALSE)</f>
        <v>S1</v>
      </c>
      <c r="T86" s="418" t="str">
        <f>VLOOKUP(B86,MASTER!$B$8:$V$1435,20,FALSE)</f>
        <v>O</v>
      </c>
      <c r="U86" s="415" t="str">
        <f>VLOOKUP($B86,ALAMAT!$A$1:E313,4)</f>
        <v xml:space="preserve">Jl.Argo Mulyo Mukti III/D-137 RT.001 RW.010 Tlogomulyo, Pedurungan </v>
      </c>
      <c r="X86" s="407">
        <f t="shared" ca="1" si="59"/>
        <v>45</v>
      </c>
      <c r="Y86" s="407">
        <f t="shared" ca="1" si="60"/>
        <v>23</v>
      </c>
    </row>
    <row r="87" spans="1:25" s="407" customFormat="1" ht="11.25" customHeight="1">
      <c r="A87" s="430">
        <v>10</v>
      </c>
      <c r="B87" s="821">
        <v>7614</v>
      </c>
      <c r="C87" s="410" t="str">
        <f>VLOOKUP(B87,MASTER!$B$8:$C$137,2,FALSE)</f>
        <v>MOCH.LUTFI</v>
      </c>
      <c r="D87" s="409" t="s">
        <v>2339</v>
      </c>
      <c r="E87" s="410" t="s">
        <v>159</v>
      </c>
      <c r="F87" s="736" t="s">
        <v>18</v>
      </c>
      <c r="G87" s="411" t="str">
        <f>VLOOKUP(B87,MASTER!$B$8:$H$1435,6,FALSE)</f>
        <v>K</v>
      </c>
      <c r="H87" s="411">
        <f>VLOOKUP(B87,MASTER!$B$8:$H$1435,7,FALSE)</f>
        <v>1</v>
      </c>
      <c r="I87" s="411">
        <f>VLOOKUP(B87,MASTER!$B$8:$V$1435,8,FALSE)</f>
        <v>1</v>
      </c>
      <c r="J87" s="411" t="str">
        <f>VLOOKUP(B87,MASTER!$B$8:$V$1435,9,FALSE)</f>
        <v>L</v>
      </c>
      <c r="K87" s="423" t="str">
        <f>VLOOKUP(B87,MASTER!$B$8:$V$1435,10,FALSE)</f>
        <v>SIDOARJO</v>
      </c>
      <c r="L87" s="413">
        <f>VLOOKUP(B87,MASTER!$B$8:$V$1435,11,FALSE)</f>
        <v>25630</v>
      </c>
      <c r="M87" s="422" t="str">
        <f t="shared" ca="1" si="61"/>
        <v>48.1</v>
      </c>
      <c r="N87" s="413">
        <f>VLOOKUP(B87,MASTER!$B$8:$V$1435,14,FALSE)</f>
        <v>34648</v>
      </c>
      <c r="O87" s="422" t="str">
        <f t="shared" ca="1" si="62"/>
        <v>23.5</v>
      </c>
      <c r="P87" s="413">
        <f>VLOOKUP(B87,MASTER!$B$8:$V$1435,16,FALSE)</f>
        <v>46084</v>
      </c>
      <c r="Q87" s="414" t="str">
        <f>VLOOKUP(B87,MASTER!$B$8:$V$1435,17,FALSE)</f>
        <v>I</v>
      </c>
      <c r="R87" s="411" t="str">
        <f>VLOOKUP(B87,MASTER!$B$8:$V$1435,18,FALSE)</f>
        <v>SMA</v>
      </c>
      <c r="S87" s="411" t="str">
        <f>VLOOKUP(B87,MASTER!$B$8:$V$1435,19,FALSE)</f>
        <v>SLTA</v>
      </c>
      <c r="T87" s="418" t="str">
        <f>VLOOKUP(B87,MASTER!$B$8:$V$1435,20,FALSE)</f>
        <v>O</v>
      </c>
      <c r="U87" s="415" t="str">
        <f>VLOOKUP($B87,ALAMAT!$A$1:E314,4)</f>
        <v>Jl.Kalimantan 325 RT.007 Rw.009 Gedang Anak Ungaran</v>
      </c>
      <c r="X87" s="407">
        <f t="shared" ca="1" si="59"/>
        <v>48</v>
      </c>
      <c r="Y87" s="407">
        <f t="shared" ca="1" si="60"/>
        <v>23</v>
      </c>
    </row>
    <row r="88" spans="1:25" s="407" customFormat="1" ht="12.95" customHeight="1">
      <c r="A88" s="430">
        <v>11</v>
      </c>
      <c r="B88" s="821">
        <v>4624</v>
      </c>
      <c r="C88" s="410" t="str">
        <f>VLOOKUP(B88,MASTER!$B$8:$C$137,2,FALSE)</f>
        <v>TRISNO PURWANTO</v>
      </c>
      <c r="D88" s="409" t="s">
        <v>2340</v>
      </c>
      <c r="E88" s="410" t="s">
        <v>183</v>
      </c>
      <c r="F88" s="736" t="s">
        <v>18</v>
      </c>
      <c r="G88" s="411" t="str">
        <f>VLOOKUP(B88,MASTER!$B$8:$H$1435,6,FALSE)</f>
        <v>K</v>
      </c>
      <c r="H88" s="411">
        <f>VLOOKUP(B88,MASTER!$B$8:$H$1435,7,FALSE)</f>
        <v>3</v>
      </c>
      <c r="I88" s="411">
        <f>VLOOKUP(B88,MASTER!$B$8:$V$1435,8,FALSE)</f>
        <v>2</v>
      </c>
      <c r="J88" s="411" t="str">
        <f>VLOOKUP(B88,MASTER!$B$8:$V$1435,9,FALSE)</f>
        <v>L</v>
      </c>
      <c r="K88" s="423" t="str">
        <f>VLOOKUP(B88,MASTER!$B$8:$V$1435,10,FALSE)</f>
        <v>NGAWI</v>
      </c>
      <c r="L88" s="413">
        <f>VLOOKUP(B88,MASTER!$B$8:$V$1435,11,FALSE)</f>
        <v>23529</v>
      </c>
      <c r="M88" s="422" t="str">
        <f t="shared" ca="1" si="61"/>
        <v>53.10</v>
      </c>
      <c r="N88" s="413">
        <f>VLOOKUP(B88,MASTER!$B$8:$V$1435,14,FALSE)</f>
        <v>32025</v>
      </c>
      <c r="O88" s="422" t="str">
        <f t="shared" ca="1" si="62"/>
        <v>30.7</v>
      </c>
      <c r="P88" s="413">
        <f>VLOOKUP(B88,MASTER!$B$8:$V$1435,16,FALSE)</f>
        <v>43983</v>
      </c>
      <c r="Q88" s="414" t="str">
        <f>VLOOKUP(B88,MASTER!$B$8:$V$1435,17,FALSE)</f>
        <v>I</v>
      </c>
      <c r="R88" s="411" t="str">
        <f>VLOOKUP(B88,MASTER!$B$8:$V$1435,18,FALSE)</f>
        <v>SMA</v>
      </c>
      <c r="S88" s="411" t="str">
        <f>VLOOKUP(B88,MASTER!$B$8:$V$1435,19,FALSE)</f>
        <v>S1</v>
      </c>
      <c r="T88" s="418" t="str">
        <f>VLOOKUP(B88,MASTER!$B$8:$V$1435,20,FALSE)</f>
        <v>B</v>
      </c>
      <c r="U88" s="415" t="str">
        <f>VLOOKUP($B88,ALAMAT!$A$1:E315,4)</f>
        <v>Jl. Panasan V/14 RT.003 RW.013  Beji Ungaran</v>
      </c>
      <c r="X88" s="407">
        <f t="shared" ca="1" si="59"/>
        <v>53</v>
      </c>
      <c r="Y88" s="407">
        <f t="shared" ca="1" si="60"/>
        <v>30</v>
      </c>
    </row>
    <row r="89" spans="1:25" s="407" customFormat="1" ht="12.95" customHeight="1">
      <c r="A89" s="430">
        <v>12</v>
      </c>
      <c r="B89" s="821">
        <v>4661</v>
      </c>
      <c r="C89" s="410" t="str">
        <f>VLOOKUP(B89,MASTER!$B$8:$C$137,2,FALSE)</f>
        <v>PUTUT WAHYUDI</v>
      </c>
      <c r="D89" s="409" t="s">
        <v>2340</v>
      </c>
      <c r="E89" s="410" t="s">
        <v>183</v>
      </c>
      <c r="F89" s="736" t="s">
        <v>18</v>
      </c>
      <c r="G89" s="411" t="str">
        <f>VLOOKUP(B89,MASTER!$B$8:$H$1435,6,FALSE)</f>
        <v>K</v>
      </c>
      <c r="H89" s="411">
        <f>VLOOKUP(B89,MASTER!$B$8:$H$1435,7,FALSE)</f>
        <v>2</v>
      </c>
      <c r="I89" s="411">
        <f>VLOOKUP(B89,MASTER!$B$8:$V$1435,8,FALSE)</f>
        <v>2</v>
      </c>
      <c r="J89" s="411" t="str">
        <f>VLOOKUP(B89,MASTER!$B$8:$V$1435,9,FALSE)</f>
        <v>L</v>
      </c>
      <c r="K89" s="423" t="str">
        <f>VLOOKUP(B89,MASTER!$B$8:$V$1435,10,FALSE)</f>
        <v>SEMARANG</v>
      </c>
      <c r="L89" s="413">
        <f>VLOOKUP(B89,MASTER!$B$8:$V$1435,11,FALSE)</f>
        <v>23469</v>
      </c>
      <c r="M89" s="422" t="str">
        <f t="shared" ca="1" si="61"/>
        <v>54.0</v>
      </c>
      <c r="N89" s="413">
        <f>VLOOKUP(B89,MASTER!$B$8:$V$1435,14,FALSE)</f>
        <v>32025</v>
      </c>
      <c r="O89" s="422" t="str">
        <f t="shared" ca="1" si="62"/>
        <v>30.7</v>
      </c>
      <c r="P89" s="413">
        <f>VLOOKUP(B89,MASTER!$B$8:$V$1435,16,FALSE)</f>
        <v>43923</v>
      </c>
      <c r="Q89" s="414" t="str">
        <f>VLOOKUP(B89,MASTER!$B$8:$V$1435,17,FALSE)</f>
        <v>I</v>
      </c>
      <c r="R89" s="411" t="str">
        <f>VLOOKUP(B89,MASTER!$B$8:$V$1435,18,FALSE)</f>
        <v>STM</v>
      </c>
      <c r="S89" s="411" t="str">
        <f>VLOOKUP(B89,MASTER!$B$8:$V$1435,19,FALSE)</f>
        <v>SLTA</v>
      </c>
      <c r="T89" s="418" t="str">
        <f>VLOOKUP(B89,MASTER!$B$8:$V$1435,20,FALSE)</f>
        <v>A</v>
      </c>
      <c r="U89" s="415" t="str">
        <f>VLOOKUP($B89,ALAMAT!$A$1:E316,4)</f>
        <v>Pringsari RT.001 RW.002 Pringsari Pringapus/Klepu Kab.Semarang</v>
      </c>
      <c r="X89" s="407">
        <f t="shared" ca="1" si="59"/>
        <v>54</v>
      </c>
      <c r="Y89" s="407">
        <f t="shared" ca="1" si="60"/>
        <v>30</v>
      </c>
    </row>
    <row r="90" spans="1:25" s="407" customFormat="1" ht="12.95" customHeight="1">
      <c r="A90" s="430">
        <v>13</v>
      </c>
      <c r="B90" s="817">
        <v>7438</v>
      </c>
      <c r="C90" s="410" t="str">
        <f>VLOOKUP(B90,MASTER!$B$8:$C$137,2,FALSE)</f>
        <v>SLAMET WIBOWO</v>
      </c>
      <c r="D90" s="409" t="s">
        <v>2340</v>
      </c>
      <c r="E90" s="410" t="s">
        <v>183</v>
      </c>
      <c r="F90" s="736" t="s">
        <v>18</v>
      </c>
      <c r="G90" s="411" t="str">
        <f>VLOOKUP(B90,MASTER!$B$8:$H$1435,6,FALSE)</f>
        <v>K</v>
      </c>
      <c r="H90" s="411">
        <f>VLOOKUP(B90,MASTER!$B$8:$H$1435,7,FALSE)</f>
        <v>3</v>
      </c>
      <c r="I90" s="411">
        <f>VLOOKUP(B90,MASTER!$B$8:$V$1435,8,FALSE)</f>
        <v>3</v>
      </c>
      <c r="J90" s="411" t="str">
        <f>VLOOKUP(B90,MASTER!$B$8:$V$1435,9,FALSE)</f>
        <v>L</v>
      </c>
      <c r="K90" s="423" t="str">
        <f>VLOOKUP(B90,MASTER!$B$8:$V$1435,10,FALSE)</f>
        <v>BLORA</v>
      </c>
      <c r="L90" s="413">
        <f>VLOOKUP(B90,MASTER!$B$8:$V$1435,11,FALSE)</f>
        <v>25215</v>
      </c>
      <c r="M90" s="422" t="str">
        <f t="shared" ca="1" si="61"/>
        <v>49.3</v>
      </c>
      <c r="N90" s="413">
        <f>VLOOKUP(B90,MASTER!$B$8:$V$1435,14,FALSE)</f>
        <v>34500</v>
      </c>
      <c r="O90" s="422" t="str">
        <f t="shared" ca="1" si="62"/>
        <v>23.10</v>
      </c>
      <c r="P90" s="413">
        <f>VLOOKUP(B90,MASTER!$B$8:$V$1435,16,FALSE)</f>
        <v>45669</v>
      </c>
      <c r="Q90" s="414" t="str">
        <f>VLOOKUP(B90,MASTER!$B$8:$V$1435,17,FALSE)</f>
        <v>I</v>
      </c>
      <c r="R90" s="411" t="str">
        <f>VLOOKUP(B90,MASTER!$B$8:$V$1435,18,FALSE)</f>
        <v>SMA</v>
      </c>
      <c r="S90" s="411" t="str">
        <f>VLOOKUP(B90,MASTER!$B$8:$V$1435,19,FALSE)</f>
        <v>SLTA</v>
      </c>
      <c r="T90" s="418" t="str">
        <f>VLOOKUP(B90,MASTER!$B$8:$V$1435,20,FALSE)</f>
        <v>-</v>
      </c>
      <c r="U90" s="415" t="str">
        <f>VLOOKUP($B90,ALAMAT!$A$1:E318,4)</f>
        <v>Komp.Jaka Kencana A/86 RT.002  RW.004 Jaka Setya Bekasi Selatan</v>
      </c>
      <c r="X90" s="407">
        <f t="shared" ca="1" si="59"/>
        <v>49</v>
      </c>
      <c r="Y90" s="407">
        <f t="shared" ca="1" si="60"/>
        <v>23</v>
      </c>
    </row>
    <row r="91" spans="1:25" s="407" customFormat="1" ht="12.75" customHeight="1">
      <c r="A91" s="430">
        <v>14</v>
      </c>
      <c r="B91" s="821">
        <v>8415</v>
      </c>
      <c r="C91" s="410" t="str">
        <f>VLOOKUP(B91,MASTER!$B$8:$C$137,2,FALSE)</f>
        <v>AGUS BUDI SETIYO PRIYONO</v>
      </c>
      <c r="D91" s="409" t="s">
        <v>2340</v>
      </c>
      <c r="E91" s="410" t="s">
        <v>183</v>
      </c>
      <c r="F91" s="736" t="s">
        <v>18</v>
      </c>
      <c r="G91" s="411" t="str">
        <f>VLOOKUP(B91,MASTER!$B$8:$H$1435,6,FALSE)</f>
        <v>K</v>
      </c>
      <c r="H91" s="411">
        <f>VLOOKUP(B91,MASTER!$B$8:$H$1435,7,FALSE)</f>
        <v>1</v>
      </c>
      <c r="I91" s="411">
        <f>VLOOKUP(B91,MASTER!$B$8:$V$1435,8,FALSE)</f>
        <v>1</v>
      </c>
      <c r="J91" s="411" t="str">
        <f>VLOOKUP(B91,MASTER!$B$8:$V$1435,9,FALSE)</f>
        <v>L</v>
      </c>
      <c r="K91" s="423" t="str">
        <f>VLOOKUP(B91,MASTER!$B$8:$V$1435,10,FALSE)</f>
        <v>PONOROGO</v>
      </c>
      <c r="L91" s="413">
        <f>VLOOKUP(B91,MASTER!$B$8:$V$1435,11,FALSE)</f>
        <v>27766</v>
      </c>
      <c r="M91" s="422" t="str">
        <f t="shared" ca="1" si="61"/>
        <v>42.3</v>
      </c>
      <c r="N91" s="413">
        <f>VLOOKUP(B91,MASTER!$B$8:$V$1435,14,FALSE)</f>
        <v>35096</v>
      </c>
      <c r="O91" s="422" t="str">
        <f t="shared" ca="1" si="62"/>
        <v>22.2</v>
      </c>
      <c r="P91" s="413">
        <f>VLOOKUP(B91,MASTER!$B$8:$V$1435,16,FALSE)</f>
        <v>48220</v>
      </c>
      <c r="Q91" s="414" t="str">
        <f>VLOOKUP(B91,MASTER!$B$8:$V$1435,17,FALSE)</f>
        <v>I</v>
      </c>
      <c r="R91" s="411" t="str">
        <f>VLOOKUP(B91,MASTER!$B$8:$V$1435,18,FALSE)</f>
        <v>SMA</v>
      </c>
      <c r="S91" s="411" t="str">
        <f>VLOOKUP(B91,MASTER!$B$8:$V$1435,19,FALSE)</f>
        <v>SLTA</v>
      </c>
      <c r="T91" s="418" t="str">
        <f>VLOOKUP(B91,MASTER!$B$8:$V$1435,20,FALSE)</f>
        <v>B</v>
      </c>
      <c r="U91" s="415" t="str">
        <f>VLOOKUP($B91,ALAMAT!$A$1:E319,4)</f>
        <v>Puri Asri Jl.Merdeka III No.16  RT.004 RW.004 Beji Ungaran Timur</v>
      </c>
      <c r="X91" s="407">
        <f t="shared" ca="1" si="59"/>
        <v>42</v>
      </c>
      <c r="Y91" s="407">
        <f t="shared" ca="1" si="60"/>
        <v>22</v>
      </c>
    </row>
    <row r="92" spans="1:25" s="407" customFormat="1" ht="12.95" customHeight="1">
      <c r="A92" s="430">
        <v>15</v>
      </c>
      <c r="B92" s="821">
        <v>2227</v>
      </c>
      <c r="C92" s="410" t="str">
        <f>VLOOKUP(B92,MASTER!$B$8:$C$137,2,FALSE)</f>
        <v>DARYANTO (MPP)</v>
      </c>
      <c r="D92" s="409" t="s">
        <v>2340</v>
      </c>
      <c r="E92" s="410" t="s">
        <v>183</v>
      </c>
      <c r="F92" s="736" t="s">
        <v>18</v>
      </c>
      <c r="G92" s="411" t="str">
        <f>VLOOKUP(B92,MASTER!$B$8:$H$1435,6,FALSE)</f>
        <v>K</v>
      </c>
      <c r="H92" s="411">
        <f>VLOOKUP(B92,MASTER!$B$8:$H$1435,7,FALSE)</f>
        <v>3</v>
      </c>
      <c r="I92" s="411">
        <f>VLOOKUP(B92,MASTER!$B$8:$V$1435,8,FALSE)</f>
        <v>1</v>
      </c>
      <c r="J92" s="411" t="str">
        <f>VLOOKUP(B92,MASTER!$B$8:$V$1435,9,FALSE)</f>
        <v>L</v>
      </c>
      <c r="K92" s="423" t="str">
        <f>VLOOKUP(B92,MASTER!$B$8:$V$1435,10,FALSE)</f>
        <v>SEMARANG</v>
      </c>
      <c r="L92" s="413">
        <f>VLOOKUP(B92,MASTER!$B$8:$V$1435,11,FALSE)</f>
        <v>22716</v>
      </c>
      <c r="M92" s="422" t="str">
        <f t="shared" ca="1" si="61"/>
        <v>56.1</v>
      </c>
      <c r="N92" s="413">
        <f>VLOOKUP(B92,MASTER!$B$8:$V$1435,14,FALSE)</f>
        <v>30501</v>
      </c>
      <c r="O92" s="422" t="str">
        <f t="shared" ca="1" si="62"/>
        <v>34.9</v>
      </c>
      <c r="P92" s="413">
        <f>VLOOKUP(B92,MASTER!$B$8:$V$1435,16,FALSE)</f>
        <v>43170</v>
      </c>
      <c r="Q92" s="414" t="str">
        <f>VLOOKUP(B92,MASTER!$B$8:$V$1435,17,FALSE)</f>
        <v>I</v>
      </c>
      <c r="R92" s="411" t="str">
        <f>VLOOKUP(B92,MASTER!$B$8:$V$1435,18,FALSE)</f>
        <v>SMA</v>
      </c>
      <c r="S92" s="411" t="str">
        <f>VLOOKUP(B92,MASTER!$B$8:$V$1435,19,FALSE)</f>
        <v>S1</v>
      </c>
      <c r="T92" s="418" t="str">
        <f>VLOOKUP(B92,MASTER!$B$8:$V$1435,20,FALSE)</f>
        <v>O</v>
      </c>
      <c r="U92" s="415" t="str">
        <f>VLOOKUP($B92,ALAMAT!$A$1:E320,4)</f>
        <v>JL. Jomblang Barat 520 RT.004 RW.003  Candi,Candisari Semarang</v>
      </c>
      <c r="X92" s="407">
        <f t="shared" ca="1" si="59"/>
        <v>56</v>
      </c>
      <c r="Y92" s="407">
        <f t="shared" ca="1" si="60"/>
        <v>34</v>
      </c>
    </row>
    <row r="93" spans="1:25" s="407" customFormat="1" ht="12.95" customHeight="1">
      <c r="A93" s="430">
        <v>16</v>
      </c>
      <c r="B93" s="821">
        <v>4676</v>
      </c>
      <c r="C93" s="410" t="str">
        <f>VLOOKUP(B93,MASTER!$B$8:$C$137,2,FALSE)</f>
        <v>SUDIRO</v>
      </c>
      <c r="D93" s="409" t="s">
        <v>2341</v>
      </c>
      <c r="E93" s="410" t="s">
        <v>206</v>
      </c>
      <c r="F93" s="736" t="s">
        <v>18</v>
      </c>
      <c r="G93" s="411" t="str">
        <f>VLOOKUP(B93,MASTER!$B$8:$H$1435,6,FALSE)</f>
        <v>K</v>
      </c>
      <c r="H93" s="411">
        <f>VLOOKUP(B93,MASTER!$B$8:$H$1435,7,FALSE)</f>
        <v>2</v>
      </c>
      <c r="I93" s="411">
        <f>VLOOKUP(B93,MASTER!$B$8:$V$1435,8,FALSE)</f>
        <v>1</v>
      </c>
      <c r="J93" s="411" t="str">
        <f>VLOOKUP(B93,MASTER!$B$8:$V$1435,9,FALSE)</f>
        <v>L</v>
      </c>
      <c r="K93" s="423" t="str">
        <f>VLOOKUP(B93,MASTER!$B$8:$V$1435,10,FALSE)</f>
        <v>SEMARANG</v>
      </c>
      <c r="L93" s="413">
        <f>VLOOKUP(B93,MASTER!$B$8:$V$1435,11,FALSE)</f>
        <v>23865</v>
      </c>
      <c r="M93" s="422" t="str">
        <f t="shared" ca="1" si="61"/>
        <v>52.11</v>
      </c>
      <c r="N93" s="413">
        <f>VLOOKUP(B93,MASTER!$B$8:$V$1435,14,FALSE)</f>
        <v>32025</v>
      </c>
      <c r="O93" s="422" t="str">
        <f t="shared" ca="1" si="62"/>
        <v>30.7</v>
      </c>
      <c r="P93" s="413">
        <f>VLOOKUP(B93,MASTER!$B$8:$V$1435,16,FALSE)</f>
        <v>44319</v>
      </c>
      <c r="Q93" s="414" t="str">
        <f>VLOOKUP(B93,MASTER!$B$8:$V$1435,17,FALSE)</f>
        <v>I</v>
      </c>
      <c r="R93" s="411" t="str">
        <f>VLOOKUP(B93,MASTER!$B$8:$V$1435,18,FALSE)</f>
        <v>SMA</v>
      </c>
      <c r="S93" s="411" t="str">
        <f>VLOOKUP(B93,MASTER!$B$8:$V$1435,19,FALSE)</f>
        <v>S1</v>
      </c>
      <c r="T93" s="418" t="str">
        <f>VLOOKUP(B93,MASTER!$B$8:$V$1435,20,FALSE)</f>
        <v>AB</v>
      </c>
      <c r="U93" s="415" t="str">
        <f>VLOOKUP($B93,ALAMAT!$A$1:E321,4)</f>
        <v>Jl.Kenanga Raya 28 Rejosari RT.005 RW.002 Genuk Ungaran</v>
      </c>
      <c r="X93" s="407">
        <f t="shared" ca="1" si="59"/>
        <v>52</v>
      </c>
      <c r="Y93" s="407">
        <f t="shared" ca="1" si="60"/>
        <v>30</v>
      </c>
    </row>
    <row r="94" spans="1:25" s="407" customFormat="1" ht="12.75">
      <c r="A94" s="430">
        <v>17</v>
      </c>
      <c r="B94" s="821">
        <v>4884</v>
      </c>
      <c r="C94" s="410" t="str">
        <f>VLOOKUP(B94,MASTER!$B$8:$C$137,2,FALSE)</f>
        <v>BUDIYONO</v>
      </c>
      <c r="D94" s="409" t="s">
        <v>2341</v>
      </c>
      <c r="E94" s="410" t="s">
        <v>206</v>
      </c>
      <c r="F94" s="736" t="s">
        <v>18</v>
      </c>
      <c r="G94" s="411" t="str">
        <f>VLOOKUP(B94,MASTER!$B$8:$H$1435,6,FALSE)</f>
        <v>K</v>
      </c>
      <c r="H94" s="411">
        <f>VLOOKUP(B94,MASTER!$B$8:$H$1435,7,FALSE)</f>
        <v>4</v>
      </c>
      <c r="I94" s="411">
        <f>VLOOKUP(B94,MASTER!$B$8:$V$1435,8,FALSE)</f>
        <v>2</v>
      </c>
      <c r="J94" s="411" t="str">
        <f>VLOOKUP(B94,MASTER!$B$8:$V$1435,9,FALSE)</f>
        <v>L</v>
      </c>
      <c r="K94" s="423" t="str">
        <f>VLOOKUP(B94,MASTER!$B$8:$V$1435,10,FALSE)</f>
        <v>SEMARANG</v>
      </c>
      <c r="L94" s="413">
        <f>VLOOKUP(B94,MASTER!$B$8:$V$1435,11,FALSE)</f>
        <v>24630</v>
      </c>
      <c r="M94" s="422" t="str">
        <f t="shared" ca="1" si="61"/>
        <v>50.10</v>
      </c>
      <c r="N94" s="413">
        <f>VLOOKUP(B94,MASTER!$B$8:$V$1435,14,FALSE)</f>
        <v>32235</v>
      </c>
      <c r="O94" s="422" t="str">
        <f t="shared" ca="1" si="62"/>
        <v>30.0</v>
      </c>
      <c r="P94" s="413">
        <f>VLOOKUP(B94,MASTER!$B$8:$V$1435,16,FALSE)</f>
        <v>45084</v>
      </c>
      <c r="Q94" s="414" t="str">
        <f>VLOOKUP(B94,MASTER!$B$8:$V$1435,17,FALSE)</f>
        <v>I</v>
      </c>
      <c r="R94" s="411" t="str">
        <f>VLOOKUP(B94,MASTER!$B$8:$V$1435,18,FALSE)</f>
        <v>SMA</v>
      </c>
      <c r="S94" s="411" t="str">
        <f>VLOOKUP(B94,MASTER!$B$8:$V$1435,19,FALSE)</f>
        <v>SLTA</v>
      </c>
      <c r="T94" s="418" t="str">
        <f>VLOOKUP(B94,MASTER!$B$8:$V$1435,20,FALSE)</f>
        <v>AB</v>
      </c>
      <c r="U94" s="415" t="str">
        <f>VLOOKUP($B94,ALAMAT!$A$1:E322,4)</f>
        <v>Jl. Waru Timur II RT.009 RW.001Pedalangan Banyumanik, Semarang</v>
      </c>
      <c r="X94" s="407">
        <f t="shared" ca="1" si="59"/>
        <v>50</v>
      </c>
      <c r="Y94" s="407">
        <f t="shared" ca="1" si="60"/>
        <v>30</v>
      </c>
    </row>
    <row r="95" spans="1:25" s="407" customFormat="1" ht="12.95" customHeight="1">
      <c r="A95" s="430">
        <v>18</v>
      </c>
      <c r="B95" s="821">
        <v>5372</v>
      </c>
      <c r="C95" s="410" t="str">
        <f>VLOOKUP(B95,MASTER!$B$8:$C$137,2,FALSE)</f>
        <v>PARIJAN</v>
      </c>
      <c r="D95" s="409" t="s">
        <v>2341</v>
      </c>
      <c r="E95" s="410" t="s">
        <v>206</v>
      </c>
      <c r="F95" s="736" t="s">
        <v>18</v>
      </c>
      <c r="G95" s="411" t="str">
        <f>VLOOKUP(B95,MASTER!$B$8:$H$1435,6,FALSE)</f>
        <v>K</v>
      </c>
      <c r="H95" s="411">
        <f>VLOOKUP(B95,MASTER!$B$8:$H$1435,7,FALSE)</f>
        <v>2</v>
      </c>
      <c r="I95" s="411">
        <f>VLOOKUP(B95,MASTER!$B$8:$V$1435,8,FALSE)</f>
        <v>1</v>
      </c>
      <c r="J95" s="411" t="str">
        <f>VLOOKUP(B95,MASTER!$B$8:$V$1435,9,FALSE)</f>
        <v>L</v>
      </c>
      <c r="K95" s="423" t="str">
        <f>VLOOKUP(B95,MASTER!$B$8:$V$1435,10,FALSE)</f>
        <v>SLEMAN</v>
      </c>
      <c r="L95" s="413">
        <f>VLOOKUP(B95,MASTER!$B$8:$V$1435,11,FALSE)</f>
        <v>23894</v>
      </c>
      <c r="M95" s="422" t="str">
        <f t="shared" ca="1" si="61"/>
        <v>52.10</v>
      </c>
      <c r="N95" s="413">
        <f>VLOOKUP(B95,MASTER!$B$8:$V$1435,14,FALSE)</f>
        <v>32524</v>
      </c>
      <c r="O95" s="422" t="str">
        <f t="shared" ca="1" si="62"/>
        <v>29.3</v>
      </c>
      <c r="P95" s="413">
        <f>VLOOKUP(B95,MASTER!$B$8:$V$1435,16,FALSE)</f>
        <v>44348</v>
      </c>
      <c r="Q95" s="414" t="str">
        <f>VLOOKUP(B95,MASTER!$B$8:$V$1435,17,FALSE)</f>
        <v>I</v>
      </c>
      <c r="R95" s="411" t="str">
        <f>VLOOKUP(B95,MASTER!$B$8:$V$1435,18,FALSE)</f>
        <v>STM</v>
      </c>
      <c r="S95" s="411" t="str">
        <f>VLOOKUP(B95,MASTER!$B$8:$V$1435,19,FALSE)</f>
        <v>SLTA</v>
      </c>
      <c r="T95" s="418" t="str">
        <f>VLOOKUP(B95,MASTER!$B$8:$V$1435,20,FALSE)</f>
        <v>O</v>
      </c>
      <c r="U95" s="415" t="str">
        <f>VLOOKUP($B95,ALAMAT!$A$1:E323,4)</f>
        <v>Jl.Brantas I No.4 RT.002 RW.013 Beji Ungaran Timur</v>
      </c>
      <c r="X95" s="407">
        <f t="shared" ca="1" si="59"/>
        <v>52</v>
      </c>
      <c r="Y95" s="407">
        <f t="shared" ca="1" si="60"/>
        <v>29</v>
      </c>
    </row>
    <row r="96" spans="1:25" s="407" customFormat="1" ht="12.95" customHeight="1">
      <c r="A96" s="430">
        <v>19</v>
      </c>
      <c r="B96" s="821">
        <v>7404</v>
      </c>
      <c r="C96" s="410" t="str">
        <f>VLOOKUP(B96,MASTER!$B$8:$C$137,2,FALSE)</f>
        <v>DJOKO</v>
      </c>
      <c r="D96" s="409" t="s">
        <v>2341</v>
      </c>
      <c r="E96" s="410" t="s">
        <v>206</v>
      </c>
      <c r="F96" s="736" t="s">
        <v>18</v>
      </c>
      <c r="G96" s="411" t="str">
        <f>VLOOKUP(B96,MASTER!$B$8:$H$1435,6,FALSE)</f>
        <v>K</v>
      </c>
      <c r="H96" s="411">
        <f>VLOOKUP(B96,MASTER!$B$8:$H$1435,7,FALSE)</f>
        <v>1</v>
      </c>
      <c r="I96" s="411">
        <f>VLOOKUP(B96,MASTER!$B$8:$V$1435,8,FALSE)</f>
        <v>1</v>
      </c>
      <c r="J96" s="411" t="str">
        <f>VLOOKUP(B96,MASTER!$B$8:$V$1435,9,FALSE)</f>
        <v>L</v>
      </c>
      <c r="K96" s="423" t="str">
        <f>VLOOKUP(B96,MASTER!$B$8:$V$1435,10,FALSE)</f>
        <v>SEMARANG</v>
      </c>
      <c r="L96" s="413">
        <f>VLOOKUP(B96,MASTER!$B$8:$V$1435,11,FALSE)</f>
        <v>25962</v>
      </c>
      <c r="M96" s="422" t="str">
        <f t="shared" ca="1" si="61"/>
        <v>47.3</v>
      </c>
      <c r="N96" s="413">
        <f>VLOOKUP(B96,MASTER!$B$8:$V$1435,14,FALSE)</f>
        <v>34379</v>
      </c>
      <c r="O96" s="422" t="str">
        <f t="shared" ca="1" si="62"/>
        <v>24.2</v>
      </c>
      <c r="P96" s="413">
        <f>VLOOKUP(B96,MASTER!$B$8:$V$1435,16,FALSE)</f>
        <v>46416</v>
      </c>
      <c r="Q96" s="414" t="str">
        <f>VLOOKUP(B96,MASTER!$B$8:$V$1435,17,FALSE)</f>
        <v>I</v>
      </c>
      <c r="R96" s="411" t="str">
        <f>VLOOKUP(B96,MASTER!$B$8:$V$1435,18,FALSE)</f>
        <v>SMA</v>
      </c>
      <c r="S96" s="411" t="str">
        <f>VLOOKUP(B96,MASTER!$B$8:$V$1435,19,FALSE)</f>
        <v>SLTA</v>
      </c>
      <c r="T96" s="418" t="str">
        <f>VLOOKUP(B96,MASTER!$B$8:$V$1435,20,FALSE)</f>
        <v>O</v>
      </c>
      <c r="U96" s="415" t="str">
        <f>VLOOKUP($B96,ALAMAT!$A$1:E324,4)</f>
        <v>Jl Mugas DalamVI/14Rt 08 Rw 03 Mugassari Semarang</v>
      </c>
      <c r="X96" s="407">
        <f t="shared" ca="1" si="59"/>
        <v>47</v>
      </c>
      <c r="Y96" s="407">
        <f t="shared" ca="1" si="60"/>
        <v>24</v>
      </c>
    </row>
    <row r="97" spans="1:25" s="407" customFormat="1" ht="12.95" customHeight="1">
      <c r="A97" s="430">
        <v>20</v>
      </c>
      <c r="B97" s="817">
        <v>8259</v>
      </c>
      <c r="C97" s="410" t="str">
        <f>VLOOKUP(B97,MASTER!$B$8:$C$137,2,FALSE)</f>
        <v>SUHARTO</v>
      </c>
      <c r="D97" s="409" t="s">
        <v>2341</v>
      </c>
      <c r="E97" s="410" t="s">
        <v>206</v>
      </c>
      <c r="F97" s="736" t="s">
        <v>18</v>
      </c>
      <c r="G97" s="411" t="str">
        <f>VLOOKUP(B97,MASTER!$B$8:$H$1435,6,FALSE)</f>
        <v>K</v>
      </c>
      <c r="H97" s="411">
        <f>VLOOKUP(B97,MASTER!$B$8:$H$1435,7,FALSE)</f>
        <v>3</v>
      </c>
      <c r="I97" s="411">
        <f>VLOOKUP(B97,MASTER!$B$8:$V$1435,8,FALSE)</f>
        <v>3</v>
      </c>
      <c r="J97" s="411" t="str">
        <f>VLOOKUP(B97,MASTER!$B$8:$V$1435,9,FALSE)</f>
        <v>L</v>
      </c>
      <c r="K97" s="423" t="str">
        <f>VLOOKUP(B97,MASTER!$B$8:$V$1435,10,FALSE)</f>
        <v>BATANG</v>
      </c>
      <c r="L97" s="413">
        <f>VLOOKUP(B97,MASTER!$B$8:$V$1435,11,FALSE)</f>
        <v>26453</v>
      </c>
      <c r="M97" s="422" t="str">
        <f t="shared" ca="1" si="61"/>
        <v>45.10</v>
      </c>
      <c r="N97" s="413">
        <f>VLOOKUP(B97,MASTER!$B$8:$V$1435,14,FALSE)</f>
        <v>33208</v>
      </c>
      <c r="O97" s="422" t="str">
        <f t="shared" ca="1" si="62"/>
        <v>27.4</v>
      </c>
      <c r="P97" s="413">
        <f>VLOOKUP(B97,MASTER!$B$8:$V$1435,16,FALSE)</f>
        <v>47272</v>
      </c>
      <c r="Q97" s="414" t="str">
        <f>VLOOKUP(B97,MASTER!$B$8:$V$1435,17,FALSE)</f>
        <v>I</v>
      </c>
      <c r="R97" s="411" t="str">
        <f>VLOOKUP(B97,MASTER!$B$8:$V$1435,18,FALSE)</f>
        <v>SMA</v>
      </c>
      <c r="S97" s="411" t="str">
        <f>VLOOKUP(B97,MASTER!$B$8:$V$1435,19,FALSE)</f>
        <v>SLTA</v>
      </c>
      <c r="T97" s="418" t="str">
        <f>VLOOKUP(B97,MASTER!$B$8:$V$1435,20,FALSE)</f>
        <v>-</v>
      </c>
      <c r="U97" s="415" t="str">
        <f>VLOOKUP($B97,ALAMAT!$A$1:E328,4)</f>
        <v>jl Jatisari Rt04 Rw 01Jatisari Subah Batang</v>
      </c>
      <c r="X97" s="407">
        <f t="shared" ca="1" si="59"/>
        <v>45</v>
      </c>
      <c r="Y97" s="407">
        <f t="shared" ca="1" si="60"/>
        <v>27</v>
      </c>
    </row>
    <row r="98" spans="1:25" s="407" customFormat="1" ht="12.95" customHeight="1">
      <c r="A98" s="430">
        <v>21</v>
      </c>
      <c r="B98" s="817">
        <v>8617</v>
      </c>
      <c r="C98" s="410" t="str">
        <f>VLOOKUP(B98,MASTER!$B$8:$C$137,2,FALSE)</f>
        <v>HARIYANTO</v>
      </c>
      <c r="D98" s="409" t="s">
        <v>2342</v>
      </c>
      <c r="E98" s="410" t="s">
        <v>224</v>
      </c>
      <c r="F98" s="736" t="s">
        <v>18</v>
      </c>
      <c r="G98" s="411" t="str">
        <f>VLOOKUP(B98,MASTER!$B$8:$H$1435,6,FALSE)</f>
        <v>K</v>
      </c>
      <c r="H98" s="411">
        <f>VLOOKUP(B98,MASTER!$B$8:$H$1435,7,FALSE)</f>
        <v>2</v>
      </c>
      <c r="I98" s="411">
        <f>VLOOKUP(B98,MASTER!$B$8:$V$1435,8,FALSE)</f>
        <v>2</v>
      </c>
      <c r="J98" s="411" t="str">
        <f>VLOOKUP(B98,MASTER!$B$8:$V$1435,9,FALSE)</f>
        <v>L</v>
      </c>
      <c r="K98" s="423" t="str">
        <f>VLOOKUP(B98,MASTER!$B$8:$V$1435,10,FALSE)</f>
        <v>KULON PROGO</v>
      </c>
      <c r="L98" s="413">
        <f>VLOOKUP(B98,MASTER!$B$8:$V$1435,11,FALSE)</f>
        <v>28080</v>
      </c>
      <c r="M98" s="422" t="str">
        <f t="shared" ca="1" si="61"/>
        <v>41.5</v>
      </c>
      <c r="N98" s="413">
        <f>VLOOKUP(B98,MASTER!$B$8:$V$1435,14,FALSE)</f>
        <v>35289</v>
      </c>
      <c r="O98" s="422" t="str">
        <f t="shared" ca="1" si="62"/>
        <v>21.8</v>
      </c>
      <c r="P98" s="413">
        <f>VLOOKUP(B98,MASTER!$B$8:$V$1435,16,FALSE)</f>
        <v>48369</v>
      </c>
      <c r="Q98" s="414" t="str">
        <f>VLOOKUP(B98,MASTER!$B$8:$V$1435,17,FALSE)</f>
        <v>I</v>
      </c>
      <c r="R98" s="411" t="str">
        <f>VLOOKUP(B98,MASTER!$B$8:$V$1435,18,FALSE)</f>
        <v>SMEA</v>
      </c>
      <c r="S98" s="411" t="str">
        <f>VLOOKUP(B98,MASTER!$B$8:$V$1435,19,FALSE)</f>
        <v>SLTA</v>
      </c>
      <c r="T98" s="418" t="str">
        <f>VLOOKUP(B98,MASTER!$B$8:$V$1435,20,FALSE)</f>
        <v>A</v>
      </c>
      <c r="U98" s="415" t="str">
        <f>VLOOKUP($B98,ALAMAT!$A$1:E329,4)</f>
        <v>Puri Dinar Elok F13 No.2 RT.008 RW.021 Meteseh Tembalang Semarang</v>
      </c>
      <c r="X98" s="407">
        <f t="shared" ca="1" si="59"/>
        <v>41</v>
      </c>
      <c r="Y98" s="407">
        <f t="shared" ca="1" si="60"/>
        <v>21</v>
      </c>
    </row>
    <row r="99" spans="1:25" s="407" customFormat="1" ht="12.95" customHeight="1">
      <c r="A99" s="430">
        <v>22</v>
      </c>
      <c r="B99" s="821">
        <v>9539</v>
      </c>
      <c r="C99" s="410" t="str">
        <f>VLOOKUP(B99,MASTER!$B$8:$C$137,2,FALSE)</f>
        <v>HADI PRASTOWO</v>
      </c>
      <c r="D99" s="409" t="s">
        <v>2342</v>
      </c>
      <c r="E99" s="410" t="s">
        <v>224</v>
      </c>
      <c r="F99" s="736" t="s">
        <v>18</v>
      </c>
      <c r="G99" s="411" t="str">
        <f>VLOOKUP(B99,MASTER!$B$8:$H$1435,6,FALSE)</f>
        <v>K</v>
      </c>
      <c r="H99" s="411">
        <f>VLOOKUP(B99,MASTER!$B$8:$H$1435,7,FALSE)</f>
        <v>2</v>
      </c>
      <c r="I99" s="411">
        <f>VLOOKUP(B99,MASTER!$B$8:$V$1435,8,FALSE)</f>
        <v>2</v>
      </c>
      <c r="J99" s="411" t="str">
        <f>VLOOKUP(B99,MASTER!$B$8:$V$1435,9,FALSE)</f>
        <v>L</v>
      </c>
      <c r="K99" s="423" t="str">
        <f>VLOOKUP(B99,MASTER!$B$8:$V$1435,10,FALSE)</f>
        <v>SEMARANG</v>
      </c>
      <c r="L99" s="413">
        <f>VLOOKUP(B99,MASTER!$B$8:$V$1435,11,FALSE)</f>
        <v>27090</v>
      </c>
      <c r="M99" s="422" t="str">
        <f t="shared" ca="1" si="61"/>
        <v>44.1</v>
      </c>
      <c r="N99" s="413">
        <f>VLOOKUP(B99,MASTER!$B$8:$V$1435,14,FALSE)</f>
        <v>35807</v>
      </c>
      <c r="O99" s="422" t="str">
        <f t="shared" ca="1" si="62"/>
        <v>20.3</v>
      </c>
      <c r="P99" s="413">
        <f>VLOOKUP(B99,MASTER!$B$8:$V$1435,16,FALSE)</f>
        <v>47544</v>
      </c>
      <c r="Q99" s="414" t="str">
        <f>VLOOKUP(B99,MASTER!$B$8:$V$1435,17,FALSE)</f>
        <v>I</v>
      </c>
      <c r="R99" s="411" t="str">
        <f>VLOOKUP(B99,MASTER!$B$8:$V$1435,18,FALSE)</f>
        <v>SMA</v>
      </c>
      <c r="S99" s="411" t="str">
        <f>VLOOKUP(B99,MASTER!$B$8:$V$1435,19,FALSE)</f>
        <v>SLTA</v>
      </c>
      <c r="T99" s="418" t="str">
        <f>VLOOKUP(B99,MASTER!$B$8:$V$1435,20,FALSE)</f>
        <v>-</v>
      </c>
      <c r="U99" s="415" t="str">
        <f>VLOOKUP($B99,ALAMAT!$A$1:E331,4)</f>
        <v>Jl Satria Selatan V Bl H No 362A Rt 08 Rw 04 Plombokan Semarang</v>
      </c>
      <c r="X99" s="407">
        <f t="shared" ca="1" si="59"/>
        <v>44</v>
      </c>
      <c r="Y99" s="407">
        <f t="shared" ca="1" si="60"/>
        <v>20</v>
      </c>
    </row>
    <row r="100" spans="1:25" s="407" customFormat="1" ht="12.95" customHeight="1">
      <c r="A100" s="430">
        <v>23</v>
      </c>
      <c r="B100" s="817">
        <v>9997</v>
      </c>
      <c r="C100" s="410" t="str">
        <f>VLOOKUP(B100,MASTER!$B$8:$C$137,2,FALSE)</f>
        <v>SUGENG ARIYANTO</v>
      </c>
      <c r="D100" s="409" t="s">
        <v>2342</v>
      </c>
      <c r="E100" s="410" t="s">
        <v>224</v>
      </c>
      <c r="F100" s="736" t="s">
        <v>18</v>
      </c>
      <c r="G100" s="411" t="str">
        <f>VLOOKUP(B100,MASTER!$B$8:$H$1435,6,FALSE)</f>
        <v>K</v>
      </c>
      <c r="H100" s="411">
        <f>VLOOKUP(B100,MASTER!$B$8:$H$1435,7,FALSE)</f>
        <v>2</v>
      </c>
      <c r="I100" s="411">
        <f>VLOOKUP(B100,MASTER!$B$8:$V$1435,8,FALSE)</f>
        <v>2</v>
      </c>
      <c r="J100" s="411" t="str">
        <f>VLOOKUP(B100,MASTER!$B$8:$V$1435,9,FALSE)</f>
        <v>L</v>
      </c>
      <c r="K100" s="423" t="str">
        <f>VLOOKUP(B100,MASTER!$B$8:$V$1435,10,FALSE)</f>
        <v>KAB.SEMARANG</v>
      </c>
      <c r="L100" s="413">
        <f>VLOOKUP(B100,MASTER!$B$8:$V$1435,11,FALSE)</f>
        <v>29841</v>
      </c>
      <c r="M100" s="422" t="str">
        <f t="shared" ca="1" si="61"/>
        <v>36.7</v>
      </c>
      <c r="N100" s="413">
        <f>VLOOKUP(B100,MASTER!$B$8:$V$1435,14,FALSE)</f>
        <v>36720</v>
      </c>
      <c r="O100" s="422" t="str">
        <f t="shared" ca="1" si="62"/>
        <v>17.9</v>
      </c>
      <c r="P100" s="413">
        <f>VLOOKUP(B100,MASTER!$B$8:$V$1435,16,FALSE)</f>
        <v>50295</v>
      </c>
      <c r="Q100" s="414" t="str">
        <f>VLOOKUP(B100,MASTER!$B$8:$V$1435,17,FALSE)</f>
        <v>I</v>
      </c>
      <c r="R100" s="411" t="str">
        <f>VLOOKUP(B100,MASTER!$B$8:$V$1435,18,FALSE)</f>
        <v>SMA</v>
      </c>
      <c r="S100" s="411" t="str">
        <f>VLOOKUP(B100,MASTER!$B$8:$V$1435,19,FALSE)</f>
        <v>SLTA</v>
      </c>
      <c r="T100" s="418" t="str">
        <f>VLOOKUP(B100,MASTER!$B$8:$V$1435,20,FALSE)</f>
        <v>-</v>
      </c>
      <c r="U100" s="415" t="str">
        <f>VLOOKUP($B100,ALAMAT!$A$1:E334,4)</f>
        <v>Kintelan Lor RT.003 RW.003 Candi Rejo Tuntang Semarang</v>
      </c>
      <c r="X100" s="407">
        <f t="shared" ca="1" si="59"/>
        <v>36</v>
      </c>
      <c r="Y100" s="407">
        <f t="shared" ca="1" si="60"/>
        <v>17</v>
      </c>
    </row>
    <row r="101" spans="1:25" s="407" customFormat="1" ht="12.95" customHeight="1">
      <c r="A101" s="430">
        <v>24</v>
      </c>
      <c r="B101" s="817">
        <v>10160</v>
      </c>
      <c r="C101" s="410" t="str">
        <f>VLOOKUP(B101,MASTER!$B$8:$C$137,2,FALSE)</f>
        <v>MARYADI</v>
      </c>
      <c r="D101" s="409" t="s">
        <v>2342</v>
      </c>
      <c r="E101" s="410" t="s">
        <v>224</v>
      </c>
      <c r="F101" s="736" t="s">
        <v>18</v>
      </c>
      <c r="G101" s="411" t="str">
        <f>VLOOKUP(B101,MASTER!$B$8:$H$1435,6,FALSE)</f>
        <v>K</v>
      </c>
      <c r="H101" s="411">
        <f>VLOOKUP(B101,MASTER!$B$8:$H$1435,7,FALSE)</f>
        <v>2</v>
      </c>
      <c r="I101" s="411">
        <f>VLOOKUP(B101,MASTER!$B$8:$V$1435,8,FALSE)</f>
        <v>2</v>
      </c>
      <c r="J101" s="411" t="str">
        <f>VLOOKUP(B101,MASTER!$B$8:$V$1435,9,FALSE)</f>
        <v>L</v>
      </c>
      <c r="K101" s="423" t="str">
        <f>VLOOKUP(B101,MASTER!$B$8:$V$1435,10,FALSE)</f>
        <v>BANTUL</v>
      </c>
      <c r="L101" s="413">
        <f>VLOOKUP(B101,MASTER!$B$8:$V$1435,11,FALSE)</f>
        <v>28816</v>
      </c>
      <c r="M101" s="422" t="str">
        <f t="shared" ca="1" si="61"/>
        <v>39.5</v>
      </c>
      <c r="N101" s="413">
        <f>VLOOKUP(B101,MASTER!$B$8:$V$1435,14,FALSE)</f>
        <v>36997</v>
      </c>
      <c r="O101" s="422" t="str">
        <f t="shared" ca="1" si="62"/>
        <v>17.0</v>
      </c>
      <c r="P101" s="413">
        <f>VLOOKUP(B101,MASTER!$B$8:$V$1435,16,FALSE)</f>
        <v>49270</v>
      </c>
      <c r="Q101" s="414" t="str">
        <f>VLOOKUP(B101,MASTER!$B$8:$V$1435,17,FALSE)</f>
        <v>I</v>
      </c>
      <c r="R101" s="411" t="str">
        <f>VLOOKUP(B101,MASTER!$B$8:$V$1435,18,FALSE)</f>
        <v>SMA</v>
      </c>
      <c r="S101" s="411" t="str">
        <f>VLOOKUP(B101,MASTER!$B$8:$V$1435,19,FALSE)</f>
        <v>SLTA</v>
      </c>
      <c r="T101" s="418" t="str">
        <f>VLOOKUP(B101,MASTER!$B$8:$V$1435,20,FALSE)</f>
        <v>AB</v>
      </c>
      <c r="U101" s="415" t="str">
        <f>VLOOKUP($B101,ALAMAT!$A$1:E335,4)</f>
        <v>Dsn. Jambu Lor RT.006 RW.001 Jambu Kab.Semarang</v>
      </c>
      <c r="X101" s="407">
        <f t="shared" ca="1" si="59"/>
        <v>39</v>
      </c>
      <c r="Y101" s="407">
        <f t="shared" ca="1" si="60"/>
        <v>17</v>
      </c>
    </row>
    <row r="102" spans="1:25" s="407" customFormat="1" ht="12.95" customHeight="1">
      <c r="A102" s="430">
        <v>25</v>
      </c>
      <c r="B102" s="817">
        <v>10308</v>
      </c>
      <c r="C102" s="410" t="str">
        <f>VLOOKUP(B102,MASTER!$B$8:$C$137,2,FALSE)</f>
        <v>AGUS PRIYADI</v>
      </c>
      <c r="D102" s="409" t="s">
        <v>2342</v>
      </c>
      <c r="E102" s="410" t="s">
        <v>224</v>
      </c>
      <c r="F102" s="736" t="s">
        <v>18</v>
      </c>
      <c r="G102" s="411" t="str">
        <f>VLOOKUP(B102,MASTER!$B$8:$H$1435,6,FALSE)</f>
        <v>K</v>
      </c>
      <c r="H102" s="411">
        <f>VLOOKUP(B102,MASTER!$B$8:$H$1435,7,FALSE)</f>
        <v>1</v>
      </c>
      <c r="I102" s="411">
        <f>VLOOKUP(B102,MASTER!$B$8:$V$1435,8,FALSE)</f>
        <v>1</v>
      </c>
      <c r="J102" s="411" t="str">
        <f>VLOOKUP(B102,MASTER!$B$8:$V$1435,9,FALSE)</f>
        <v>L</v>
      </c>
      <c r="K102" s="423" t="str">
        <f>VLOOKUP(B102,MASTER!$B$8:$V$1435,10,FALSE)</f>
        <v>KLATEN</v>
      </c>
      <c r="L102" s="413">
        <f>VLOOKUP(B102,MASTER!$B$8:$V$1435,11,FALSE)</f>
        <v>29079</v>
      </c>
      <c r="M102" s="422" t="str">
        <f t="shared" ca="1" si="61"/>
        <v>38.8</v>
      </c>
      <c r="N102" s="413">
        <f>VLOOKUP(B102,MASTER!$B$8:$V$1435,14,FALSE)</f>
        <v>37510</v>
      </c>
      <c r="O102" s="422" t="str">
        <f t="shared" ca="1" si="62"/>
        <v>15.7</v>
      </c>
      <c r="P102" s="413">
        <f>VLOOKUP(B102,MASTER!$B$8:$V$1435,16,FALSE)</f>
        <v>49533</v>
      </c>
      <c r="Q102" s="414" t="str">
        <f>VLOOKUP(B102,MASTER!$B$8:$V$1435,17,FALSE)</f>
        <v>I</v>
      </c>
      <c r="R102" s="411" t="str">
        <f>VLOOKUP(B102,MASTER!$B$8:$V$1435,18,FALSE)</f>
        <v>SMA</v>
      </c>
      <c r="S102" s="411" t="str">
        <f>VLOOKUP(B102,MASTER!$B$8:$V$1435,19,FALSE)</f>
        <v>SLTA</v>
      </c>
      <c r="T102" s="418" t="str">
        <f>VLOOKUP(B102,MASTER!$B$8:$V$1435,20,FALSE)</f>
        <v>-</v>
      </c>
      <c r="U102" s="415" t="str">
        <f>VLOOKUP($B102,ALAMAT!$A$1:E336,4)</f>
        <v>Dk Mirenglor Rt 07 Rw 03 Mireng Trucuk Klaten Jawa tengah</v>
      </c>
      <c r="X102" s="407">
        <f t="shared" ca="1" si="59"/>
        <v>38</v>
      </c>
      <c r="Y102" s="407">
        <f t="shared" ca="1" si="60"/>
        <v>15</v>
      </c>
    </row>
    <row r="103" spans="1:25" s="407" customFormat="1" ht="12.95" customHeight="1">
      <c r="A103" s="430">
        <v>26</v>
      </c>
      <c r="B103" s="821">
        <v>4883</v>
      </c>
      <c r="C103" s="410" t="str">
        <f>VLOOKUP(B103,MASTER!$B$8:$C$137,2,FALSE)</f>
        <v>SUMENENG</v>
      </c>
      <c r="D103" s="409" t="s">
        <v>2518</v>
      </c>
      <c r="E103" s="410" t="s">
        <v>2519</v>
      </c>
      <c r="F103" s="736" t="s">
        <v>18</v>
      </c>
      <c r="G103" s="411" t="str">
        <f>VLOOKUP(B103,MASTER!$B$8:$H$1435,6,FALSE)</f>
        <v>K</v>
      </c>
      <c r="H103" s="411">
        <f>VLOOKUP(B103,MASTER!$B$8:$H$1435,7,FALSE)</f>
        <v>3</v>
      </c>
      <c r="I103" s="411">
        <f>VLOOKUP(B103,MASTER!$B$8:$V$1435,8,FALSE)</f>
        <v>3</v>
      </c>
      <c r="J103" s="411" t="str">
        <f>VLOOKUP(B103,MASTER!$B$8:$V$1435,9,FALSE)</f>
        <v>L</v>
      </c>
      <c r="K103" s="423" t="str">
        <f>VLOOKUP(B103,MASTER!$B$8:$V$1435,10,FALSE)</f>
        <v>GEBUGAN</v>
      </c>
      <c r="L103" s="413">
        <f>VLOOKUP(B103,MASTER!$B$8:$V$1435,11,FALSE)</f>
        <v>25733</v>
      </c>
      <c r="M103" s="422" t="str">
        <f t="shared" ref="M103" ca="1" si="67">DATEDIF(L103,TODAY(),"Y") &amp; "." &amp;DATEDIF(L103,TODAY(),"YM")</f>
        <v>47.10</v>
      </c>
      <c r="N103" s="413">
        <f>VLOOKUP(B103,MASTER!$B$8:$V$1435,14,FALSE)</f>
        <v>32235</v>
      </c>
      <c r="O103" s="422" t="str">
        <f t="shared" ref="O103" ca="1" si="68">DATEDIF(N103,TODAY(),"Y") &amp; "." &amp;DATEDIF(N103,TODAY(),"YM")</f>
        <v>30.0</v>
      </c>
      <c r="P103" s="413">
        <f>VLOOKUP(B103,MASTER!$B$8:$V$1435,16,FALSE)</f>
        <v>46156</v>
      </c>
      <c r="Q103" s="414" t="str">
        <f>VLOOKUP(B103,MASTER!$B$8:$V$1435,17,FALSE)</f>
        <v>I</v>
      </c>
      <c r="R103" s="411" t="str">
        <f>VLOOKUP(B103,MASTER!$B$8:$V$1435,18,FALSE)</f>
        <v>SMP</v>
      </c>
      <c r="S103" s="411" t="str">
        <f>VLOOKUP(B103,MASTER!$B$8:$V$1435,19,FALSE)</f>
        <v>SLTP</v>
      </c>
      <c r="T103" s="418" t="str">
        <f>VLOOKUP(B103,MASTER!$B$8:$V$1435,20,FALSE)</f>
        <v>O</v>
      </c>
      <c r="U103" s="415" t="str">
        <f>VLOOKUP($B103,ALAMAT!$A$1:E337,4)</f>
        <v>Tegalmelik RT.003 RW.002 Gebugan Bergas Kab.Semarang</v>
      </c>
      <c r="X103" s="407">
        <f t="shared" ca="1" si="59"/>
        <v>47</v>
      </c>
      <c r="Y103" s="407">
        <f t="shared" ca="1" si="60"/>
        <v>30</v>
      </c>
    </row>
    <row r="104" spans="1:25" s="407" customFormat="1" ht="12.95" customHeight="1">
      <c r="A104" s="871">
        <v>26</v>
      </c>
      <c r="B104" s="823"/>
      <c r="C104" s="435"/>
      <c r="D104" s="434"/>
      <c r="E104" s="435"/>
      <c r="F104" s="436"/>
      <c r="G104" s="436"/>
      <c r="H104" s="813">
        <f>SUM(H78:H103)</f>
        <v>56</v>
      </c>
      <c r="I104" s="813">
        <f>SUM(I78:I103)</f>
        <v>47</v>
      </c>
      <c r="J104" s="436"/>
      <c r="K104" s="436"/>
      <c r="L104" s="814"/>
      <c r="M104" s="815"/>
      <c r="N104" s="814"/>
      <c r="O104" s="814"/>
      <c r="P104" s="814"/>
      <c r="Q104" s="436"/>
      <c r="R104" s="436"/>
      <c r="S104" s="436"/>
      <c r="T104" s="441"/>
      <c r="U104" s="816"/>
      <c r="X104" s="407">
        <f t="shared" ca="1" si="59"/>
        <v>118</v>
      </c>
      <c r="Y104" s="407">
        <f t="shared" ca="1" si="60"/>
        <v>118</v>
      </c>
    </row>
    <row r="105" spans="1:25" s="407" customFormat="1" ht="12.95" customHeight="1">
      <c r="A105" s="408"/>
      <c r="B105" s="825" t="s">
        <v>672</v>
      </c>
      <c r="C105" s="426"/>
      <c r="D105" s="426"/>
      <c r="E105" s="426"/>
      <c r="F105" s="426"/>
      <c r="G105" s="411"/>
      <c r="H105" s="411"/>
      <c r="I105" s="411"/>
      <c r="J105" s="411"/>
      <c r="K105" s="411"/>
      <c r="L105" s="427"/>
      <c r="M105" s="417"/>
      <c r="N105" s="427"/>
      <c r="O105" s="427"/>
      <c r="P105" s="427"/>
      <c r="Q105" s="411"/>
      <c r="R105" s="411"/>
      <c r="S105" s="411"/>
      <c r="T105" s="418"/>
      <c r="U105" s="428"/>
      <c r="X105" s="407">
        <f t="shared" ca="1" si="59"/>
        <v>118</v>
      </c>
      <c r="Y105" s="407">
        <f t="shared" ca="1" si="60"/>
        <v>118</v>
      </c>
    </row>
    <row r="106" spans="1:25" s="407" customFormat="1" ht="12.95" customHeight="1">
      <c r="A106" s="421">
        <v>1</v>
      </c>
      <c r="B106" s="817">
        <v>4664</v>
      </c>
      <c r="C106" s="410" t="str">
        <f>VLOOKUP(B106,MASTER!$B$8:$C$137,2,FALSE)</f>
        <v>KUSDIYONO</v>
      </c>
      <c r="D106" s="409" t="s">
        <v>2344</v>
      </c>
      <c r="E106" s="299" t="s">
        <v>251</v>
      </c>
      <c r="F106" s="736" t="s">
        <v>18</v>
      </c>
      <c r="G106" s="411" t="str">
        <f>VLOOKUP(B106,MASTER!$B$8:$H$1435,6,FALSE)</f>
        <v>K</v>
      </c>
      <c r="H106" s="411">
        <f>VLOOKUP(B106,MASTER!$B$8:$H$1435,7,FALSE)</f>
        <v>5</v>
      </c>
      <c r="I106" s="411">
        <f>VLOOKUP(B106,MASTER!$B$8:$V$1435,8,FALSE)</f>
        <v>3</v>
      </c>
      <c r="J106" s="411" t="str">
        <f>VLOOKUP(B106,MASTER!$B$8:$V$1435,9,FALSE)</f>
        <v>L</v>
      </c>
      <c r="K106" s="423" t="str">
        <f>VLOOKUP(B106,MASTER!$B$8:$V$1435,10,FALSE)</f>
        <v>KENDAL</v>
      </c>
      <c r="L106" s="413">
        <f>VLOOKUP(B106,MASTER!$B$8:$V$1435,11,FALSE)</f>
        <v>24025</v>
      </c>
      <c r="M106" s="422" t="str">
        <f t="shared" ref="M106:M118" ca="1" si="69">DATEDIF(L106,TODAY(),"Y") &amp; "." &amp;DATEDIF(L106,TODAY(),"YM")</f>
        <v>52.6</v>
      </c>
      <c r="N106" s="413">
        <f>VLOOKUP(B106,MASTER!$B$8:$V$1435,14,FALSE)</f>
        <v>32025</v>
      </c>
      <c r="O106" s="422" t="str">
        <f t="shared" ref="O106:O118" ca="1" si="70">DATEDIF(N106,TODAY(),"Y") &amp; "." &amp;DATEDIF(N106,TODAY(),"YM")</f>
        <v>30.7</v>
      </c>
      <c r="P106" s="413">
        <f>VLOOKUP(B106,MASTER!$B$8:$V$1435,16,FALSE)</f>
        <v>44844</v>
      </c>
      <c r="Q106" s="414" t="str">
        <f>VLOOKUP(B106,MASTER!$B$8:$V$1435,17,FALSE)</f>
        <v>I</v>
      </c>
      <c r="R106" s="411" t="str">
        <f>VLOOKUP(B106,MASTER!$B$8:$V$1435,18,FALSE)</f>
        <v>SMA</v>
      </c>
      <c r="S106" s="411" t="str">
        <f>VLOOKUP(B106,MASTER!$B$8:$V$1435,19,FALSE)</f>
        <v>S1</v>
      </c>
      <c r="T106" s="418" t="str">
        <f>VLOOKUP(B106,MASTER!$B$8:$V$1435,20,FALSE)</f>
        <v>B</v>
      </c>
      <c r="U106" s="415" t="str">
        <f>VLOOKUP($B106,ALAMAT!$A$1:E340,4)</f>
        <v>Plamongan Indah Blok H4 No.14 RT.006 RW.031 Batursari Mranggen Demak</v>
      </c>
      <c r="X106" s="407">
        <f t="shared" ca="1" si="59"/>
        <v>52</v>
      </c>
      <c r="Y106" s="407">
        <f t="shared" ca="1" si="60"/>
        <v>30</v>
      </c>
    </row>
    <row r="107" spans="1:25" s="407" customFormat="1" ht="12.95" customHeight="1">
      <c r="A107" s="421">
        <v>2</v>
      </c>
      <c r="B107" s="817">
        <v>7693</v>
      </c>
      <c r="C107" s="410" t="str">
        <f>VLOOKUP(B107,MASTER!$B$8:$C$137,2,FALSE)</f>
        <v>AGOES SUMARSONO</v>
      </c>
      <c r="D107" s="409" t="s">
        <v>2340</v>
      </c>
      <c r="E107" s="410" t="s">
        <v>254</v>
      </c>
      <c r="F107" s="736" t="s">
        <v>18</v>
      </c>
      <c r="G107" s="411" t="str">
        <f>VLOOKUP(B107,MASTER!$B$8:$H$1435,6,FALSE)</f>
        <v>K</v>
      </c>
      <c r="H107" s="411">
        <f>VLOOKUP(B107,MASTER!$B$8:$H$1435,7,FALSE)</f>
        <v>2</v>
      </c>
      <c r="I107" s="411">
        <f>VLOOKUP(B107,MASTER!$B$8:$V$1435,8,FALSE)</f>
        <v>2</v>
      </c>
      <c r="J107" s="411" t="str">
        <f>VLOOKUP(B107,MASTER!$B$8:$V$1435,9,FALSE)</f>
        <v>L</v>
      </c>
      <c r="K107" s="423" t="str">
        <f>VLOOKUP(B107,MASTER!$B$8:$V$1435,10,FALSE)</f>
        <v>SURABAYA</v>
      </c>
      <c r="L107" s="413">
        <f>VLOOKUP(B107,MASTER!$B$8:$V$1435,11,FALSE)</f>
        <v>26528</v>
      </c>
      <c r="M107" s="422" t="str">
        <f t="shared" ca="1" si="69"/>
        <v>45.8</v>
      </c>
      <c r="N107" s="413">
        <f>VLOOKUP(B107,MASTER!$B$8:$V$1435,14,FALSE)</f>
        <v>34648</v>
      </c>
      <c r="O107" s="422" t="str">
        <f t="shared" ca="1" si="70"/>
        <v>23.5</v>
      </c>
      <c r="P107" s="413">
        <f>VLOOKUP(B107,MASTER!$B$8:$V$1435,16,FALSE)</f>
        <v>46982</v>
      </c>
      <c r="Q107" s="414" t="str">
        <f>VLOOKUP(B107,MASTER!$B$8:$V$1435,17,FALSE)</f>
        <v>I</v>
      </c>
      <c r="R107" s="411" t="str">
        <f>VLOOKUP(B107,MASTER!$B$8:$V$1435,18,FALSE)</f>
        <v>STM</v>
      </c>
      <c r="S107" s="411" t="str">
        <f>VLOOKUP(B107,MASTER!$B$8:$V$1435,19,FALSE)</f>
        <v>S1</v>
      </c>
      <c r="T107" s="418" t="str">
        <f>VLOOKUP(B107,MASTER!$B$8:$V$1435,20,FALSE)</f>
        <v>B</v>
      </c>
      <c r="U107" s="415" t="str">
        <f>VLOOKUP($B107,ALAMAT!$A$1:E341,4)</f>
        <v>Jl.Seudati II Blok C12 P.4A RT.004 RW.011 Pudakpayung BanyumanikSemarang</v>
      </c>
      <c r="X107" s="407">
        <f t="shared" ca="1" si="59"/>
        <v>45</v>
      </c>
      <c r="Y107" s="407">
        <f t="shared" ca="1" si="60"/>
        <v>23</v>
      </c>
    </row>
    <row r="108" spans="1:25" s="407" customFormat="1" ht="12.95" customHeight="1">
      <c r="A108" s="421">
        <v>3</v>
      </c>
      <c r="B108" s="821">
        <v>3766</v>
      </c>
      <c r="C108" s="410" t="str">
        <f>VLOOKUP(B108,MASTER!$B$8:$C$137,2,FALSE)</f>
        <v>ARI PRIBADI</v>
      </c>
      <c r="D108" s="409" t="s">
        <v>2340</v>
      </c>
      <c r="E108" s="410" t="s">
        <v>254</v>
      </c>
      <c r="F108" s="736" t="s">
        <v>18</v>
      </c>
      <c r="G108" s="411" t="str">
        <f>VLOOKUP(B108,MASTER!$B$8:$H$1435,6,FALSE)</f>
        <v>K</v>
      </c>
      <c r="H108" s="411">
        <f>VLOOKUP(B108,MASTER!$B$8:$H$1435,7,FALSE)</f>
        <v>3</v>
      </c>
      <c r="I108" s="411">
        <f>VLOOKUP(B108,MASTER!$B$8:$V$1435,8,FALSE)</f>
        <v>2</v>
      </c>
      <c r="J108" s="411" t="str">
        <f>VLOOKUP(B108,MASTER!$B$8:$V$1435,9,FALSE)</f>
        <v>L</v>
      </c>
      <c r="K108" s="423" t="str">
        <f>VLOOKUP(B108,MASTER!$B$8:$V$1435,10,FALSE)</f>
        <v>SURABAYA</v>
      </c>
      <c r="L108" s="413">
        <f>VLOOKUP(B108,MASTER!$B$8:$V$1435,11,FALSE)</f>
        <v>23273</v>
      </c>
      <c r="M108" s="422" t="str">
        <f t="shared" ca="1" si="69"/>
        <v>54.7</v>
      </c>
      <c r="N108" s="413">
        <f>VLOOKUP(B108,MASTER!$B$8:$V$1435,14,FALSE)</f>
        <v>31603</v>
      </c>
      <c r="O108" s="422" t="str">
        <f t="shared" ca="1" si="70"/>
        <v>31.9</v>
      </c>
      <c r="P108" s="413">
        <f>VLOOKUP(B108,MASTER!$B$8:$V$1435,16,FALSE)</f>
        <v>43727</v>
      </c>
      <c r="Q108" s="414" t="str">
        <f>VLOOKUP(B108,MASTER!$B$8:$V$1435,17,FALSE)</f>
        <v>I</v>
      </c>
      <c r="R108" s="411" t="str">
        <f>VLOOKUP(B108,MASTER!$B$8:$V$1435,18,FALSE)</f>
        <v>STM</v>
      </c>
      <c r="S108" s="411" t="str">
        <f>VLOOKUP(B108,MASTER!$B$8:$V$1435,19,FALSE)</f>
        <v>S1</v>
      </c>
      <c r="T108" s="418" t="str">
        <f>VLOOKUP(B108,MASTER!$B$8:$V$1435,20,FALSE)</f>
        <v>B</v>
      </c>
      <c r="U108" s="415" t="str">
        <f>VLOOKUP($B108,ALAMAT!$A$1:E342,4)</f>
        <v>Jl.Tmn Borobudur Utara RT.003 RW.010 Kembangarum Semarang Barat</v>
      </c>
      <c r="X108" s="407">
        <f t="shared" ca="1" si="59"/>
        <v>54</v>
      </c>
      <c r="Y108" s="407">
        <f t="shared" ca="1" si="60"/>
        <v>31</v>
      </c>
    </row>
    <row r="109" spans="1:25" s="407" customFormat="1" ht="12.95" customHeight="1">
      <c r="A109" s="421">
        <v>4</v>
      </c>
      <c r="B109" s="821">
        <v>5883</v>
      </c>
      <c r="C109" s="410" t="str">
        <f>VLOOKUP(B109,MASTER!$B$8:$C$137,2,FALSE)</f>
        <v>ENI KUSRINI</v>
      </c>
      <c r="D109" s="409" t="s">
        <v>2340</v>
      </c>
      <c r="E109" s="410" t="s">
        <v>254</v>
      </c>
      <c r="F109" s="736" t="s">
        <v>18</v>
      </c>
      <c r="G109" s="411" t="str">
        <f>VLOOKUP(B109,MASTER!$B$8:$H$1435,6,FALSE)</f>
        <v>J</v>
      </c>
      <c r="H109" s="411">
        <f>VLOOKUP(B109,MASTER!$B$8:$H$1435,7,FALSE)</f>
        <v>1</v>
      </c>
      <c r="I109" s="411">
        <f>VLOOKUP(B109,MASTER!$B$8:$V$1435,8,FALSE)</f>
        <v>1</v>
      </c>
      <c r="J109" s="411" t="str">
        <f>VLOOKUP(B109,MASTER!$B$8:$V$1435,9,FALSE)</f>
        <v>P</v>
      </c>
      <c r="K109" s="423" t="str">
        <f>VLOOKUP(B109,MASTER!$B$8:$V$1435,10,FALSE)</f>
        <v>SEMARANG</v>
      </c>
      <c r="L109" s="413">
        <f>VLOOKUP(B109,MASTER!$B$8:$V$1435,11,FALSE)</f>
        <v>25803</v>
      </c>
      <c r="M109" s="422" t="str">
        <f t="shared" ca="1" si="69"/>
        <v>47.8</v>
      </c>
      <c r="N109" s="413">
        <f>VLOOKUP(B109,MASTER!$B$8:$V$1435,14,FALSE)</f>
        <v>32860</v>
      </c>
      <c r="O109" s="422" t="str">
        <f t="shared" ca="1" si="70"/>
        <v>28.4</v>
      </c>
      <c r="P109" s="413">
        <f>VLOOKUP(B109,MASTER!$B$8:$V$1435,16,FALSE)</f>
        <v>46257</v>
      </c>
      <c r="Q109" s="414" t="str">
        <f>VLOOKUP(B109,MASTER!$B$8:$V$1435,17,FALSE)</f>
        <v>I</v>
      </c>
      <c r="R109" s="411" t="str">
        <f>VLOOKUP(B109,MASTER!$B$8:$V$1435,18,FALSE)</f>
        <v>SMA</v>
      </c>
      <c r="S109" s="411" t="str">
        <f>VLOOKUP(B109,MASTER!$B$8:$V$1435,19,FALSE)</f>
        <v>S2</v>
      </c>
      <c r="T109" s="418" t="str">
        <f>VLOOKUP(B109,MASTER!$B$8:$V$1435,20,FALSE)</f>
        <v>O</v>
      </c>
      <c r="U109" s="415" t="str">
        <f>VLOOKUP($B109,ALAMAT!$A$1:E343,4)</f>
        <v>Karangrejo Raya 10 RT.001 RW.005 Banyumanik Semarang</v>
      </c>
      <c r="X109" s="407">
        <f t="shared" ca="1" si="59"/>
        <v>47</v>
      </c>
      <c r="Y109" s="407">
        <f t="shared" ca="1" si="60"/>
        <v>28</v>
      </c>
    </row>
    <row r="110" spans="1:25" s="407" customFormat="1" ht="12.75">
      <c r="A110" s="421">
        <v>5</v>
      </c>
      <c r="B110" s="821">
        <v>7641</v>
      </c>
      <c r="C110" s="410" t="str">
        <f>VLOOKUP(B110,MASTER!$B$8:$C$137,2,FALSE)</f>
        <v>JANSEN JAYA ROLAS H</v>
      </c>
      <c r="D110" s="409" t="s">
        <v>2340</v>
      </c>
      <c r="E110" s="410" t="s">
        <v>254</v>
      </c>
      <c r="F110" s="736" t="s">
        <v>18</v>
      </c>
      <c r="G110" s="411" t="str">
        <f>VLOOKUP(B110,MASTER!$B$8:$H$1435,6,FALSE)</f>
        <v>K</v>
      </c>
      <c r="H110" s="411">
        <f>VLOOKUP(B110,MASTER!$B$8:$H$1435,7,FALSE)</f>
        <v>2</v>
      </c>
      <c r="I110" s="411">
        <f>VLOOKUP(B110,MASTER!$B$8:$V$1435,8,FALSE)</f>
        <v>2</v>
      </c>
      <c r="J110" s="411" t="str">
        <f>VLOOKUP(B110,MASTER!$B$8:$V$1435,9,FALSE)</f>
        <v>L</v>
      </c>
      <c r="K110" s="423" t="str">
        <f>VLOOKUP(B110,MASTER!$B$8:$V$1435,10,FALSE)</f>
        <v>MARIHAT ULU</v>
      </c>
      <c r="L110" s="413">
        <f>VLOOKUP(B110,MASTER!$B$8:$V$1435,11,FALSE)</f>
        <v>27771</v>
      </c>
      <c r="M110" s="422" t="str">
        <f t="shared" ca="1" si="69"/>
        <v>42.3</v>
      </c>
      <c r="N110" s="413">
        <f>VLOOKUP(B110,MASTER!$B$8:$V$1435,14,FALSE)</f>
        <v>34648</v>
      </c>
      <c r="O110" s="422" t="str">
        <f t="shared" ca="1" si="70"/>
        <v>23.5</v>
      </c>
      <c r="P110" s="413">
        <f>VLOOKUP(B110,MASTER!$B$8:$V$1435,16,FALSE)</f>
        <v>48225</v>
      </c>
      <c r="Q110" s="414" t="str">
        <f>VLOOKUP(B110,MASTER!$B$8:$V$1435,17,FALSE)</f>
        <v>I</v>
      </c>
      <c r="R110" s="411" t="str">
        <f>VLOOKUP(B110,MASTER!$B$8:$V$1435,18,FALSE)</f>
        <v>SMA</v>
      </c>
      <c r="S110" s="411" t="str">
        <f>VLOOKUP(B110,MASTER!$B$8:$V$1435,19,FALSE)</f>
        <v>S1</v>
      </c>
      <c r="T110" s="418" t="str">
        <f>VLOOKUP(B110,MASTER!$B$8:$V$1435,20,FALSE)</f>
        <v>-</v>
      </c>
      <c r="U110" s="415" t="str">
        <f>VLOOKUP($B110,ALAMAT!$A$1:E344,4)</f>
        <v xml:space="preserve">P4A  Blok F-123 JL Gambyong 007/011 Semarang </v>
      </c>
      <c r="X110" s="407">
        <f t="shared" ca="1" si="59"/>
        <v>42</v>
      </c>
      <c r="Y110" s="407">
        <f t="shared" ca="1" si="60"/>
        <v>23</v>
      </c>
    </row>
    <row r="111" spans="1:25" s="407" customFormat="1" ht="12.95" customHeight="1">
      <c r="A111" s="421">
        <v>6</v>
      </c>
      <c r="B111" s="817">
        <v>7502</v>
      </c>
      <c r="C111" s="410" t="str">
        <f>VLOOKUP(B111,MASTER!$B$8:$C$137,2,FALSE)</f>
        <v>MARYONO</v>
      </c>
      <c r="D111" s="409" t="s">
        <v>2340</v>
      </c>
      <c r="E111" s="410" t="s">
        <v>254</v>
      </c>
      <c r="F111" s="736" t="s">
        <v>18</v>
      </c>
      <c r="G111" s="411" t="str">
        <f>VLOOKUP(B111,MASTER!$B$8:$H$1435,6,FALSE)</f>
        <v>K</v>
      </c>
      <c r="H111" s="411">
        <f>VLOOKUP(B111,MASTER!$B$8:$H$1435,7,FALSE)</f>
        <v>3</v>
      </c>
      <c r="I111" s="411">
        <f>VLOOKUP(B111,MASTER!$B$8:$V$1435,8,FALSE)</f>
        <v>3</v>
      </c>
      <c r="J111" s="411" t="str">
        <f>VLOOKUP(B111,MASTER!$B$8:$V$1435,9,FALSE)</f>
        <v>L</v>
      </c>
      <c r="K111" s="423" t="str">
        <f>VLOOKUP(B111,MASTER!$B$8:$V$1435,10,FALSE)</f>
        <v>BOYOLALI</v>
      </c>
      <c r="L111" s="413">
        <f>VLOOKUP(B111,MASTER!$B$8:$V$1435,11,FALSE)</f>
        <v>26728</v>
      </c>
      <c r="M111" s="422" t="str">
        <f t="shared" ca="1" si="69"/>
        <v>45.1</v>
      </c>
      <c r="N111" s="413">
        <f>VLOOKUP(B111,MASTER!$B$8:$V$1435,14,FALSE)</f>
        <v>34608</v>
      </c>
      <c r="O111" s="422" t="str">
        <f t="shared" ca="1" si="70"/>
        <v>23.6</v>
      </c>
      <c r="P111" s="413">
        <f>VLOOKUP(B111,MASTER!$B$8:$V$1435,16,FALSE)</f>
        <v>46817</v>
      </c>
      <c r="Q111" s="414" t="str">
        <f>VLOOKUP(B111,MASTER!$B$8:$V$1435,17,FALSE)</f>
        <v>I</v>
      </c>
      <c r="R111" s="411" t="str">
        <f>VLOOKUP(B111,MASTER!$B$8:$V$1435,18,FALSE)</f>
        <v>SMA</v>
      </c>
      <c r="S111" s="411" t="str">
        <f>VLOOKUP(B111,MASTER!$B$8:$V$1435,19,FALSE)</f>
        <v>SLTA</v>
      </c>
      <c r="T111" s="418" t="str">
        <f>VLOOKUP(B111,MASTER!$B$8:$V$1435,20,FALSE)</f>
        <v>-</v>
      </c>
      <c r="U111" s="415" t="str">
        <f>VLOOKUP($B111,ALAMAT!$A$1:E345,4)</f>
        <v>Randusari RT.005 RW.005 Tambak Mojosongo Boyolali</v>
      </c>
      <c r="X111" s="407">
        <f t="shared" ca="1" si="59"/>
        <v>45</v>
      </c>
      <c r="Y111" s="407">
        <f t="shared" ca="1" si="60"/>
        <v>23</v>
      </c>
    </row>
    <row r="112" spans="1:25" s="407" customFormat="1" ht="12" customHeight="1">
      <c r="A112" s="421">
        <v>7</v>
      </c>
      <c r="B112" s="817">
        <v>9517</v>
      </c>
      <c r="C112" s="410" t="str">
        <f>VLOOKUP(B112,MASTER!$B$8:$C$137,2,FALSE)</f>
        <v>HERA SUSANTI</v>
      </c>
      <c r="D112" s="409" t="s">
        <v>2340</v>
      </c>
      <c r="E112" s="410" t="s">
        <v>254</v>
      </c>
      <c r="F112" s="736" t="s">
        <v>18</v>
      </c>
      <c r="G112" s="411" t="str">
        <f>VLOOKUP(B112,MASTER!$B$8:$H$1435,6,FALSE)</f>
        <v>K</v>
      </c>
      <c r="H112" s="411">
        <f>VLOOKUP(B112,MASTER!$B$8:$H$1435,7,FALSE)</f>
        <v>1</v>
      </c>
      <c r="I112" s="411">
        <f>VLOOKUP(B112,MASTER!$B$8:$V$1435,8,FALSE)</f>
        <v>1</v>
      </c>
      <c r="J112" s="411" t="str">
        <f>VLOOKUP(B112,MASTER!$B$8:$V$1435,9,FALSE)</f>
        <v>P</v>
      </c>
      <c r="K112" s="423" t="str">
        <f>VLOOKUP(B112,MASTER!$B$8:$V$1435,10,FALSE)</f>
        <v>SEMARANG</v>
      </c>
      <c r="L112" s="413">
        <f>VLOOKUP(B112,MASTER!$B$8:$V$1435,11,FALSE)</f>
        <v>29063</v>
      </c>
      <c r="M112" s="422" t="str">
        <f t="shared" ca="1" si="69"/>
        <v>38.9</v>
      </c>
      <c r="N112" s="413">
        <f>VLOOKUP(B112,MASTER!$B$8:$V$1435,14,FALSE)</f>
        <v>35807</v>
      </c>
      <c r="O112" s="422" t="str">
        <f t="shared" ca="1" si="70"/>
        <v>20.3</v>
      </c>
      <c r="P112" s="413">
        <f>VLOOKUP(B112,MASTER!$B$8:$V$1435,16,FALSE)</f>
        <v>49517</v>
      </c>
      <c r="Q112" s="414" t="str">
        <f>VLOOKUP(B112,MASTER!$B$8:$V$1435,17,FALSE)</f>
        <v>I</v>
      </c>
      <c r="R112" s="411" t="str">
        <f>VLOOKUP(B112,MASTER!$B$8:$V$1435,18,FALSE)</f>
        <v>SMA</v>
      </c>
      <c r="S112" s="411" t="str">
        <f>VLOOKUP(B112,MASTER!$B$8:$V$1435,19,FALSE)</f>
        <v>SLTA</v>
      </c>
      <c r="T112" s="418" t="str">
        <f>VLOOKUP(B112,MASTER!$B$8:$V$1435,20,FALSE)</f>
        <v>O</v>
      </c>
      <c r="U112" s="415" t="str">
        <f>VLOOKUP($B112,ALAMAT!$A$1:E346,4)</f>
        <v>Jl.Jatiluhur No.256 RT.003 RW.005 Ngesrep Banyumanik</v>
      </c>
      <c r="X112" s="407">
        <f t="shared" ca="1" si="59"/>
        <v>38</v>
      </c>
      <c r="Y112" s="407">
        <f t="shared" ca="1" si="60"/>
        <v>20</v>
      </c>
    </row>
    <row r="113" spans="1:25" s="407" customFormat="1" ht="12.95" customHeight="1">
      <c r="A113" s="421">
        <v>8</v>
      </c>
      <c r="B113" s="821">
        <v>8745</v>
      </c>
      <c r="C113" s="410" t="str">
        <f>VLOOKUP(B113,MASTER!$B$8:$C$137,2,FALSE)</f>
        <v>SUDARMONO</v>
      </c>
      <c r="D113" s="409" t="s">
        <v>2340</v>
      </c>
      <c r="E113" s="410" t="s">
        <v>254</v>
      </c>
      <c r="F113" s="736" t="s">
        <v>18</v>
      </c>
      <c r="G113" s="411" t="str">
        <f>VLOOKUP(B113,MASTER!$B$8:$H$1435,6,FALSE)</f>
        <v>K</v>
      </c>
      <c r="H113" s="411">
        <f>VLOOKUP(B113,MASTER!$B$8:$H$1435,7,FALSE)</f>
        <v>2</v>
      </c>
      <c r="I113" s="411">
        <f>VLOOKUP(B113,MASTER!$B$8:$V$1435,8,FALSE)</f>
        <v>2</v>
      </c>
      <c r="J113" s="411" t="str">
        <f>VLOOKUP(B113,MASTER!$B$8:$V$1435,9,FALSE)</f>
        <v>L</v>
      </c>
      <c r="K113" s="423" t="str">
        <f>VLOOKUP(B113,MASTER!$B$8:$V$1435,10,FALSE)</f>
        <v>PATI</v>
      </c>
      <c r="L113" s="413">
        <f>VLOOKUP(B113,MASTER!$B$8:$V$1435,11,FALSE)</f>
        <v>27529</v>
      </c>
      <c r="M113" s="422" t="str">
        <f t="shared" ca="1" si="69"/>
        <v>42.11</v>
      </c>
      <c r="N113" s="413">
        <f>VLOOKUP(B113,MASTER!$B$8:$V$1435,14,FALSE)</f>
        <v>35241</v>
      </c>
      <c r="O113" s="422" t="str">
        <f t="shared" ca="1" si="70"/>
        <v>21.10</v>
      </c>
      <c r="P113" s="413">
        <f>VLOOKUP(B113,MASTER!$B$8:$V$1435,16,FALSE)</f>
        <v>47983</v>
      </c>
      <c r="Q113" s="414" t="str">
        <f>VLOOKUP(B113,MASTER!$B$8:$V$1435,17,FALSE)</f>
        <v>I</v>
      </c>
      <c r="R113" s="411" t="str">
        <f>VLOOKUP(B113,MASTER!$B$8:$V$1435,18,FALSE)</f>
        <v>SMEA</v>
      </c>
      <c r="S113" s="411" t="str">
        <f>VLOOKUP(B113,MASTER!$B$8:$V$1435,19,FALSE)</f>
        <v>S1</v>
      </c>
      <c r="T113" s="418" t="str">
        <f>VLOOKUP(B113,MASTER!$B$8:$V$1435,20,FALSE)</f>
        <v>-</v>
      </c>
      <c r="U113" s="415" t="str">
        <f>VLOOKUP($B113,ALAMAT!$A$1:E347,4)</f>
        <v>Perum P4 A Bl C1 No 20 Rt 10 Rw 11 Pudakpayung Banyumanik semarang</v>
      </c>
      <c r="X113" s="407">
        <f t="shared" ca="1" si="59"/>
        <v>42</v>
      </c>
      <c r="Y113" s="407">
        <f t="shared" ca="1" si="60"/>
        <v>21</v>
      </c>
    </row>
    <row r="114" spans="1:25" s="407" customFormat="1" ht="12.95" customHeight="1">
      <c r="A114" s="421">
        <v>9</v>
      </c>
      <c r="B114" s="817">
        <v>8265</v>
      </c>
      <c r="C114" s="410" t="str">
        <f>VLOOKUP(B114,MASTER!$B$8:$C$137,2,FALSE)</f>
        <v>YULI DWI ADIHARSONO</v>
      </c>
      <c r="D114" s="409" t="s">
        <v>2340</v>
      </c>
      <c r="E114" s="410" t="s">
        <v>254</v>
      </c>
      <c r="F114" s="736" t="s">
        <v>18</v>
      </c>
      <c r="G114" s="411" t="str">
        <f>VLOOKUP(B114,MASTER!$B$8:$H$1435,6,FALSE)</f>
        <v>K</v>
      </c>
      <c r="H114" s="411">
        <f>VLOOKUP(B114,MASTER!$B$8:$H$1435,7,FALSE)</f>
        <v>2</v>
      </c>
      <c r="I114" s="411">
        <f>VLOOKUP(B114,MASTER!$B$8:$V$1435,8,FALSE)</f>
        <v>2</v>
      </c>
      <c r="J114" s="411" t="str">
        <f>VLOOKUP(B114,MASTER!$B$8:$V$1435,9,FALSE)</f>
        <v>L</v>
      </c>
      <c r="K114" s="423" t="str">
        <f>VLOOKUP(B114,MASTER!$B$8:$V$1435,10,FALSE)</f>
        <v>SEMARANG</v>
      </c>
      <c r="L114" s="413">
        <f>VLOOKUP(B114,MASTER!$B$8:$V$1435,11,FALSE)</f>
        <v>27599</v>
      </c>
      <c r="M114" s="422" t="str">
        <f t="shared" ca="1" si="69"/>
        <v>42.9</v>
      </c>
      <c r="N114" s="413">
        <f>VLOOKUP(B114,MASTER!$B$8:$V$1435,14,FALSE)</f>
        <v>35047</v>
      </c>
      <c r="O114" s="422" t="str">
        <f t="shared" ca="1" si="70"/>
        <v>22.4</v>
      </c>
      <c r="P114" s="413">
        <f>VLOOKUP(B114,MASTER!$B$8:$V$1435,16,FALSE)</f>
        <v>48053</v>
      </c>
      <c r="Q114" s="414" t="str">
        <f>VLOOKUP(B114,MASTER!$B$8:$V$1435,17,FALSE)</f>
        <v>I</v>
      </c>
      <c r="R114" s="411" t="str">
        <f>VLOOKUP(B114,MASTER!$B$8:$V$1435,18,FALSE)</f>
        <v>SMA</v>
      </c>
      <c r="S114" s="411" t="str">
        <f>VLOOKUP(B114,MASTER!$B$8:$V$1435,19,FALSE)</f>
        <v>SLTA</v>
      </c>
      <c r="T114" s="418" t="str">
        <f>VLOOKUP(B114,MASTER!$B$8:$V$1435,20,FALSE)</f>
        <v>-</v>
      </c>
      <c r="U114" s="415" t="str">
        <f>VLOOKUP($B114,ALAMAT!$A$1:E348,4)</f>
        <v>Jl.Muria No.12 RT.003 RW.007 Bendan Pekalongan Barat</v>
      </c>
      <c r="X114" s="407">
        <f t="shared" ca="1" si="59"/>
        <v>42</v>
      </c>
      <c r="Y114" s="407">
        <f t="shared" ca="1" si="60"/>
        <v>22</v>
      </c>
    </row>
    <row r="115" spans="1:25" s="407" customFormat="1" ht="12.95" customHeight="1">
      <c r="A115" s="421">
        <v>10</v>
      </c>
      <c r="B115" s="817">
        <v>7870</v>
      </c>
      <c r="C115" s="410" t="str">
        <f>VLOOKUP(B115,MASTER!$B$8:$C$137,2,FALSE)</f>
        <v>HERY MURYANTO</v>
      </c>
      <c r="D115" s="409" t="s">
        <v>2340</v>
      </c>
      <c r="E115" s="410" t="s">
        <v>254</v>
      </c>
      <c r="F115" s="736" t="s">
        <v>18</v>
      </c>
      <c r="G115" s="411" t="str">
        <f>VLOOKUP(B115,MASTER!$B$8:$H$1435,6,FALSE)</f>
        <v>K</v>
      </c>
      <c r="H115" s="411">
        <f>VLOOKUP(B115,MASTER!$B$8:$H$1435,7,FALSE)</f>
        <v>3</v>
      </c>
      <c r="I115" s="411">
        <f>VLOOKUP(B115,MASTER!$B$8:$V$1435,8,FALSE)</f>
        <v>3</v>
      </c>
      <c r="J115" s="411" t="str">
        <f>VLOOKUP(B115,MASTER!$B$8:$V$1435,9,FALSE)</f>
        <v>L</v>
      </c>
      <c r="K115" s="423" t="str">
        <f>VLOOKUP(B115,MASTER!$B$8:$V$1435,10,FALSE)</f>
        <v>TEGAL</v>
      </c>
      <c r="L115" s="413">
        <f>VLOOKUP(B115,MASTER!$B$8:$V$1435,11,FALSE)</f>
        <v>27578</v>
      </c>
      <c r="M115" s="422" t="str">
        <f t="shared" ca="1" si="69"/>
        <v>42.9</v>
      </c>
      <c r="N115" s="413">
        <f>VLOOKUP(B115,MASTER!$B$8:$V$1435,14,FALSE)</f>
        <v>34759</v>
      </c>
      <c r="O115" s="422" t="str">
        <f t="shared" ca="1" si="70"/>
        <v>23.1</v>
      </c>
      <c r="P115" s="413">
        <f>VLOOKUP(B115,MASTER!$B$8:$V$1435,16,FALSE)</f>
        <v>48032</v>
      </c>
      <c r="Q115" s="414" t="str">
        <f>VLOOKUP(B115,MASTER!$B$8:$V$1435,17,FALSE)</f>
        <v>I</v>
      </c>
      <c r="R115" s="411" t="str">
        <f>VLOOKUP(B115,MASTER!$B$8:$V$1435,18,FALSE)</f>
        <v>SMA</v>
      </c>
      <c r="S115" s="411" t="str">
        <f>VLOOKUP(B115,MASTER!$B$8:$V$1435,19,FALSE)</f>
        <v>SLTA</v>
      </c>
      <c r="T115" s="418" t="str">
        <f>VLOOKUP(B115,MASTER!$B$8:$V$1435,20,FALSE)</f>
        <v>-</v>
      </c>
      <c r="U115" s="415" t="str">
        <f>VLOOKUP($B115,ALAMAT!$A$1:E349,4)</f>
        <v>Jl. R.A Kartini no.12 RT.001 RW.008 Slawi Kulon, Slawi, Kab.Tegal</v>
      </c>
      <c r="X115" s="407">
        <f t="shared" ca="1" si="59"/>
        <v>42</v>
      </c>
      <c r="Y115" s="407">
        <f t="shared" ca="1" si="60"/>
        <v>23</v>
      </c>
    </row>
    <row r="116" spans="1:25" s="407" customFormat="1" ht="12.95" customHeight="1">
      <c r="A116" s="421">
        <v>11</v>
      </c>
      <c r="B116" s="817">
        <v>9667</v>
      </c>
      <c r="C116" s="410" t="str">
        <f>VLOOKUP(B116,MASTER!$B$8:$C$137,2,FALSE)</f>
        <v>MULATO</v>
      </c>
      <c r="D116" s="409" t="s">
        <v>2340</v>
      </c>
      <c r="E116" s="410" t="s">
        <v>254</v>
      </c>
      <c r="F116" s="736" t="s">
        <v>18</v>
      </c>
      <c r="G116" s="411" t="str">
        <f>VLOOKUP(B116,MASTER!$B$8:$H$1435,6,FALSE)</f>
        <v>K</v>
      </c>
      <c r="H116" s="411">
        <f>VLOOKUP(B116,MASTER!$B$8:$H$1435,7,FALSE)</f>
        <v>2</v>
      </c>
      <c r="I116" s="411">
        <f>VLOOKUP(B116,MASTER!$B$8:$V$1435,8,FALSE)</f>
        <v>2</v>
      </c>
      <c r="J116" s="411" t="str">
        <f>VLOOKUP(B116,MASTER!$B$8:$V$1435,9,FALSE)</f>
        <v>L</v>
      </c>
      <c r="K116" s="423" t="str">
        <f>VLOOKUP(B116,MASTER!$B$8:$V$1435,10,FALSE)</f>
        <v>WONOGIRI</v>
      </c>
      <c r="L116" s="413">
        <f>VLOOKUP(B116,MASTER!$B$8:$V$1435,11,FALSE)</f>
        <v>28920</v>
      </c>
      <c r="M116" s="422" t="str">
        <f t="shared" ref="M116" ca="1" si="71">DATEDIF(L116,TODAY(),"Y") &amp; "." &amp;DATEDIF(L116,TODAY(),"YM")</f>
        <v>39.1</v>
      </c>
      <c r="N116" s="413">
        <f>VLOOKUP(B116,MASTER!$B$8:$V$1435,14,FALSE)</f>
        <v>35950</v>
      </c>
      <c r="O116" s="422" t="str">
        <f t="shared" ref="O116" ca="1" si="72">DATEDIF(N116,TODAY(),"Y") &amp; "." &amp;DATEDIF(N116,TODAY(),"YM")</f>
        <v>19.10</v>
      </c>
      <c r="P116" s="413">
        <f>VLOOKUP(B116,MASTER!$B$8:$V$1435,16,FALSE)</f>
        <v>49374</v>
      </c>
      <c r="Q116" s="414" t="str">
        <f>VLOOKUP(B116,MASTER!$B$8:$V$1435,17,FALSE)</f>
        <v>I</v>
      </c>
      <c r="R116" s="411" t="str">
        <f>VLOOKUP(B116,MASTER!$B$8:$V$1435,18,FALSE)</f>
        <v>SMEA</v>
      </c>
      <c r="S116" s="411" t="str">
        <f>VLOOKUP(B116,MASTER!$B$8:$V$1435,19,FALSE)</f>
        <v>S1</v>
      </c>
      <c r="T116" s="418" t="str">
        <f>VLOOKUP(B116,MASTER!$B$8:$V$1435,20,FALSE)</f>
        <v>O</v>
      </c>
      <c r="U116" s="415" t="str">
        <f>VLOOKUP($B116,ALAMAT!$A$1:E350,4)</f>
        <v>Perum Griya Payung Asri Kav.64 RT.001 RW.016 Pudak Payung Banyumanik Semarang</v>
      </c>
      <c r="X116" s="407">
        <f t="shared" ref="X116" ca="1" si="73">DATEDIF(L116,TODAY(),"y")</f>
        <v>39</v>
      </c>
      <c r="Y116" s="407">
        <f t="shared" ref="Y116" ca="1" si="74">DATEDIF(N116,TODAY(),"y")</f>
        <v>19</v>
      </c>
    </row>
    <row r="117" spans="1:25" s="407" customFormat="1" ht="12.95" customHeight="1">
      <c r="A117" s="421">
        <v>11</v>
      </c>
      <c r="B117" s="817">
        <v>7682</v>
      </c>
      <c r="C117" s="410" t="str">
        <f>VLOOKUP(B117,MASTER!$B$8:$C$137,2,FALSE)</f>
        <v>PENDI SETYO NOGROHO</v>
      </c>
      <c r="D117" s="409" t="s">
        <v>2340</v>
      </c>
      <c r="E117" s="410" t="s">
        <v>254</v>
      </c>
      <c r="F117" s="411" t="s">
        <v>18</v>
      </c>
      <c r="G117" s="411" t="str">
        <f>VLOOKUP(B117,MASTER!$B$8:$H$1435,6,FALSE)</f>
        <v>K</v>
      </c>
      <c r="H117" s="411">
        <f>VLOOKUP(B117,MASTER!$B$8:$H$1435,7,FALSE)</f>
        <v>1</v>
      </c>
      <c r="I117" s="411">
        <f>VLOOKUP(B117,MASTER!$B$8:$V$1435,8,FALSE)</f>
        <v>1</v>
      </c>
      <c r="J117" s="411" t="str">
        <f>VLOOKUP(B117,MASTER!$B$8:$V$1435,9,FALSE)</f>
        <v>L</v>
      </c>
      <c r="K117" s="423" t="str">
        <f>VLOOKUP(B117,MASTER!$B$8:$V$1435,10,FALSE)</f>
        <v>SEMARANG</v>
      </c>
      <c r="L117" s="413">
        <f>VLOOKUP(B117,MASTER!$B$8:$V$1435,11,FALSE)</f>
        <v>27686</v>
      </c>
      <c r="M117" s="422" t="str">
        <f t="shared" ref="M117" ca="1" si="75">DATEDIF(L117,TODAY(),"Y") &amp; "." &amp;DATEDIF(L117,TODAY(),"YM")</f>
        <v>42.6</v>
      </c>
      <c r="N117" s="413">
        <f>VLOOKUP(B117,MASTER!$B$8:$V$1435,14,FALSE)</f>
        <v>34648</v>
      </c>
      <c r="O117" s="422" t="str">
        <f t="shared" ref="O117" ca="1" si="76">DATEDIF(N117,TODAY(),"Y") &amp; "." &amp;DATEDIF(N117,TODAY(),"YM")</f>
        <v>23.5</v>
      </c>
      <c r="P117" s="413">
        <f>VLOOKUP(B117,MASTER!$B$8:$V$1435,16,FALSE)</f>
        <v>48140</v>
      </c>
      <c r="Q117" s="414" t="str">
        <f>VLOOKUP(B117,MASTER!$B$8:$V$1435,17,FALSE)</f>
        <v>I</v>
      </c>
      <c r="R117" s="411" t="str">
        <f>VLOOKUP(B117,MASTER!$B$8:$V$1435,18,FALSE)</f>
        <v>STM</v>
      </c>
      <c r="S117" s="411" t="str">
        <f>VLOOKUP(B117,MASTER!$B$8:$V$1435,19,FALSE)</f>
        <v>S1</v>
      </c>
      <c r="T117" s="418" t="str">
        <f>VLOOKUP(B117,MASTER!$B$8:$V$1435,20,FALSE)</f>
        <v>AB</v>
      </c>
      <c r="U117" s="415" t="str">
        <f>VLOOKUP($B117,ALAMAT!$A$1:E351,4)</f>
        <v>Wonolopo RT 2 RW 8 wonolopo Mijen, Semarang 50215</v>
      </c>
      <c r="X117" s="407">
        <f t="shared" ref="X117" ca="1" si="77">DATEDIF(L117,TODAY(),"y")</f>
        <v>42</v>
      </c>
      <c r="Y117" s="407">
        <f t="shared" ref="Y117" ca="1" si="78">DATEDIF(N117,TODAY(),"y")</f>
        <v>23</v>
      </c>
    </row>
    <row r="118" spans="1:25" s="407" customFormat="1" ht="12.95" customHeight="1">
      <c r="A118" s="421">
        <v>13</v>
      </c>
      <c r="B118" s="817">
        <v>9522</v>
      </c>
      <c r="C118" s="410" t="str">
        <f>VLOOKUP(B118,MASTER!$B$8:$C$137,2,FALSE)</f>
        <v>MARDIANI SUSILOWATI R</v>
      </c>
      <c r="D118" s="409">
        <v>5</v>
      </c>
      <c r="E118" s="410" t="s">
        <v>2499</v>
      </c>
      <c r="F118" s="736" t="s">
        <v>18</v>
      </c>
      <c r="G118" s="411" t="str">
        <f>VLOOKUP(B118,MASTER!$B$8:$H$1435,6,FALSE)</f>
        <v>K</v>
      </c>
      <c r="H118" s="411">
        <f>VLOOKUP(B118,MASTER!$B$8:$H$1435,7,FALSE)</f>
        <v>2</v>
      </c>
      <c r="I118" s="411">
        <f>VLOOKUP(B118,MASTER!$B$8:$V$1435,8,FALSE)</f>
        <v>2</v>
      </c>
      <c r="J118" s="411" t="str">
        <f>VLOOKUP(B118,MASTER!$B$8:$V$1435,9,FALSE)</f>
        <v>P</v>
      </c>
      <c r="K118" s="423" t="str">
        <f>VLOOKUP(B118,MASTER!$B$8:$V$1435,10,FALSE)</f>
        <v>SEMARANG</v>
      </c>
      <c r="L118" s="413">
        <f>VLOOKUP(B118,MASTER!$B$8:$V$1435,11,FALSE)</f>
        <v>28875</v>
      </c>
      <c r="M118" s="422" t="str">
        <f t="shared" ca="1" si="69"/>
        <v>39.3</v>
      </c>
      <c r="N118" s="413">
        <f>VLOOKUP(B118,MASTER!$B$8:$V$1435,14,FALSE)</f>
        <v>35807</v>
      </c>
      <c r="O118" s="422" t="str">
        <f t="shared" ca="1" si="70"/>
        <v>20.3</v>
      </c>
      <c r="P118" s="413">
        <f>VLOOKUP(B118,MASTER!$B$8:$V$1435,16,FALSE)</f>
        <v>49329</v>
      </c>
      <c r="Q118" s="414" t="str">
        <f>VLOOKUP(B118,MASTER!$B$8:$V$1435,17,FALSE)</f>
        <v>I</v>
      </c>
      <c r="R118" s="411" t="str">
        <f>VLOOKUP(B118,MASTER!$B$8:$V$1435,18,FALSE)</f>
        <v>SMEA</v>
      </c>
      <c r="S118" s="411" t="str">
        <f>VLOOKUP(B118,MASTER!$B$8:$V$1435,19,FALSE)</f>
        <v>S1</v>
      </c>
      <c r="T118" s="418" t="str">
        <f>VLOOKUP(B118,MASTER!$B$8:$V$1435,20,FALSE)</f>
        <v>A</v>
      </c>
      <c r="U118" s="415" t="str">
        <f>VLOOKUP($B118,ALAMAT!$A$1:E350,4)</f>
        <v>Jl.Dr.Kariadi 531 RT.003 RW.006 Randusari Semarang Selatan</v>
      </c>
      <c r="X118" s="407">
        <f t="shared" ca="1" si="59"/>
        <v>39</v>
      </c>
      <c r="Y118" s="407">
        <f t="shared" ca="1" si="60"/>
        <v>20</v>
      </c>
    </row>
    <row r="119" spans="1:25" s="407" customFormat="1" ht="12.95" customHeight="1">
      <c r="A119" s="421">
        <v>14</v>
      </c>
      <c r="B119" s="817">
        <v>9524</v>
      </c>
      <c r="C119" s="410" t="str">
        <f>VLOOKUP(B119,MASTER!$B$8:$C$137,2,FALSE)</f>
        <v>SRI HARTATI</v>
      </c>
      <c r="D119" s="409">
        <v>5</v>
      </c>
      <c r="E119" s="410" t="s">
        <v>2499</v>
      </c>
      <c r="F119" s="736" t="s">
        <v>18</v>
      </c>
      <c r="G119" s="411" t="str">
        <f>VLOOKUP(B119,MASTER!$B$8:$H$1435,6,FALSE)</f>
        <v>K</v>
      </c>
      <c r="H119" s="411">
        <f>VLOOKUP(B119,MASTER!$B$8:$H$1435,7,FALSE)</f>
        <v>2</v>
      </c>
      <c r="I119" s="411">
        <f>VLOOKUP(B119,MASTER!$B$8:$V$1435,8,FALSE)</f>
        <v>2</v>
      </c>
      <c r="J119" s="411" t="str">
        <f>VLOOKUP(B119,MASTER!$B$8:$V$1435,9,FALSE)</f>
        <v>P</v>
      </c>
      <c r="K119" s="423" t="str">
        <f>VLOOKUP(B119,MASTER!$B$8:$V$1435,10,FALSE)</f>
        <v>SEMARANG</v>
      </c>
      <c r="L119" s="413">
        <f>VLOOKUP(B119,MASTER!$B$8:$V$1435,11,FALSE)</f>
        <v>27853</v>
      </c>
      <c r="M119" s="422" t="str">
        <f t="shared" ref="M119" ca="1" si="79">DATEDIF(L119,TODAY(),"Y") &amp; "." &amp;DATEDIF(L119,TODAY(),"YM")</f>
        <v>42.0</v>
      </c>
      <c r="N119" s="413">
        <f>VLOOKUP(B119,MASTER!$B$8:$V$1435,14,FALSE)</f>
        <v>35807</v>
      </c>
      <c r="O119" s="422" t="str">
        <f t="shared" ref="O119" ca="1" si="80">DATEDIF(N119,TODAY(),"Y") &amp; "." &amp;DATEDIF(N119,TODAY(),"YM")</f>
        <v>20.3</v>
      </c>
      <c r="P119" s="413">
        <f>VLOOKUP(B119,MASTER!$B$8:$V$1435,16,FALSE)</f>
        <v>48307</v>
      </c>
      <c r="Q119" s="414" t="str">
        <f>VLOOKUP(B119,MASTER!$B$8:$V$1435,17,FALSE)</f>
        <v>I</v>
      </c>
      <c r="R119" s="411" t="str">
        <f>VLOOKUP(B119,MASTER!$B$8:$V$1435,18,FALSE)</f>
        <v>SMA</v>
      </c>
      <c r="S119" s="411" t="str">
        <f>VLOOKUP(B119,MASTER!$B$8:$V$1435,19,FALSE)</f>
        <v>D3</v>
      </c>
      <c r="T119" s="418" t="str">
        <f>VLOOKUP(B119,MASTER!$B$8:$V$1435,20,FALSE)</f>
        <v xml:space="preserve">O </v>
      </c>
      <c r="U119" s="415" t="str">
        <f>VLOOKUP($B119,ALAMAT!$A$1:E351,4)</f>
        <v>Jl.Merbau I No.16 RT.005 RW.007 Padangsari Banyumanik, Semarang</v>
      </c>
      <c r="X119" s="407">
        <f t="shared" ref="X119" ca="1" si="81">DATEDIF(L119,TODAY(),"y")</f>
        <v>42</v>
      </c>
      <c r="Y119" s="407">
        <f t="shared" ref="Y119" ca="1" si="82">DATEDIF(N119,TODAY(),"y")</f>
        <v>20</v>
      </c>
    </row>
    <row r="120" spans="1:25" s="407" customFormat="1" ht="12.95" customHeight="1">
      <c r="A120" s="416">
        <f>A119</f>
        <v>14</v>
      </c>
      <c r="B120" s="823"/>
      <c r="C120" s="435"/>
      <c r="D120" s="434"/>
      <c r="E120" s="435"/>
      <c r="F120" s="436"/>
      <c r="G120" s="436"/>
      <c r="H120" s="813">
        <f>SUM(H106:H119)</f>
        <v>31</v>
      </c>
      <c r="I120" s="813">
        <f>SUM(I106:I119)</f>
        <v>28</v>
      </c>
      <c r="J120" s="436"/>
      <c r="K120" s="437"/>
      <c r="L120" s="438"/>
      <c r="M120" s="439"/>
      <c r="N120" s="438"/>
      <c r="O120" s="439"/>
      <c r="P120" s="438"/>
      <c r="Q120" s="440"/>
      <c r="R120" s="436"/>
      <c r="S120" s="436"/>
      <c r="T120" s="812"/>
      <c r="U120" s="732"/>
      <c r="X120" s="407">
        <f t="shared" ca="1" si="59"/>
        <v>118</v>
      </c>
      <c r="Y120" s="407">
        <f t="shared" ca="1" si="60"/>
        <v>118</v>
      </c>
    </row>
    <row r="121" spans="1:25" s="407" customFormat="1" ht="12.95" customHeight="1">
      <c r="A121" s="408"/>
      <c r="B121" s="825" t="s">
        <v>673</v>
      </c>
      <c r="C121" s="426"/>
      <c r="D121" s="426"/>
      <c r="E121" s="426"/>
      <c r="F121" s="426"/>
      <c r="G121" s="411"/>
      <c r="H121" s="411"/>
      <c r="I121" s="411"/>
      <c r="J121" s="411"/>
      <c r="K121" s="411"/>
      <c r="L121" s="427"/>
      <c r="M121" s="417"/>
      <c r="N121" s="427"/>
      <c r="O121" s="427"/>
      <c r="P121" s="427"/>
      <c r="Q121" s="411"/>
      <c r="R121" s="411"/>
      <c r="S121" s="411"/>
      <c r="T121" s="418"/>
      <c r="U121" s="415"/>
      <c r="X121" s="407">
        <f t="shared" ca="1" si="59"/>
        <v>118</v>
      </c>
      <c r="Y121" s="407">
        <f t="shared" ca="1" si="60"/>
        <v>118</v>
      </c>
    </row>
    <row r="122" spans="1:25" s="407" customFormat="1" ht="12.95" customHeight="1">
      <c r="A122" s="421">
        <v>1</v>
      </c>
      <c r="B122" s="821">
        <v>4626</v>
      </c>
      <c r="C122" s="410" t="str">
        <f>VLOOKUP(B122,MASTER!$B$8:$C$137,2,FALSE)</f>
        <v>ANDIT HARIS CAHYONO</v>
      </c>
      <c r="D122" s="409" t="s">
        <v>2339</v>
      </c>
      <c r="E122" s="410" t="s">
        <v>429</v>
      </c>
      <c r="F122" s="736" t="s">
        <v>18</v>
      </c>
      <c r="G122" s="411" t="str">
        <f>VLOOKUP(B122,MASTER!$B$8:$H$1435,6,FALSE)</f>
        <v>K</v>
      </c>
      <c r="H122" s="411">
        <f>VLOOKUP(B122,MASTER!$B$8:$H$1435,7,FALSE)</f>
        <v>3</v>
      </c>
      <c r="I122" s="411">
        <f>VLOOKUP(B122,MASTER!$B$8:$V$1435,8,FALSE)</f>
        <v>3</v>
      </c>
      <c r="J122" s="411" t="str">
        <f>VLOOKUP(B122,MASTER!$B$8:$V$1435,9,FALSE)</f>
        <v>L</v>
      </c>
      <c r="K122" s="423" t="str">
        <f>VLOOKUP(B122,MASTER!$B$8:$V$1435,10,FALSE)</f>
        <v>SEMARANG</v>
      </c>
      <c r="L122" s="413">
        <f>VLOOKUP(B122,MASTER!$B$8:$V$1435,11,FALSE)</f>
        <v>23439</v>
      </c>
      <c r="M122" s="422" t="str">
        <f t="shared" ref="M122:M149" ca="1" si="83">DATEDIF(L122,TODAY(),"Y") &amp; "." &amp;DATEDIF(L122,TODAY(),"YM")</f>
        <v>54.1</v>
      </c>
      <c r="N122" s="413">
        <f>VLOOKUP(B122,MASTER!$B$8:$V$1435,14,FALSE)</f>
        <v>32025</v>
      </c>
      <c r="O122" s="422" t="str">
        <f t="shared" ref="O122:O150" ca="1" si="84">DATEDIF(N122,TODAY(),"Y") &amp; "." &amp;DATEDIF(N122,TODAY(),"YM")</f>
        <v>30.7</v>
      </c>
      <c r="P122" s="413">
        <f>VLOOKUP(B122,MASTER!$B$8:$V$1435,16,FALSE)</f>
        <v>43893</v>
      </c>
      <c r="Q122" s="414" t="str">
        <f>VLOOKUP(B122,MASTER!$B$8:$V$1435,17,FALSE)</f>
        <v>I</v>
      </c>
      <c r="R122" s="411" t="str">
        <f>VLOOKUP(B122,MASTER!$B$8:$V$1435,18,FALSE)</f>
        <v>SMA</v>
      </c>
      <c r="S122" s="411" t="str">
        <f>VLOOKUP(B122,MASTER!$B$8:$V$1435,19,FALSE)</f>
        <v>S1</v>
      </c>
      <c r="T122" s="418" t="str">
        <f>VLOOKUP(B122,MASTER!$B$8:$V$1435,20,FALSE)</f>
        <v>O</v>
      </c>
      <c r="U122" s="415" t="str">
        <f>VLOOKUP($B122,ALAMAT!$A$1:E354,4)</f>
        <v xml:space="preserve">Bukit Cempaka III Blok C no.203 RT.001 RW.021 Sendangmulyo </v>
      </c>
      <c r="X122" s="407">
        <f t="shared" ca="1" si="59"/>
        <v>54</v>
      </c>
      <c r="Y122" s="407">
        <f t="shared" ca="1" si="60"/>
        <v>30</v>
      </c>
    </row>
    <row r="123" spans="1:25" s="407" customFormat="1" ht="12.95" customHeight="1">
      <c r="A123" s="421">
        <v>2</v>
      </c>
      <c r="B123" s="821">
        <v>4629</v>
      </c>
      <c r="C123" s="410" t="str">
        <f>VLOOKUP(B123,MASTER!$B$8:$C$137,2,FALSE)</f>
        <v>R.MARDI PRIYANTO</v>
      </c>
      <c r="D123" s="409" t="s">
        <v>2339</v>
      </c>
      <c r="E123" s="410" t="s">
        <v>429</v>
      </c>
      <c r="F123" s="736" t="s">
        <v>18</v>
      </c>
      <c r="G123" s="411" t="str">
        <f>VLOOKUP(B123,MASTER!$B$8:$H$1435,6,FALSE)</f>
        <v>K</v>
      </c>
      <c r="H123" s="411">
        <f>VLOOKUP(B123,MASTER!$B$8:$H$1435,7,FALSE)</f>
        <v>2</v>
      </c>
      <c r="I123" s="411">
        <f>VLOOKUP(B123,MASTER!$B$8:$V$1435,8,FALSE)</f>
        <v>2</v>
      </c>
      <c r="J123" s="411" t="str">
        <f>VLOOKUP(B123,MASTER!$B$8:$V$1435,9,FALSE)</f>
        <v>L</v>
      </c>
      <c r="K123" s="423" t="str">
        <f>VLOOKUP(B123,MASTER!$B$8:$V$1435,10,FALSE)</f>
        <v>YOGYAKARTA</v>
      </c>
      <c r="L123" s="413">
        <f>VLOOKUP(B123,MASTER!$B$8:$V$1435,11,FALSE)</f>
        <v>24236</v>
      </c>
      <c r="M123" s="422" t="str">
        <f t="shared" ca="1" si="83"/>
        <v>51.11</v>
      </c>
      <c r="N123" s="413">
        <f>VLOOKUP(B123,MASTER!$B$8:$V$1435,14,FALSE)</f>
        <v>32025</v>
      </c>
      <c r="O123" s="422" t="str">
        <f t="shared" ca="1" si="84"/>
        <v>30.7</v>
      </c>
      <c r="P123" s="413">
        <f>VLOOKUP(B123,MASTER!$B$8:$V$1435,16,FALSE)</f>
        <v>44690</v>
      </c>
      <c r="Q123" s="414" t="str">
        <f>VLOOKUP(B123,MASTER!$B$8:$V$1435,17,FALSE)</f>
        <v>K</v>
      </c>
      <c r="R123" s="411" t="str">
        <f>VLOOKUP(B123,MASTER!$B$8:$V$1435,18,FALSE)</f>
        <v>SMEA</v>
      </c>
      <c r="S123" s="411" t="str">
        <f>VLOOKUP(B123,MASTER!$B$8:$V$1435,19,FALSE)</f>
        <v>S1</v>
      </c>
      <c r="T123" s="418" t="str">
        <f>VLOOKUP(B123,MASTER!$B$8:$V$1435,20,FALSE)</f>
        <v>O</v>
      </c>
      <c r="U123" s="415" t="str">
        <f>VLOOKUP($B123,ALAMAT!$A$1:E355,4)</f>
        <v>Jl Wonodri Krajan II/454-A Rt05 Rw 01 Wonodri Semarang</v>
      </c>
      <c r="X123" s="407">
        <f t="shared" ca="1" si="59"/>
        <v>51</v>
      </c>
      <c r="Y123" s="407">
        <f t="shared" ca="1" si="60"/>
        <v>30</v>
      </c>
    </row>
    <row r="124" spans="1:25" s="407" customFormat="1" ht="12.95" customHeight="1">
      <c r="A124" s="421">
        <v>3</v>
      </c>
      <c r="B124" s="817">
        <v>7685</v>
      </c>
      <c r="C124" s="410" t="str">
        <f>VLOOKUP(B124,MASTER!$B$8:$C$137,2,FALSE)</f>
        <v>SISWANTO</v>
      </c>
      <c r="D124" s="409" t="s">
        <v>2339</v>
      </c>
      <c r="E124" s="410" t="s">
        <v>429</v>
      </c>
      <c r="F124" s="736" t="s">
        <v>18</v>
      </c>
      <c r="G124" s="411" t="str">
        <f>VLOOKUP(B124,MASTER!$B$8:$H$1435,6,FALSE)</f>
        <v>K</v>
      </c>
      <c r="H124" s="411">
        <f>VLOOKUP(B124,MASTER!$B$8:$H$1435,7,FALSE)</f>
        <v>3</v>
      </c>
      <c r="I124" s="411">
        <f>VLOOKUP(B124,MASTER!$B$8:$V$1435,8,FALSE)</f>
        <v>3</v>
      </c>
      <c r="J124" s="411" t="str">
        <f>VLOOKUP(B124,MASTER!$B$8:$V$1435,9,FALSE)</f>
        <v>L</v>
      </c>
      <c r="K124" s="423" t="str">
        <f>VLOOKUP(B124,MASTER!$B$8:$V$1435,10,FALSE)</f>
        <v>SURABAYA</v>
      </c>
      <c r="L124" s="413">
        <f>VLOOKUP(B124,MASTER!$B$8:$V$1435,11,FALSE)</f>
        <v>26365</v>
      </c>
      <c r="M124" s="422" t="str">
        <f t="shared" ca="1" si="83"/>
        <v>46.1</v>
      </c>
      <c r="N124" s="413">
        <f>VLOOKUP(B124,MASTER!$B$8:$V$1435,14,FALSE)</f>
        <v>34648</v>
      </c>
      <c r="O124" s="422" t="str">
        <f t="shared" ca="1" si="84"/>
        <v>23.5</v>
      </c>
      <c r="P124" s="413">
        <f>VLOOKUP(B124,MASTER!$B$8:$V$1435,16,FALSE)</f>
        <v>46819</v>
      </c>
      <c r="Q124" s="414" t="str">
        <f>VLOOKUP(B124,MASTER!$B$8:$V$1435,17,FALSE)</f>
        <v>I</v>
      </c>
      <c r="R124" s="411" t="str">
        <f>VLOOKUP(B124,MASTER!$B$8:$V$1435,18,FALSE)</f>
        <v>STM</v>
      </c>
      <c r="S124" s="411" t="str">
        <f>VLOOKUP(B124,MASTER!$B$8:$V$1435,19,FALSE)</f>
        <v>S1</v>
      </c>
      <c r="T124" s="418" t="str">
        <f>VLOOKUP(B124,MASTER!$B$8:$V$1435,20,FALSE)</f>
        <v>O</v>
      </c>
      <c r="U124" s="415" t="str">
        <f>VLOOKUP($B124,ALAMAT!$A$1:E356,4)</f>
        <v>Jl Bangun Harjo II/39 RT 08 Rw 03Kedung Mundu Tembalang</v>
      </c>
      <c r="V124" s="8"/>
      <c r="X124" s="407">
        <f t="shared" ca="1" si="59"/>
        <v>46</v>
      </c>
      <c r="Y124" s="407">
        <f t="shared" ca="1" si="60"/>
        <v>23</v>
      </c>
    </row>
    <row r="125" spans="1:25" s="8" customFormat="1" ht="12.95" customHeight="1">
      <c r="A125" s="421">
        <v>4</v>
      </c>
      <c r="B125" s="817">
        <v>6005</v>
      </c>
      <c r="C125" s="410" t="str">
        <f>VLOOKUP(B125,MASTER!$B$8:$C$137,2,FALSE)</f>
        <v>SUHARYONO</v>
      </c>
      <c r="D125" s="409" t="s">
        <v>2339</v>
      </c>
      <c r="E125" s="410" t="s">
        <v>429</v>
      </c>
      <c r="F125" s="736" t="s">
        <v>18</v>
      </c>
      <c r="G125" s="411" t="str">
        <f>VLOOKUP(B125,MASTER!$B$8:$H$1435,6,FALSE)</f>
        <v>K</v>
      </c>
      <c r="H125" s="411">
        <f>VLOOKUP(B125,MASTER!$B$8:$H$1435,7,FALSE)</f>
        <v>2</v>
      </c>
      <c r="I125" s="411">
        <f>VLOOKUP(B125,MASTER!$B$8:$V$1435,8,FALSE)</f>
        <v>2</v>
      </c>
      <c r="J125" s="411" t="str">
        <f>VLOOKUP(B125,MASTER!$B$8:$V$1435,9,FALSE)</f>
        <v>L</v>
      </c>
      <c r="K125" s="423" t="str">
        <f>VLOOKUP(B125,MASTER!$B$8:$V$1435,10,FALSE)</f>
        <v>SEMARANG</v>
      </c>
      <c r="L125" s="413">
        <f>VLOOKUP(B125,MASTER!$B$8:$V$1435,11,FALSE)</f>
        <v>24811</v>
      </c>
      <c r="M125" s="422" t="str">
        <f t="shared" ca="1" si="83"/>
        <v>50.4</v>
      </c>
      <c r="N125" s="413">
        <f>VLOOKUP(B125,MASTER!$B$8:$V$1435,14,FALSE)</f>
        <v>33030</v>
      </c>
      <c r="O125" s="422" t="str">
        <f t="shared" ca="1" si="84"/>
        <v>27.10</v>
      </c>
      <c r="P125" s="413">
        <f>VLOOKUP(B125,MASTER!$B$8:$V$1435,16,FALSE)</f>
        <v>45265</v>
      </c>
      <c r="Q125" s="414" t="str">
        <f>VLOOKUP(B125,MASTER!$B$8:$V$1435,17,FALSE)</f>
        <v>I</v>
      </c>
      <c r="R125" s="411" t="str">
        <f>VLOOKUP(B125,MASTER!$B$8:$V$1435,18,FALSE)</f>
        <v>STM</v>
      </c>
      <c r="S125" s="411" t="str">
        <f>VLOOKUP(B125,MASTER!$B$8:$V$1435,19,FALSE)</f>
        <v>SLTA</v>
      </c>
      <c r="T125" s="418" t="str">
        <f>VLOOKUP(B125,MASTER!$B$8:$V$1435,20,FALSE)</f>
        <v>AB</v>
      </c>
      <c r="U125" s="415" t="str">
        <f>VLOOKUP($B125,ALAMAT!$A$1:E357,4)</f>
        <v>Wonodri Kopen Timur III/7 RT.007  RW.004 Wonodri Semarang Selatan</v>
      </c>
      <c r="V125" s="407"/>
      <c r="X125" s="407">
        <f t="shared" ca="1" si="59"/>
        <v>50</v>
      </c>
      <c r="Y125" s="407">
        <f t="shared" ca="1" si="60"/>
        <v>27</v>
      </c>
    </row>
    <row r="126" spans="1:25" s="8" customFormat="1" ht="12.95" customHeight="1">
      <c r="A126" s="421">
        <v>5</v>
      </c>
      <c r="B126" s="817">
        <v>7672</v>
      </c>
      <c r="C126" s="410" t="str">
        <f>VLOOKUP(B126,MASTER!$B$8:$C$137,2,FALSE)</f>
        <v>BUDI HARYAWAN</v>
      </c>
      <c r="D126" s="409" t="s">
        <v>2339</v>
      </c>
      <c r="E126" s="410" t="s">
        <v>429</v>
      </c>
      <c r="F126" s="736" t="s">
        <v>18</v>
      </c>
      <c r="G126" s="411" t="str">
        <f>VLOOKUP(B126,MASTER!$B$8:$H$1435,6,FALSE)</f>
        <v>K</v>
      </c>
      <c r="H126" s="411">
        <f>VLOOKUP(B126,MASTER!$B$8:$H$1435,7,FALSE)</f>
        <v>2</v>
      </c>
      <c r="I126" s="411">
        <f>VLOOKUP(B126,MASTER!$B$8:$V$1435,8,FALSE)</f>
        <v>2</v>
      </c>
      <c r="J126" s="411" t="str">
        <f>VLOOKUP(B126,MASTER!$B$8:$V$1435,9,FALSE)</f>
        <v>L</v>
      </c>
      <c r="K126" s="423" t="str">
        <f>VLOOKUP(B126,MASTER!$B$8:$V$1435,10,FALSE)</f>
        <v>SURABAYA</v>
      </c>
      <c r="L126" s="413">
        <f>VLOOKUP(B126,MASTER!$B$8:$V$1435,11,FALSE)</f>
        <v>26113</v>
      </c>
      <c r="M126" s="422" t="str">
        <f t="shared" ref="M126" ca="1" si="85">DATEDIF(L126,TODAY(),"Y") &amp; "." &amp;DATEDIF(L126,TODAY(),"YM")</f>
        <v>46.10</v>
      </c>
      <c r="N126" s="413">
        <f>VLOOKUP(B126,MASTER!$B$8:$V$1435,14,FALSE)</f>
        <v>34648</v>
      </c>
      <c r="O126" s="422" t="str">
        <f t="shared" ref="O126" ca="1" si="86">DATEDIF(N126,TODAY(),"Y") &amp; "." &amp;DATEDIF(N126,TODAY(),"YM")</f>
        <v>23.5</v>
      </c>
      <c r="P126" s="413">
        <f>VLOOKUP(B126,MASTER!$B$8:$V$1435,16,FALSE)</f>
        <v>46567</v>
      </c>
      <c r="Q126" s="414" t="str">
        <f>VLOOKUP(B126,MASTER!$B$8:$V$1435,17,FALSE)</f>
        <v>I</v>
      </c>
      <c r="R126" s="411" t="str">
        <f>VLOOKUP(B126,MASTER!$B$8:$V$1435,18,FALSE)</f>
        <v>SMA</v>
      </c>
      <c r="S126" s="411" t="str">
        <f>VLOOKUP(B126,MASTER!$B$8:$V$1435,19,FALSE)</f>
        <v>S1</v>
      </c>
      <c r="T126" s="418" t="str">
        <f>VLOOKUP(B126,MASTER!$B$8:$V$1435,20,FALSE)</f>
        <v>O</v>
      </c>
      <c r="U126" s="415" t="str">
        <f>VLOOKUP($B126,ALAMAT!$A$1:E358,4)</f>
        <v>Jl.Medoho Ria no.33 RT.001 RW.005 Sambirejo GayamsariSemarang</v>
      </c>
      <c r="V126" s="407"/>
      <c r="X126" s="407">
        <f t="shared" ref="X126" ca="1" si="87">DATEDIF(L126,TODAY(),"y")</f>
        <v>46</v>
      </c>
      <c r="Y126" s="407">
        <f t="shared" ref="Y126" ca="1" si="88">DATEDIF(N126,TODAY(),"y")</f>
        <v>23</v>
      </c>
    </row>
    <row r="127" spans="1:25" s="407" customFormat="1" ht="12.95" customHeight="1">
      <c r="A127" s="421">
        <v>6</v>
      </c>
      <c r="B127" s="821">
        <v>4638</v>
      </c>
      <c r="C127" s="410" t="str">
        <f>VLOOKUP(B127,MASTER!$B$8:$C$137,2,FALSE)</f>
        <v>SRI WINARTI</v>
      </c>
      <c r="D127" s="409">
        <v>5</v>
      </c>
      <c r="E127" s="410" t="s">
        <v>2499</v>
      </c>
      <c r="F127" s="736" t="s">
        <v>18</v>
      </c>
      <c r="G127" s="411" t="str">
        <f>VLOOKUP(B127,MASTER!$B$8:$H$1435,6,FALSE)</f>
        <v>K</v>
      </c>
      <c r="H127" s="411">
        <f>VLOOKUP(B127,MASTER!$B$8:$H$1435,7,FALSE)</f>
        <v>2</v>
      </c>
      <c r="I127" s="411">
        <f>VLOOKUP(B127,MASTER!$B$8:$V$1435,8,FALSE)</f>
        <v>2</v>
      </c>
      <c r="J127" s="411" t="str">
        <f>VLOOKUP(B127,MASTER!$B$8:$V$1435,9,FALSE)</f>
        <v>P</v>
      </c>
      <c r="K127" s="423" t="str">
        <f>VLOOKUP(B127,MASTER!$B$8:$V$1435,10,FALSE)</f>
        <v>SEMARANG</v>
      </c>
      <c r="L127" s="413">
        <f>VLOOKUP(B127,MASTER!$B$8:$V$1435,11,FALSE)</f>
        <v>23955</v>
      </c>
      <c r="M127" s="422" t="str">
        <f t="shared" ca="1" si="83"/>
        <v>52.8</v>
      </c>
      <c r="N127" s="413">
        <f>VLOOKUP(B127,MASTER!$B$8:$V$1435,14,FALSE)</f>
        <v>32025</v>
      </c>
      <c r="O127" s="422" t="str">
        <f t="shared" ca="1" si="84"/>
        <v>30.7</v>
      </c>
      <c r="P127" s="413">
        <f>VLOOKUP(B127,MASTER!$B$8:$V$1435,16,FALSE)</f>
        <v>44409</v>
      </c>
      <c r="Q127" s="414" t="str">
        <f>VLOOKUP(B127,MASTER!$B$8:$V$1435,17,FALSE)</f>
        <v>I</v>
      </c>
      <c r="R127" s="411" t="str">
        <f>VLOOKUP(B127,MASTER!$B$8:$V$1435,18,FALSE)</f>
        <v>SMA</v>
      </c>
      <c r="S127" s="411" t="str">
        <f>VLOOKUP(B127,MASTER!$B$8:$V$1435,19,FALSE)</f>
        <v>SLTA</v>
      </c>
      <c r="T127" s="418" t="str">
        <f>VLOOKUP(B127,MASTER!$B$8:$V$1435,20,FALSE)</f>
        <v>AB</v>
      </c>
      <c r="U127" s="415" t="str">
        <f>VLOOKUP($B127,ALAMAT!$A$1:E362,4)</f>
        <v>Jl.Karangrejo V, Karangrejo Asri B3  RT.003 Rw.003 Banyumanik,  Semarang</v>
      </c>
      <c r="X127" s="407">
        <f t="shared" ca="1" si="59"/>
        <v>52</v>
      </c>
      <c r="Y127" s="407">
        <f t="shared" ca="1" si="60"/>
        <v>30</v>
      </c>
    </row>
    <row r="128" spans="1:25" s="407" customFormat="1" ht="12.95" customHeight="1">
      <c r="A128" s="421">
        <v>7</v>
      </c>
      <c r="B128" s="821">
        <v>2971</v>
      </c>
      <c r="C128" s="410" t="str">
        <f>VLOOKUP(B128,MASTER!$B$8:$C$137,2,FALSE)</f>
        <v>SUKAMTA</v>
      </c>
      <c r="D128" s="409" t="s">
        <v>2341</v>
      </c>
      <c r="E128" s="410" t="s">
        <v>2596</v>
      </c>
      <c r="F128" s="736" t="s">
        <v>18</v>
      </c>
      <c r="G128" s="411" t="str">
        <f>VLOOKUP(B128,MASTER!$B$8:$H$1435,6,FALSE)</f>
        <v>K</v>
      </c>
      <c r="H128" s="411">
        <f>VLOOKUP(B128,MASTER!$B$8:$H$1435,7,FALSE)</f>
        <v>3</v>
      </c>
      <c r="I128" s="411">
        <f>VLOOKUP(B128,MASTER!$B$8:$V$1435,8,FALSE)</f>
        <v>3</v>
      </c>
      <c r="J128" s="411" t="str">
        <f>VLOOKUP(B128,MASTER!$B$8:$V$1435,9,FALSE)</f>
        <v>L</v>
      </c>
      <c r="K128" s="423" t="str">
        <f>VLOOKUP(B128,MASTER!$B$8:$V$1435,10,FALSE)</f>
        <v>WONOSARI</v>
      </c>
      <c r="L128" s="413">
        <f>VLOOKUP(B128,MASTER!$B$8:$V$1435,11,FALSE)</f>
        <v>23196</v>
      </c>
      <c r="M128" s="422" t="str">
        <f t="shared" ca="1" si="83"/>
        <v>54.9</v>
      </c>
      <c r="N128" s="413">
        <f>VLOOKUP(B128,MASTER!$B$8:$V$1435,14,FALSE)</f>
        <v>31034</v>
      </c>
      <c r="O128" s="422" t="str">
        <f t="shared" ca="1" si="84"/>
        <v>33.4</v>
      </c>
      <c r="P128" s="413">
        <f>VLOOKUP(B128,MASTER!$B$8:$V$1435,16,FALSE)</f>
        <v>43650</v>
      </c>
      <c r="Q128" s="414" t="str">
        <f>VLOOKUP(B128,MASTER!$B$8:$V$1435,17,FALSE)</f>
        <v>I</v>
      </c>
      <c r="R128" s="411" t="str">
        <f>VLOOKUP(B128,MASTER!$B$8:$V$1435,18,FALSE)</f>
        <v>SMA</v>
      </c>
      <c r="S128" s="411" t="str">
        <f>VLOOKUP(B128,MASTER!$B$8:$V$1435,19,FALSE)</f>
        <v>SLTA</v>
      </c>
      <c r="T128" s="418" t="str">
        <f>VLOOKUP(B128,MASTER!$B$8:$V$1435,20,FALSE)</f>
        <v>B</v>
      </c>
      <c r="U128" s="415" t="str">
        <f>VLOOKUP($B128,ALAMAT!$A$1:E363,4)</f>
        <v>Jl.Pucang Peni I no.3 RT.002 RW.011 Batursari Meranggen Kab.Demak</v>
      </c>
      <c r="X128" s="407">
        <f t="shared" ca="1" si="59"/>
        <v>54</v>
      </c>
      <c r="Y128" s="407">
        <f t="shared" ca="1" si="60"/>
        <v>33</v>
      </c>
    </row>
    <row r="129" spans="1:25" s="407" customFormat="1" ht="12.95" customHeight="1">
      <c r="A129" s="421">
        <v>8</v>
      </c>
      <c r="B129" s="821">
        <v>4672</v>
      </c>
      <c r="C129" s="410" t="str">
        <f>VLOOKUP(B129,MASTER!$B$8:$C$137,2,FALSE)</f>
        <v>KUSMIN</v>
      </c>
      <c r="D129" s="409" t="s">
        <v>2341</v>
      </c>
      <c r="E129" s="410" t="s">
        <v>2596</v>
      </c>
      <c r="F129" s="736" t="s">
        <v>18</v>
      </c>
      <c r="G129" s="411" t="str">
        <f>VLOOKUP(B129,MASTER!$B$8:$H$1435,6,FALSE)</f>
        <v>K</v>
      </c>
      <c r="H129" s="411">
        <f>VLOOKUP(B129,MASTER!$B$8:$H$1435,7,FALSE)</f>
        <v>2</v>
      </c>
      <c r="I129" s="411">
        <f>VLOOKUP(B129,MASTER!$B$8:$V$1435,8,FALSE)</f>
        <v>2</v>
      </c>
      <c r="J129" s="411" t="str">
        <f>VLOOKUP(B129,MASTER!$B$8:$V$1435,9,FALSE)</f>
        <v>L</v>
      </c>
      <c r="K129" s="423" t="str">
        <f>VLOOKUP(B129,MASTER!$B$8:$V$1435,10,FALSE)</f>
        <v>SEMARANG</v>
      </c>
      <c r="L129" s="413">
        <f>VLOOKUP(B129,MASTER!$B$8:$V$1435,11,FALSE)</f>
        <v>23359</v>
      </c>
      <c r="M129" s="422" t="str">
        <f t="shared" ca="1" si="83"/>
        <v>54.4</v>
      </c>
      <c r="N129" s="413">
        <f>VLOOKUP(B129,MASTER!$B$8:$V$1435,14,FALSE)</f>
        <v>32025</v>
      </c>
      <c r="O129" s="422" t="str">
        <f t="shared" ca="1" si="84"/>
        <v>30.7</v>
      </c>
      <c r="P129" s="413">
        <f>VLOOKUP(B129,MASTER!$B$8:$V$1435,16,FALSE)</f>
        <v>43813</v>
      </c>
      <c r="Q129" s="414" t="str">
        <f>VLOOKUP(B129,MASTER!$B$8:$V$1435,17,FALSE)</f>
        <v>I</v>
      </c>
      <c r="R129" s="411" t="str">
        <f>VLOOKUP(B129,MASTER!$B$8:$V$1435,18,FALSE)</f>
        <v>STM</v>
      </c>
      <c r="S129" s="411" t="str">
        <f>VLOOKUP(B129,MASTER!$B$8:$V$1435,19,FALSE)</f>
        <v>SLTA</v>
      </c>
      <c r="T129" s="418" t="str">
        <f>VLOOKUP(B129,MASTER!$B$8:$V$1435,20,FALSE)</f>
        <v>O</v>
      </c>
      <c r="U129" s="415" t="str">
        <f>VLOOKUP($B129,ALAMAT!$A$1:E364,4)</f>
        <v>Jl.Maos Pati Raya No.27 RT.004 RW.013 Beji Ungaran kab.Semarang</v>
      </c>
      <c r="X129" s="407">
        <f t="shared" ca="1" si="59"/>
        <v>54</v>
      </c>
      <c r="Y129" s="407">
        <f t="shared" ca="1" si="60"/>
        <v>30</v>
      </c>
    </row>
    <row r="130" spans="1:25" s="407" customFormat="1" ht="12.95" customHeight="1">
      <c r="A130" s="421">
        <v>9</v>
      </c>
      <c r="B130" s="821">
        <v>6031</v>
      </c>
      <c r="C130" s="410" t="str">
        <f>VLOOKUP(B130,MASTER!$B$8:$C$137,2,FALSE)</f>
        <v>SRI ARIYANI</v>
      </c>
      <c r="D130" s="409" t="s">
        <v>2341</v>
      </c>
      <c r="E130" s="410" t="s">
        <v>2596</v>
      </c>
      <c r="F130" s="736" t="s">
        <v>18</v>
      </c>
      <c r="G130" s="411" t="str">
        <f>VLOOKUP(B130,MASTER!$B$8:$H$1435,6,FALSE)</f>
        <v>K</v>
      </c>
      <c r="H130" s="411">
        <f>VLOOKUP(B130,MASTER!$B$8:$H$1435,7,FALSE)</f>
        <v>3</v>
      </c>
      <c r="I130" s="411">
        <f>VLOOKUP(B130,MASTER!$B$8:$V$1435,8,FALSE)</f>
        <v>3</v>
      </c>
      <c r="J130" s="411" t="str">
        <f>VLOOKUP(B130,MASTER!$B$8:$V$1435,9,FALSE)</f>
        <v>P</v>
      </c>
      <c r="K130" s="423" t="str">
        <f>VLOOKUP(B130,MASTER!$B$8:$V$1435,10,FALSE)</f>
        <v>TEMANGGUNG</v>
      </c>
      <c r="L130" s="413">
        <f>VLOOKUP(B130,MASTER!$B$8:$V$1435,11,FALSE)</f>
        <v>25092</v>
      </c>
      <c r="M130" s="422" t="str">
        <f t="shared" ca="1" si="83"/>
        <v>49.7</v>
      </c>
      <c r="N130" s="413">
        <f>VLOOKUP(B130,MASTER!$B$8:$V$1435,14,FALSE)</f>
        <v>33044</v>
      </c>
      <c r="O130" s="422" t="str">
        <f t="shared" ca="1" si="84"/>
        <v>27.10</v>
      </c>
      <c r="P130" s="413">
        <f>VLOOKUP(B130,MASTER!$B$8:$V$1435,16,FALSE)</f>
        <v>45546</v>
      </c>
      <c r="Q130" s="414" t="str">
        <f>VLOOKUP(B130,MASTER!$B$8:$V$1435,17,FALSE)</f>
        <v>I</v>
      </c>
      <c r="R130" s="411" t="str">
        <f>VLOOKUP(B130,MASTER!$B$8:$V$1435,18,FALSE)</f>
        <v>SMA</v>
      </c>
      <c r="S130" s="411" t="str">
        <f>VLOOKUP(B130,MASTER!$B$8:$V$1435,19,FALSE)</f>
        <v>SLTA</v>
      </c>
      <c r="T130" s="418" t="str">
        <f>VLOOKUP(B130,MASTER!$B$8:$V$1435,20,FALSE)</f>
        <v>A</v>
      </c>
      <c r="U130" s="415" t="str">
        <f>VLOOKUP($B130,ALAMAT!$A$1:E365,4)</f>
        <v>Jl. Yudistira V/No.08 RT.002 RW.010 Lerep, Ungaran Barat, Kab. Semarang</v>
      </c>
      <c r="X130" s="407">
        <f t="shared" ca="1" si="59"/>
        <v>49</v>
      </c>
      <c r="Y130" s="407">
        <f t="shared" ca="1" si="60"/>
        <v>27</v>
      </c>
    </row>
    <row r="131" spans="1:25" s="407" customFormat="1" ht="12.95" customHeight="1">
      <c r="A131" s="421">
        <v>10</v>
      </c>
      <c r="B131" s="821">
        <v>6123</v>
      </c>
      <c r="C131" s="410" t="str">
        <f>VLOOKUP(B131,MASTER!$B$8:$C$137,2,FALSE)</f>
        <v>JUWANTO</v>
      </c>
      <c r="D131" s="409" t="s">
        <v>2341</v>
      </c>
      <c r="E131" s="410" t="s">
        <v>2596</v>
      </c>
      <c r="F131" s="736" t="s">
        <v>18</v>
      </c>
      <c r="G131" s="411" t="str">
        <f>VLOOKUP(B131,MASTER!$B$8:$H$1435,6,FALSE)</f>
        <v>K</v>
      </c>
      <c r="H131" s="411">
        <f>VLOOKUP(B131,MASTER!$B$8:$H$1435,7,FALSE)</f>
        <v>3</v>
      </c>
      <c r="I131" s="411">
        <f>VLOOKUP(B131,MASTER!$B$8:$V$1435,8,FALSE)</f>
        <v>3</v>
      </c>
      <c r="J131" s="411" t="str">
        <f>VLOOKUP(B131,MASTER!$B$8:$V$1435,9,FALSE)</f>
        <v>L</v>
      </c>
      <c r="K131" s="423" t="str">
        <f>VLOOKUP(B131,MASTER!$B$8:$V$1435,10,FALSE)</f>
        <v>DEMAK</v>
      </c>
      <c r="L131" s="413">
        <f>VLOOKUP(B131,MASTER!$B$8:$V$1435,11,FALSE)</f>
        <v>24627</v>
      </c>
      <c r="M131" s="422" t="str">
        <f t="shared" ca="1" si="83"/>
        <v>50.10</v>
      </c>
      <c r="N131" s="413">
        <f>VLOOKUP(B131,MASTER!$B$8:$V$1435,14,FALSE)</f>
        <v>33168</v>
      </c>
      <c r="O131" s="422" t="str">
        <f t="shared" ca="1" si="84"/>
        <v>27.6</v>
      </c>
      <c r="P131" s="413">
        <f>VLOOKUP(B131,MASTER!$B$8:$V$1435,16,FALSE)</f>
        <v>45081</v>
      </c>
      <c r="Q131" s="414" t="str">
        <f>VLOOKUP(B131,MASTER!$B$8:$V$1435,17,FALSE)</f>
        <v>I</v>
      </c>
      <c r="R131" s="411" t="str">
        <f>VLOOKUP(B131,MASTER!$B$8:$V$1435,18,FALSE)</f>
        <v>SMA</v>
      </c>
      <c r="S131" s="411" t="str">
        <f>VLOOKUP(B131,MASTER!$B$8:$V$1435,19,FALSE)</f>
        <v>SLTA</v>
      </c>
      <c r="T131" s="418" t="str">
        <f>VLOOKUP(B131,MASTER!$B$8:$V$1435,20,FALSE)</f>
        <v>A</v>
      </c>
      <c r="U131" s="415" t="str">
        <f>VLOOKUP($B131,ALAMAT!$A$1:E366,4)</f>
        <v>Jl.Raya Ngemplak RT.010 RW.001 Ngemplak Mranggen Demak</v>
      </c>
      <c r="X131" s="407">
        <f t="shared" ca="1" si="59"/>
        <v>50</v>
      </c>
      <c r="Y131" s="407">
        <f t="shared" ca="1" si="60"/>
        <v>27</v>
      </c>
    </row>
    <row r="132" spans="1:25" s="407" customFormat="1" ht="12.95" customHeight="1">
      <c r="A132" s="421">
        <v>11</v>
      </c>
      <c r="B132" s="821">
        <v>6454</v>
      </c>
      <c r="C132" s="410" t="str">
        <f>VLOOKUP(B132,MASTER!$B$8:$C$137,2,FALSE)</f>
        <v>JON EFENDI</v>
      </c>
      <c r="D132" s="409" t="s">
        <v>2341</v>
      </c>
      <c r="E132" s="410" t="s">
        <v>2596</v>
      </c>
      <c r="F132" s="736" t="s">
        <v>18</v>
      </c>
      <c r="G132" s="411" t="str">
        <f>VLOOKUP(B132,MASTER!$B$8:$H$1435,6,FALSE)</f>
        <v>K</v>
      </c>
      <c r="H132" s="411">
        <f>VLOOKUP(B132,MASTER!$B$8:$H$1435,7,FALSE)</f>
        <v>1</v>
      </c>
      <c r="I132" s="411">
        <f>VLOOKUP(B132,MASTER!$B$8:$V$1435,8,FALSE)</f>
        <v>1</v>
      </c>
      <c r="J132" s="411" t="str">
        <f>VLOOKUP(B132,MASTER!$B$8:$V$1435,9,FALSE)</f>
        <v>L</v>
      </c>
      <c r="K132" s="423" t="str">
        <f>VLOOKUP(B132,MASTER!$B$8:$V$1435,10,FALSE)</f>
        <v>PEMALANG</v>
      </c>
      <c r="L132" s="413">
        <f>VLOOKUP(B132,MASTER!$B$8:$V$1435,11,FALSE)</f>
        <v>24618</v>
      </c>
      <c r="M132" s="422" t="str">
        <f t="shared" ca="1" si="83"/>
        <v>50.11</v>
      </c>
      <c r="N132" s="413">
        <f>VLOOKUP(B132,MASTER!$B$8:$V$1435,14,FALSE)</f>
        <v>33224</v>
      </c>
      <c r="O132" s="422" t="str">
        <f t="shared" ca="1" si="84"/>
        <v>27.4</v>
      </c>
      <c r="P132" s="413">
        <f>VLOOKUP(B132,MASTER!$B$8:$V$1435,16,FALSE)</f>
        <v>45072</v>
      </c>
      <c r="Q132" s="414" t="str">
        <f>VLOOKUP(B132,MASTER!$B$8:$V$1435,17,FALSE)</f>
        <v>P</v>
      </c>
      <c r="R132" s="411" t="str">
        <f>VLOOKUP(B132,MASTER!$B$8:$V$1435,18,FALSE)</f>
        <v>STM</v>
      </c>
      <c r="S132" s="411" t="str">
        <f>VLOOKUP(B132,MASTER!$B$8:$V$1435,19,FALSE)</f>
        <v>S1</v>
      </c>
      <c r="T132" s="418" t="str">
        <f>VLOOKUP(B132,MASTER!$B$8:$V$1435,20,FALSE)</f>
        <v>A</v>
      </c>
      <c r="U132" s="415" t="str">
        <f>VLOOKUP($B132,ALAMAT!$A$1:E367,4)</f>
        <v>Jl.Puspowarno Selatan II/19A RT.002 RW.005 Salaman mloyo Semarang Barat</v>
      </c>
      <c r="X132" s="407">
        <f t="shared" ca="1" si="59"/>
        <v>50</v>
      </c>
      <c r="Y132" s="407">
        <f t="shared" ca="1" si="60"/>
        <v>27</v>
      </c>
    </row>
    <row r="133" spans="1:25" s="407" customFormat="1" ht="12.95" customHeight="1">
      <c r="A133" s="421">
        <v>12</v>
      </c>
      <c r="B133" s="821">
        <v>7161</v>
      </c>
      <c r="C133" s="410" t="str">
        <f>VLOOKUP(B133,MASTER!$B$8:$C$137,2,FALSE)</f>
        <v>SUTOMO</v>
      </c>
      <c r="D133" s="409" t="s">
        <v>2341</v>
      </c>
      <c r="E133" s="410" t="s">
        <v>2596</v>
      </c>
      <c r="F133" s="736" t="s">
        <v>18</v>
      </c>
      <c r="G133" s="411" t="str">
        <f>VLOOKUP(B133,MASTER!$B$8:$H$1435,6,FALSE)</f>
        <v>K</v>
      </c>
      <c r="H133" s="411">
        <f>VLOOKUP(B133,MASTER!$B$8:$H$1435,7,FALSE)</f>
        <v>3</v>
      </c>
      <c r="I133" s="411">
        <f>VLOOKUP(B133,MASTER!$B$8:$V$1435,8,FALSE)</f>
        <v>3</v>
      </c>
      <c r="J133" s="411" t="str">
        <f>VLOOKUP(B133,MASTER!$B$8:$V$1435,9,FALSE)</f>
        <v>L</v>
      </c>
      <c r="K133" s="423" t="str">
        <f>VLOOKUP(B133,MASTER!$B$8:$V$1435,10,FALSE)</f>
        <v>SEMARANG</v>
      </c>
      <c r="L133" s="413">
        <f>VLOOKUP(B133,MASTER!$B$8:$V$1435,11,FALSE)</f>
        <v>25672</v>
      </c>
      <c r="M133" s="422" t="str">
        <f t="shared" ca="1" si="83"/>
        <v>48.0</v>
      </c>
      <c r="N133" s="413">
        <f>VLOOKUP(B133,MASTER!$B$8:$V$1435,14,FALSE)</f>
        <v>34022</v>
      </c>
      <c r="O133" s="422" t="str">
        <f t="shared" ca="1" si="84"/>
        <v>25.2</v>
      </c>
      <c r="P133" s="413">
        <f>VLOOKUP(B133,MASTER!$B$8:$V$1435,16,FALSE)</f>
        <v>46126</v>
      </c>
      <c r="Q133" s="414" t="str">
        <f>VLOOKUP(B133,MASTER!$B$8:$V$1435,17,FALSE)</f>
        <v>P</v>
      </c>
      <c r="R133" s="411" t="str">
        <f>VLOOKUP(B133,MASTER!$B$8:$V$1435,18,FALSE)</f>
        <v>SMA</v>
      </c>
      <c r="S133" s="411" t="str">
        <f>VLOOKUP(B133,MASTER!$B$8:$V$1435,19,FALSE)</f>
        <v>S1</v>
      </c>
      <c r="T133" s="418" t="str">
        <f>VLOOKUP(B133,MASTER!$B$8:$V$1435,20,FALSE)</f>
        <v>AB</v>
      </c>
      <c r="U133" s="415" t="str">
        <f>VLOOKUP($B133,ALAMAT!$A$1:E368,4)</f>
        <v>Jl.Kamiluto IX/7 RT.001 RW.021Muktiharjo Kidul, PedurunganSemarang</v>
      </c>
      <c r="X133" s="407">
        <f t="shared" ca="1" si="59"/>
        <v>48</v>
      </c>
      <c r="Y133" s="407">
        <f t="shared" ca="1" si="60"/>
        <v>25</v>
      </c>
    </row>
    <row r="134" spans="1:25" s="407" customFormat="1" ht="12.95" customHeight="1">
      <c r="A134" s="421">
        <v>13</v>
      </c>
      <c r="B134" s="821">
        <v>7196</v>
      </c>
      <c r="C134" s="410" t="str">
        <f>VLOOKUP(B134,MASTER!$B$8:$C$137,2,FALSE)</f>
        <v>ANNAS HIDAYAH ROFII</v>
      </c>
      <c r="D134" s="409" t="s">
        <v>2341</v>
      </c>
      <c r="E134" s="410" t="s">
        <v>2596</v>
      </c>
      <c r="F134" s="736" t="s">
        <v>18</v>
      </c>
      <c r="G134" s="411" t="str">
        <f>VLOOKUP(B134,MASTER!$B$8:$H$1435,6,FALSE)</f>
        <v>K</v>
      </c>
      <c r="H134" s="411">
        <f>VLOOKUP(B134,MASTER!$B$8:$H$1435,7,FALSE)</f>
        <v>2</v>
      </c>
      <c r="I134" s="411">
        <f>VLOOKUP(B134,MASTER!$B$8:$V$1435,8,FALSE)</f>
        <v>2</v>
      </c>
      <c r="J134" s="411" t="str">
        <f>VLOOKUP(B134,MASTER!$B$8:$V$1435,9,FALSE)</f>
        <v>L</v>
      </c>
      <c r="K134" s="423" t="str">
        <f>VLOOKUP(B134,MASTER!$B$8:$V$1435,10,FALSE)</f>
        <v>SEMARANG</v>
      </c>
      <c r="L134" s="413">
        <f>VLOOKUP(B134,MASTER!$B$8:$V$1435,11,FALSE)</f>
        <v>26202</v>
      </c>
      <c r="M134" s="422" t="str">
        <f t="shared" ca="1" si="83"/>
        <v>46.7</v>
      </c>
      <c r="N134" s="413">
        <f>VLOOKUP(B134,MASTER!$B$8:$V$1435,14,FALSE)</f>
        <v>34029</v>
      </c>
      <c r="O134" s="422" t="str">
        <f t="shared" ca="1" si="84"/>
        <v>25.1</v>
      </c>
      <c r="P134" s="413">
        <f>VLOOKUP(B134,MASTER!$B$8:$V$1435,16,FALSE)</f>
        <v>46656</v>
      </c>
      <c r="Q134" s="414" t="str">
        <f>VLOOKUP(B134,MASTER!$B$8:$V$1435,17,FALSE)</f>
        <v>I</v>
      </c>
      <c r="R134" s="411" t="str">
        <f>VLOOKUP(B134,MASTER!$B$8:$V$1435,18,FALSE)</f>
        <v>SMA</v>
      </c>
      <c r="S134" s="411" t="str">
        <f>VLOOKUP(B134,MASTER!$B$8:$V$1435,19,FALSE)</f>
        <v>S1</v>
      </c>
      <c r="T134" s="418" t="str">
        <f>VLOOKUP(B134,MASTER!$B$8:$V$1435,20,FALSE)</f>
        <v>A</v>
      </c>
      <c r="U134" s="415" t="str">
        <f>VLOOKUP($B134,ALAMAT!$A$1:E369,4)</f>
        <v>Gergaji Balekambang 29 RT.004 RW.007 Mugasari Semarang Selatan</v>
      </c>
      <c r="X134" s="407">
        <f t="shared" ref="X134:X149" ca="1" si="89">DATEDIF(L134,TODAY(),"y")</f>
        <v>46</v>
      </c>
      <c r="Y134" s="407">
        <f t="shared" ref="Y134:Y149" ca="1" si="90">DATEDIF(N134,TODAY(),"y")</f>
        <v>25</v>
      </c>
    </row>
    <row r="135" spans="1:25" s="407" customFormat="1" ht="12.95" customHeight="1">
      <c r="A135" s="421">
        <v>14</v>
      </c>
      <c r="B135" s="817">
        <v>7237</v>
      </c>
      <c r="C135" s="410" t="str">
        <f>VLOOKUP(B135,MASTER!$B$8:$C$137,2,FALSE)</f>
        <v>ANJAR BUDIANTO</v>
      </c>
      <c r="D135" s="409" t="s">
        <v>2341</v>
      </c>
      <c r="E135" s="410" t="s">
        <v>2596</v>
      </c>
      <c r="F135" s="736" t="s">
        <v>18</v>
      </c>
      <c r="G135" s="411" t="str">
        <f>VLOOKUP(B135,MASTER!$B$8:$H$1435,6,FALSE)</f>
        <v>K</v>
      </c>
      <c r="H135" s="411">
        <f>VLOOKUP(B135,MASTER!$B$8:$H$1435,7,FALSE)</f>
        <v>1</v>
      </c>
      <c r="I135" s="411">
        <f>VLOOKUP(B135,MASTER!$B$8:$V$1435,8,FALSE)</f>
        <v>1</v>
      </c>
      <c r="J135" s="411" t="str">
        <f>VLOOKUP(B135,MASTER!$B$8:$V$1435,9,FALSE)</f>
        <v>L</v>
      </c>
      <c r="K135" s="423" t="str">
        <f>VLOOKUP(B135,MASTER!$B$8:$V$1435,10,FALSE)</f>
        <v>SURABAYA</v>
      </c>
      <c r="L135" s="413">
        <f>VLOOKUP(B135,MASTER!$B$8:$V$1435,11,FALSE)</f>
        <v>26047</v>
      </c>
      <c r="M135" s="422" t="str">
        <f t="shared" ca="1" si="83"/>
        <v>47.0</v>
      </c>
      <c r="N135" s="413">
        <f>VLOOKUP(B135,MASTER!$B$8:$V$1435,14,FALSE)</f>
        <v>34034</v>
      </c>
      <c r="O135" s="422" t="str">
        <f t="shared" ca="1" si="84"/>
        <v>25.1</v>
      </c>
      <c r="P135" s="413">
        <f>VLOOKUP(B135,MASTER!$B$8:$V$1435,16,FALSE)</f>
        <v>46501</v>
      </c>
      <c r="Q135" s="414" t="str">
        <f>VLOOKUP(B135,MASTER!$B$8:$V$1435,17,FALSE)</f>
        <v>K</v>
      </c>
      <c r="R135" s="411" t="str">
        <f>VLOOKUP(B135,MASTER!$B$8:$V$1435,18,FALSE)</f>
        <v>SMA</v>
      </c>
      <c r="S135" s="411" t="str">
        <f>VLOOKUP(B135,MASTER!$B$8:$V$1435,19,FALSE)</f>
        <v>SLTA</v>
      </c>
      <c r="T135" s="418" t="str">
        <f>VLOOKUP(B135,MASTER!$B$8:$V$1435,20,FALSE)</f>
        <v>-</v>
      </c>
      <c r="U135" s="415" t="str">
        <f>VLOOKUP($B135,ALAMAT!$A$1:E370,4)</f>
        <v>Jl Mataram II No 3 Banyuanyar Solo</v>
      </c>
      <c r="X135" s="407">
        <f t="shared" ca="1" si="89"/>
        <v>47</v>
      </c>
      <c r="Y135" s="407">
        <f t="shared" ca="1" si="90"/>
        <v>25</v>
      </c>
    </row>
    <row r="136" spans="1:25" s="407" customFormat="1" ht="12.95" customHeight="1">
      <c r="A136" s="421">
        <v>15</v>
      </c>
      <c r="B136" s="817">
        <v>7483</v>
      </c>
      <c r="C136" s="410" t="str">
        <f>VLOOKUP(B136,MASTER!$B$8:$C$137,2,FALSE)</f>
        <v>SUTARTO</v>
      </c>
      <c r="D136" s="409" t="s">
        <v>2341</v>
      </c>
      <c r="E136" s="410" t="s">
        <v>2596</v>
      </c>
      <c r="F136" s="736" t="s">
        <v>18</v>
      </c>
      <c r="G136" s="411" t="str">
        <f>VLOOKUP(B136,MASTER!$B$8:$H$1435,6,FALSE)</f>
        <v>K</v>
      </c>
      <c r="H136" s="411">
        <f>VLOOKUP(B136,MASTER!$B$8:$H$1435,7,FALSE)</f>
        <v>0</v>
      </c>
      <c r="I136" s="411">
        <f>VLOOKUP(B136,MASTER!$B$8:$V$1435,8,FALSE)</f>
        <v>0</v>
      </c>
      <c r="J136" s="411" t="str">
        <f>VLOOKUP(B136,MASTER!$B$8:$V$1435,9,FALSE)</f>
        <v>L</v>
      </c>
      <c r="K136" s="423" t="str">
        <f>VLOOKUP(B136,MASTER!$B$8:$V$1435,10,FALSE)</f>
        <v>KARANGANYAR</v>
      </c>
      <c r="L136" s="413">
        <f>VLOOKUP(B136,MASTER!$B$8:$V$1435,11,FALSE)</f>
        <v>25427</v>
      </c>
      <c r="M136" s="422" t="str">
        <f t="shared" ca="1" si="83"/>
        <v>48.8</v>
      </c>
      <c r="N136" s="413">
        <f>VLOOKUP(B136,MASTER!$B$8:$V$1435,14,FALSE)</f>
        <v>34590</v>
      </c>
      <c r="O136" s="422" t="str">
        <f t="shared" ca="1" si="84"/>
        <v>23.7</v>
      </c>
      <c r="P136" s="413">
        <f>VLOOKUP(B136,MASTER!$B$8:$V$1435,16,FALSE)</f>
        <v>45881</v>
      </c>
      <c r="Q136" s="414" t="str">
        <f>VLOOKUP(B136,MASTER!$B$8:$V$1435,17,FALSE)</f>
        <v>I</v>
      </c>
      <c r="R136" s="411" t="str">
        <f>VLOOKUP(B136,MASTER!$B$8:$V$1435,18,FALSE)</f>
        <v>SMA</v>
      </c>
      <c r="S136" s="411" t="str">
        <f>VLOOKUP(B136,MASTER!$B$8:$V$1435,19,FALSE)</f>
        <v>SLTA</v>
      </c>
      <c r="T136" s="418" t="str">
        <f>VLOOKUP(B136,MASTER!$B$8:$V$1435,20,FALSE)</f>
        <v>-</v>
      </c>
      <c r="U136" s="415" t="str">
        <f>VLOOKUP($B136,ALAMAT!$A$1:E371,4)</f>
        <v>KejenanRt01 Rw08 Bangsi Karangpandan Smg</v>
      </c>
      <c r="X136" s="407">
        <f t="shared" ca="1" si="89"/>
        <v>48</v>
      </c>
      <c r="Y136" s="407">
        <f t="shared" ca="1" si="90"/>
        <v>23</v>
      </c>
    </row>
    <row r="137" spans="1:25" s="407" customFormat="1" ht="12.95" customHeight="1">
      <c r="A137" s="421">
        <v>16</v>
      </c>
      <c r="B137" s="817">
        <v>7500</v>
      </c>
      <c r="C137" s="410" t="str">
        <f>VLOOKUP(B137,MASTER!$B$8:$C$137,2,FALSE)</f>
        <v>MUSTAFID</v>
      </c>
      <c r="D137" s="409" t="s">
        <v>2341</v>
      </c>
      <c r="E137" s="410" t="s">
        <v>2596</v>
      </c>
      <c r="F137" s="736" t="s">
        <v>18</v>
      </c>
      <c r="G137" s="411" t="str">
        <f>VLOOKUP(B137,MASTER!$B$8:$H$1435,6,FALSE)</f>
        <v>K</v>
      </c>
      <c r="H137" s="411">
        <f>VLOOKUP(B137,MASTER!$B$8:$H$1435,7,FALSE)</f>
        <v>2</v>
      </c>
      <c r="I137" s="411">
        <f>VLOOKUP(B137,MASTER!$B$8:$V$1435,8,FALSE)</f>
        <v>2</v>
      </c>
      <c r="J137" s="411" t="str">
        <f>VLOOKUP(B137,MASTER!$B$8:$V$1435,9,FALSE)</f>
        <v>L</v>
      </c>
      <c r="K137" s="423" t="str">
        <f>VLOOKUP(B137,MASTER!$B$8:$V$1435,10,FALSE)</f>
        <v>DEMAK</v>
      </c>
      <c r="L137" s="413">
        <f>VLOOKUP(B137,MASTER!$B$8:$V$1435,11,FALSE)</f>
        <v>26420</v>
      </c>
      <c r="M137" s="422" t="str">
        <f t="shared" ca="1" si="83"/>
        <v>45.11</v>
      </c>
      <c r="N137" s="413">
        <f>VLOOKUP(B137,MASTER!$B$8:$V$1435,14,FALSE)</f>
        <v>34608</v>
      </c>
      <c r="O137" s="422" t="str">
        <f t="shared" ca="1" si="84"/>
        <v>23.6</v>
      </c>
      <c r="P137" s="413">
        <f>VLOOKUP(B137,MASTER!$B$8:$V$1435,16,FALSE)</f>
        <v>46813</v>
      </c>
      <c r="Q137" s="414" t="str">
        <f>VLOOKUP(B137,MASTER!$B$8:$V$1435,17,FALSE)</f>
        <v>I</v>
      </c>
      <c r="R137" s="411" t="str">
        <f>VLOOKUP(B137,MASTER!$B$8:$V$1435,18,FALSE)</f>
        <v>SMA</v>
      </c>
      <c r="S137" s="411" t="str">
        <f>VLOOKUP(B137,MASTER!$B$8:$V$1435,19,FALSE)</f>
        <v>SLTA</v>
      </c>
      <c r="T137" s="418" t="str">
        <f>VLOOKUP(B137,MASTER!$B$8:$V$1435,20,FALSE)</f>
        <v>O</v>
      </c>
      <c r="U137" s="415" t="str">
        <f>VLOOKUP($B137,ALAMAT!$A$1:E373,4)</f>
        <v>Tlogorejo Rt 01 Rw11 Karangawen Semarang</v>
      </c>
      <c r="X137" s="407">
        <f t="shared" ca="1" si="89"/>
        <v>45</v>
      </c>
      <c r="Y137" s="407">
        <f t="shared" ca="1" si="90"/>
        <v>23</v>
      </c>
    </row>
    <row r="138" spans="1:25" s="407" customFormat="1" ht="12.95" customHeight="1">
      <c r="A138" s="421">
        <v>17</v>
      </c>
      <c r="B138" s="821">
        <v>7651</v>
      </c>
      <c r="C138" s="410" t="str">
        <f>VLOOKUP(B138,MASTER!$B$8:$C$137,2,FALSE)</f>
        <v>RICKY NELSON SIBARANI</v>
      </c>
      <c r="D138" s="409" t="s">
        <v>2341</v>
      </c>
      <c r="E138" s="410" t="s">
        <v>2596</v>
      </c>
      <c r="F138" s="736" t="s">
        <v>18</v>
      </c>
      <c r="G138" s="411" t="str">
        <f>VLOOKUP(B138,MASTER!$B$8:$H$1435,6,FALSE)</f>
        <v>K</v>
      </c>
      <c r="H138" s="411">
        <f>VLOOKUP(B138,MASTER!$B$8:$H$1435,7,FALSE)</f>
        <v>2</v>
      </c>
      <c r="I138" s="411">
        <f>VLOOKUP(B138,MASTER!$B$8:$V$1435,8,FALSE)</f>
        <v>2</v>
      </c>
      <c r="J138" s="411" t="str">
        <f>VLOOKUP(B138,MASTER!$B$8:$V$1435,9,FALSE)</f>
        <v>L</v>
      </c>
      <c r="K138" s="423" t="str">
        <f>VLOOKUP(B138,MASTER!$B$8:$V$1435,10,FALSE)</f>
        <v>JAKARTA</v>
      </c>
      <c r="L138" s="413">
        <f>VLOOKUP(B138,MASTER!$B$8:$V$1435,11,FALSE)</f>
        <v>26568</v>
      </c>
      <c r="M138" s="422" t="str">
        <f t="shared" ca="1" si="83"/>
        <v>45.7</v>
      </c>
      <c r="N138" s="413">
        <f>VLOOKUP(B138,MASTER!$B$8:$V$1435,14,FALSE)</f>
        <v>34648</v>
      </c>
      <c r="O138" s="422" t="str">
        <f t="shared" ca="1" si="84"/>
        <v>23.5</v>
      </c>
      <c r="P138" s="413">
        <f>VLOOKUP(B138,MASTER!$B$8:$V$1435,16,FALSE)</f>
        <v>47022</v>
      </c>
      <c r="Q138" s="414" t="str">
        <f>VLOOKUP(B138,MASTER!$B$8:$V$1435,17,FALSE)</f>
        <v>P</v>
      </c>
      <c r="R138" s="411" t="str">
        <f>VLOOKUP(B138,MASTER!$B$8:$V$1435,18,FALSE)</f>
        <v>SMA</v>
      </c>
      <c r="S138" s="411" t="str">
        <f>VLOOKUP(B138,MASTER!$B$8:$V$1435,19,FALSE)</f>
        <v>SLTA</v>
      </c>
      <c r="T138" s="418" t="str">
        <f>VLOOKUP(B138,MASTER!$B$8:$V$1435,20,FALSE)</f>
        <v>AB</v>
      </c>
      <c r="U138" s="415" t="str">
        <f>VLOOKUP($B138,ALAMAT!$A$1:E374,4)</f>
        <v>JL. Tlogo Mulyo Pesona Asri II blok F.11</v>
      </c>
      <c r="X138" s="407">
        <f t="shared" ca="1" si="89"/>
        <v>45</v>
      </c>
      <c r="Y138" s="407">
        <f t="shared" ca="1" si="90"/>
        <v>23</v>
      </c>
    </row>
    <row r="139" spans="1:25" s="407" customFormat="1" ht="12.95" customHeight="1">
      <c r="A139" s="421">
        <v>18</v>
      </c>
      <c r="B139" s="817">
        <v>7824</v>
      </c>
      <c r="C139" s="410" t="str">
        <f>VLOOKUP(B139,MASTER!$B$8:$C$137,2,FALSE)</f>
        <v>PRIYANTO</v>
      </c>
      <c r="D139" s="409" t="s">
        <v>2341</v>
      </c>
      <c r="E139" s="410" t="s">
        <v>2596</v>
      </c>
      <c r="F139" s="736" t="s">
        <v>18</v>
      </c>
      <c r="G139" s="411" t="str">
        <f>VLOOKUP(B139,MASTER!$B$8:$H$1435,6,FALSE)</f>
        <v>K</v>
      </c>
      <c r="H139" s="411">
        <f>VLOOKUP(B139,MASTER!$B$8:$H$1435,7,FALSE)</f>
        <v>3</v>
      </c>
      <c r="I139" s="411">
        <f>VLOOKUP(B139,MASTER!$B$8:$V$1435,8,FALSE)</f>
        <v>3</v>
      </c>
      <c r="J139" s="411" t="str">
        <f>VLOOKUP(B139,MASTER!$B$8:$V$1435,9,FALSE)</f>
        <v>L</v>
      </c>
      <c r="K139" s="423" t="str">
        <f>VLOOKUP(B139,MASTER!$B$8:$V$1435,10,FALSE)</f>
        <v>MAGETAN</v>
      </c>
      <c r="L139" s="413">
        <f>VLOOKUP(B139,MASTER!$B$8:$V$1435,11,FALSE)</f>
        <v>26990</v>
      </c>
      <c r="M139" s="422" t="str">
        <f t="shared" ca="1" si="83"/>
        <v>44.5</v>
      </c>
      <c r="N139" s="413">
        <f>VLOOKUP(B139,MASTER!$B$8:$V$1435,14,FALSE)</f>
        <v>34701</v>
      </c>
      <c r="O139" s="422" t="str">
        <f t="shared" ca="1" si="84"/>
        <v>23.3</v>
      </c>
      <c r="P139" s="413">
        <f>VLOOKUP(B139,MASTER!$B$8:$V$1435,16,FALSE)</f>
        <v>47444</v>
      </c>
      <c r="Q139" s="414" t="str">
        <f>VLOOKUP(B139,MASTER!$B$8:$V$1435,17,FALSE)</f>
        <v>I</v>
      </c>
      <c r="R139" s="411" t="str">
        <f>VLOOKUP(B139,MASTER!$B$8:$V$1435,18,FALSE)</f>
        <v>STM</v>
      </c>
      <c r="S139" s="411" t="str">
        <f>VLOOKUP(B139,MASTER!$B$8:$V$1435,19,FALSE)</f>
        <v>SLTA</v>
      </c>
      <c r="T139" s="418" t="str">
        <f>VLOOKUP(B139,MASTER!$B$8:$V$1435,20,FALSE)</f>
        <v>O</v>
      </c>
      <c r="U139" s="415" t="str">
        <f>VLOOKUP($B139,ALAMAT!$A$1:E375,4)</f>
        <v>Griya Payung Asri Kav.93 RT.003 RW.006 Pudakpayung Banyumanik Semarang</v>
      </c>
      <c r="X139" s="407">
        <f t="shared" ca="1" si="89"/>
        <v>44</v>
      </c>
      <c r="Y139" s="407">
        <f t="shared" ca="1" si="90"/>
        <v>23</v>
      </c>
    </row>
    <row r="140" spans="1:25" s="407" customFormat="1" ht="12.95" customHeight="1">
      <c r="A140" s="421">
        <v>19</v>
      </c>
      <c r="B140" s="821">
        <v>8195</v>
      </c>
      <c r="C140" s="410" t="str">
        <f>VLOOKUP(B140,MASTER!$B$8:$C$137,2,FALSE)</f>
        <v>SURIP KUNTADI</v>
      </c>
      <c r="D140" s="409" t="s">
        <v>2342</v>
      </c>
      <c r="E140" s="410" t="s">
        <v>2596</v>
      </c>
      <c r="F140" s="736" t="s">
        <v>18</v>
      </c>
      <c r="G140" s="411" t="str">
        <f>VLOOKUP(B140,MASTER!$B$8:$H$1435,6,FALSE)</f>
        <v>K</v>
      </c>
      <c r="H140" s="411">
        <f>VLOOKUP(B140,MASTER!$B$8:$H$1435,7,FALSE)</f>
        <v>3</v>
      </c>
      <c r="I140" s="411">
        <f>VLOOKUP(B140,MASTER!$B$8:$V$1435,8,FALSE)</f>
        <v>3</v>
      </c>
      <c r="J140" s="411" t="str">
        <f>VLOOKUP(B140,MASTER!$B$8:$V$1435,9,FALSE)</f>
        <v>L</v>
      </c>
      <c r="K140" s="423" t="str">
        <f>VLOOKUP(B140,MASTER!$B$8:$V$1435,10,FALSE)</f>
        <v>BANYUMAS</v>
      </c>
      <c r="L140" s="413">
        <f>VLOOKUP(B140,MASTER!$B$8:$V$1435,11,FALSE)</f>
        <v>26724</v>
      </c>
      <c r="M140" s="422" t="str">
        <f t="shared" ca="1" si="83"/>
        <v>45.1</v>
      </c>
      <c r="N140" s="413">
        <f>VLOOKUP(B140,MASTER!$B$8:$V$1435,14,FALSE)</f>
        <v>34956</v>
      </c>
      <c r="O140" s="422" t="str">
        <f t="shared" ca="1" si="84"/>
        <v>22.7</v>
      </c>
      <c r="P140" s="413">
        <f>VLOOKUP(B140,MASTER!$B$8:$V$1435,16,FALSE)</f>
        <v>47178</v>
      </c>
      <c r="Q140" s="414" t="str">
        <f>VLOOKUP(B140,MASTER!$B$8:$V$1435,17,FALSE)</f>
        <v>I</v>
      </c>
      <c r="R140" s="411" t="str">
        <f>VLOOKUP(B140,MASTER!$B$8:$V$1435,18,FALSE)</f>
        <v>STM</v>
      </c>
      <c r="S140" s="411" t="str">
        <f>VLOOKUP(B140,MASTER!$B$8:$V$1435,19,FALSE)</f>
        <v>S1</v>
      </c>
      <c r="T140" s="418" t="str">
        <f>VLOOKUP(B140,MASTER!$B$8:$V$1435,20,FALSE)</f>
        <v>B</v>
      </c>
      <c r="U140" s="415" t="str">
        <f>VLOOKUP($B140,ALAMAT!$A$1:E377,4)</f>
        <v>Puri Dinar Elok C4 No.5 RT.008RW.020 Meteseh Tembalang Semarang</v>
      </c>
      <c r="X140" s="407">
        <f t="shared" ca="1" si="89"/>
        <v>45</v>
      </c>
      <c r="Y140" s="407">
        <f t="shared" ca="1" si="90"/>
        <v>22</v>
      </c>
    </row>
    <row r="141" spans="1:25" s="407" customFormat="1" ht="12.95" customHeight="1">
      <c r="A141" s="421">
        <v>20</v>
      </c>
      <c r="B141" s="821">
        <v>8359</v>
      </c>
      <c r="C141" s="410" t="str">
        <f>VLOOKUP(B141,MASTER!$B$8:$C$137,2,FALSE)</f>
        <v>EDY SUPRIONO</v>
      </c>
      <c r="D141" s="409" t="s">
        <v>2341</v>
      </c>
      <c r="E141" s="410" t="s">
        <v>2596</v>
      </c>
      <c r="F141" s="736" t="s">
        <v>18</v>
      </c>
      <c r="G141" s="411" t="str">
        <f>VLOOKUP(B141,MASTER!$B$8:$H$1435,6,FALSE)</f>
        <v>K</v>
      </c>
      <c r="H141" s="411">
        <f>VLOOKUP(B141,MASTER!$B$8:$H$1435,7,FALSE)</f>
        <v>1</v>
      </c>
      <c r="I141" s="411">
        <f>VLOOKUP(B141,MASTER!$B$8:$V$1435,8,FALSE)</f>
        <v>1</v>
      </c>
      <c r="J141" s="411" t="str">
        <f>VLOOKUP(B141,MASTER!$B$8:$V$1435,9,FALSE)</f>
        <v>L</v>
      </c>
      <c r="K141" s="423" t="str">
        <f>VLOOKUP(B141,MASTER!$B$8:$V$1435,10,FALSE)</f>
        <v>SEMARANG</v>
      </c>
      <c r="L141" s="413">
        <f>VLOOKUP(B141,MASTER!$B$8:$V$1435,11,FALSE)</f>
        <v>26205</v>
      </c>
      <c r="M141" s="422" t="str">
        <f t="shared" ca="1" si="83"/>
        <v>46.7</v>
      </c>
      <c r="N141" s="413">
        <f>VLOOKUP(B141,MASTER!$B$8:$V$1435,14,FALSE)</f>
        <v>35096</v>
      </c>
      <c r="O141" s="422" t="str">
        <f t="shared" ca="1" si="84"/>
        <v>22.2</v>
      </c>
      <c r="P141" s="413">
        <f>VLOOKUP(B141,MASTER!$B$8:$V$1435,16,FALSE)</f>
        <v>46659</v>
      </c>
      <c r="Q141" s="414" t="str">
        <f>VLOOKUP(B141,MASTER!$B$8:$V$1435,17,FALSE)</f>
        <v>I</v>
      </c>
      <c r="R141" s="411" t="str">
        <f>VLOOKUP(B141,MASTER!$B$8:$V$1435,18,FALSE)</f>
        <v>SMA</v>
      </c>
      <c r="S141" s="411" t="str">
        <f>VLOOKUP(B141,MASTER!$B$8:$V$1435,19,FALSE)</f>
        <v>SLTA</v>
      </c>
      <c r="T141" s="418" t="str">
        <f>VLOOKUP(B141,MASTER!$B$8:$V$1435,20,FALSE)</f>
        <v xml:space="preserve">A </v>
      </c>
      <c r="U141" s="415" t="str">
        <f>VLOOKUP($B141,ALAMAT!$A$1:E379,4)</f>
        <v>Jl delikrejo Rt 07 Rw 11 Tandang Kec  Tembalang Semarang</v>
      </c>
      <c r="X141" s="407">
        <f t="shared" ca="1" si="89"/>
        <v>46</v>
      </c>
      <c r="Y141" s="407">
        <f t="shared" ca="1" si="90"/>
        <v>22</v>
      </c>
    </row>
    <row r="142" spans="1:25" s="407" customFormat="1" ht="12.95" customHeight="1">
      <c r="A142" s="421">
        <v>21</v>
      </c>
      <c r="B142" s="817">
        <v>8369</v>
      </c>
      <c r="C142" s="410" t="str">
        <f>VLOOKUP(B142,MASTER!$B$8:$C$137,2,FALSE)</f>
        <v>EKO BUDIONO</v>
      </c>
      <c r="D142" s="409" t="s">
        <v>2341</v>
      </c>
      <c r="E142" s="410" t="s">
        <v>2596</v>
      </c>
      <c r="F142" s="736" t="s">
        <v>18</v>
      </c>
      <c r="G142" s="411" t="str">
        <f>VLOOKUP(B142,MASTER!$B$8:$H$1435,6,FALSE)</f>
        <v>K</v>
      </c>
      <c r="H142" s="411">
        <f>VLOOKUP(B142,MASTER!$B$8:$H$1435,7,FALSE)</f>
        <v>1</v>
      </c>
      <c r="I142" s="411">
        <f>VLOOKUP(B142,MASTER!$B$8:$V$1435,8,FALSE)</f>
        <v>1</v>
      </c>
      <c r="J142" s="411" t="str">
        <f>VLOOKUP(B142,MASTER!$B$8:$V$1435,9,FALSE)</f>
        <v>L</v>
      </c>
      <c r="K142" s="423" t="str">
        <f>VLOOKUP(B142,MASTER!$B$8:$V$1435,10,FALSE)</f>
        <v>KUDUS</v>
      </c>
      <c r="L142" s="413">
        <f>VLOOKUP(B142,MASTER!$B$8:$V$1435,11,FALSE)</f>
        <v>27966</v>
      </c>
      <c r="M142" s="422" t="str">
        <f t="shared" ca="1" si="83"/>
        <v>41.9</v>
      </c>
      <c r="N142" s="413">
        <f>VLOOKUP(B142,MASTER!$B$8:$V$1435,14,FALSE)</f>
        <v>35068</v>
      </c>
      <c r="O142" s="422" t="str">
        <f t="shared" ca="1" si="84"/>
        <v>22.3</v>
      </c>
      <c r="P142" s="413">
        <f>VLOOKUP(B142,MASTER!$B$8:$V$1435,16,FALSE)</f>
        <v>48423</v>
      </c>
      <c r="Q142" s="414" t="str">
        <f>VLOOKUP(B142,MASTER!$B$8:$V$1435,17,FALSE)</f>
        <v>I</v>
      </c>
      <c r="R142" s="411" t="str">
        <f>VLOOKUP(B142,MASTER!$B$8:$V$1435,18,FALSE)</f>
        <v>SMA</v>
      </c>
      <c r="S142" s="411" t="str">
        <f>VLOOKUP(B142,MASTER!$B$8:$V$1435,19,FALSE)</f>
        <v>SLTA</v>
      </c>
      <c r="T142" s="418" t="str">
        <f>VLOOKUP(B142,MASTER!$B$8:$V$1435,20,FALSE)</f>
        <v>-</v>
      </c>
      <c r="U142" s="415" t="str">
        <f>VLOOKUP($B142,ALAMAT!$A$1:E380,4)</f>
        <v>DK Karang RT 01 RW 08 Jekulo Kudus</v>
      </c>
      <c r="X142" s="407">
        <f t="shared" ca="1" si="89"/>
        <v>41</v>
      </c>
      <c r="Y142" s="407">
        <f t="shared" ca="1" si="90"/>
        <v>22</v>
      </c>
    </row>
    <row r="143" spans="1:25" s="407" customFormat="1" ht="12.95" customHeight="1">
      <c r="A143" s="421">
        <v>22</v>
      </c>
      <c r="B143" s="817">
        <v>8741</v>
      </c>
      <c r="C143" s="410" t="str">
        <f>VLOOKUP(B143,MASTER!$B$8:$C$137,2,FALSE)</f>
        <v>RENO LILIK SUNARNO</v>
      </c>
      <c r="D143" s="409" t="s">
        <v>2342</v>
      </c>
      <c r="E143" s="410" t="s">
        <v>2596</v>
      </c>
      <c r="F143" s="736" t="s">
        <v>18</v>
      </c>
      <c r="G143" s="411" t="str">
        <f>VLOOKUP(B143,MASTER!$B$8:$H$1435,6,FALSE)</f>
        <v>K</v>
      </c>
      <c r="H143" s="411">
        <f>VLOOKUP(B143,MASTER!$B$8:$H$1435,7,FALSE)</f>
        <v>2</v>
      </c>
      <c r="I143" s="411">
        <f>VLOOKUP(B143,MASTER!$B$8:$V$1435,8,FALSE)</f>
        <v>2</v>
      </c>
      <c r="J143" s="411" t="str">
        <f>VLOOKUP(B143,MASTER!$B$8:$V$1435,9,FALSE)</f>
        <v>L</v>
      </c>
      <c r="K143" s="423" t="str">
        <f>VLOOKUP(B143,MASTER!$B$8:$V$1435,10,FALSE)</f>
        <v>KUDUS</v>
      </c>
      <c r="L143" s="413">
        <f>VLOOKUP(B143,MASTER!$B$8:$V$1435,11,FALSE)</f>
        <v>27018</v>
      </c>
      <c r="M143" s="422" t="str">
        <f t="shared" ca="1" si="83"/>
        <v>44.4</v>
      </c>
      <c r="N143" s="413">
        <f>VLOOKUP(B143,MASTER!$B$8:$V$1435,14,FALSE)</f>
        <v>35241</v>
      </c>
      <c r="O143" s="422" t="str">
        <f t="shared" ca="1" si="84"/>
        <v>21.10</v>
      </c>
      <c r="P143" s="413">
        <f>VLOOKUP(B143,MASTER!$B$8:$V$1435,16,FALSE)</f>
        <v>47472</v>
      </c>
      <c r="Q143" s="414" t="str">
        <f>VLOOKUP(B143,MASTER!$B$8:$V$1435,17,FALSE)</f>
        <v>I</v>
      </c>
      <c r="R143" s="411" t="str">
        <f>VLOOKUP(B143,MASTER!$B$8:$V$1435,18,FALSE)</f>
        <v>SMA</v>
      </c>
      <c r="S143" s="411" t="str">
        <f>VLOOKUP(B143,MASTER!$B$8:$V$1435,19,FALSE)</f>
        <v>S1</v>
      </c>
      <c r="T143" s="418" t="str">
        <f>VLOOKUP(B143,MASTER!$B$8:$V$1435,20,FALSE)</f>
        <v>O</v>
      </c>
      <c r="U143" s="415" t="str">
        <f>VLOOKUP($B143,ALAMAT!$A$1:E381,4)</f>
        <v>Bojanegara RT.001 RW.004 Bojanegara Padamara Purwalingga</v>
      </c>
      <c r="X143" s="407">
        <f t="shared" ca="1" si="89"/>
        <v>44</v>
      </c>
      <c r="Y143" s="407">
        <f t="shared" ca="1" si="90"/>
        <v>21</v>
      </c>
    </row>
    <row r="144" spans="1:25" s="407" customFormat="1" ht="12.95" customHeight="1">
      <c r="A144" s="421">
        <v>23</v>
      </c>
      <c r="B144" s="817">
        <v>9069</v>
      </c>
      <c r="C144" s="410" t="str">
        <f>VLOOKUP(B144,MASTER!$B$8:$C$137,2,FALSE)</f>
        <v>AGUS SENOPRATOMO</v>
      </c>
      <c r="D144" s="409" t="s">
        <v>2342</v>
      </c>
      <c r="E144" s="410" t="s">
        <v>2596</v>
      </c>
      <c r="F144" s="736" t="s">
        <v>18</v>
      </c>
      <c r="G144" s="411" t="str">
        <f>VLOOKUP(B144,MASTER!$B$8:$H$1435,6,FALSE)</f>
        <v>K</v>
      </c>
      <c r="H144" s="411">
        <f>VLOOKUP(B144,MASTER!$B$8:$H$1435,7,FALSE)</f>
        <v>2</v>
      </c>
      <c r="I144" s="411">
        <f>VLOOKUP(B144,MASTER!$B$8:$V$1435,8,FALSE)</f>
        <v>1</v>
      </c>
      <c r="J144" s="411" t="str">
        <f>VLOOKUP(B144,MASTER!$B$8:$V$1435,9,FALSE)</f>
        <v>L</v>
      </c>
      <c r="K144" s="423" t="str">
        <f>VLOOKUP(B144,MASTER!$B$8:$V$1435,10,FALSE)</f>
        <v>PURWOREJO</v>
      </c>
      <c r="L144" s="413">
        <f>VLOOKUP(B144,MASTER!$B$8:$V$1435,11,FALSE)</f>
        <v>26173</v>
      </c>
      <c r="M144" s="422" t="str">
        <f t="shared" ca="1" si="83"/>
        <v>46.8</v>
      </c>
      <c r="N144" s="413">
        <f>VLOOKUP(B144,MASTER!$B$8:$V$1435,14,FALSE)</f>
        <v>35335</v>
      </c>
      <c r="O144" s="422" t="str">
        <f t="shared" ca="1" si="84"/>
        <v>21.7</v>
      </c>
      <c r="P144" s="413">
        <f>VLOOKUP(B144,MASTER!$B$8:$V$1435,16,FALSE)</f>
        <v>47358</v>
      </c>
      <c r="Q144" s="414" t="str">
        <f>VLOOKUP(B144,MASTER!$B$8:$V$1435,17,FALSE)</f>
        <v>I</v>
      </c>
      <c r="R144" s="411" t="str">
        <f>VLOOKUP(B144,MASTER!$B$8:$V$1435,18,FALSE)</f>
        <v>STM</v>
      </c>
      <c r="S144" s="411" t="str">
        <f>VLOOKUP(B144,MASTER!$B$8:$V$1435,19,FALSE)</f>
        <v>SLTA</v>
      </c>
      <c r="T144" s="418" t="str">
        <f>VLOOKUP(B144,MASTER!$B$8:$V$1435,20,FALSE)</f>
        <v>AB</v>
      </c>
      <c r="U144" s="415" t="str">
        <f>VLOOKUP($B144,ALAMAT!$A$1:E383,4)</f>
        <v>Kemiri Lor RT.002 RW.003 , Kemiri Lor, Kemiri, Kab.Purworejo</v>
      </c>
      <c r="X144" s="407">
        <f t="shared" ca="1" si="89"/>
        <v>46</v>
      </c>
      <c r="Y144" s="407">
        <f t="shared" ca="1" si="90"/>
        <v>21</v>
      </c>
    </row>
    <row r="145" spans="1:25" s="407" customFormat="1" ht="12.95" customHeight="1">
      <c r="A145" s="421">
        <v>24</v>
      </c>
      <c r="B145" s="821">
        <v>9523</v>
      </c>
      <c r="C145" s="410" t="str">
        <f>VLOOKUP(B145,MASTER!$B$8:$C$137,2,FALSE)</f>
        <v>PUJI WINARSIH</v>
      </c>
      <c r="D145" s="409" t="s">
        <v>2342</v>
      </c>
      <c r="E145" s="410" t="s">
        <v>2596</v>
      </c>
      <c r="F145" s="736" t="s">
        <v>18</v>
      </c>
      <c r="G145" s="411" t="str">
        <f>VLOOKUP(B145,MASTER!$B$8:$H$1435,6,FALSE)</f>
        <v>K</v>
      </c>
      <c r="H145" s="411">
        <f>VLOOKUP(B145,MASTER!$B$8:$H$1435,7,FALSE)</f>
        <v>2</v>
      </c>
      <c r="I145" s="411">
        <f>VLOOKUP(B145,MASTER!$B$8:$V$1435,8,FALSE)</f>
        <v>2</v>
      </c>
      <c r="J145" s="411" t="str">
        <f>VLOOKUP(B145,MASTER!$B$8:$V$1435,9,FALSE)</f>
        <v>P</v>
      </c>
      <c r="K145" s="423" t="str">
        <f>VLOOKUP(B145,MASTER!$B$8:$V$1435,10,FALSE)</f>
        <v>KAB.KENDAL</v>
      </c>
      <c r="L145" s="413">
        <f>VLOOKUP(B145,MASTER!$B$8:$V$1435,11,FALSE)</f>
        <v>28599</v>
      </c>
      <c r="M145" s="422" t="str">
        <f t="shared" ca="1" si="83"/>
        <v>40.0</v>
      </c>
      <c r="N145" s="413">
        <f>VLOOKUP(B145,MASTER!$B$8:$V$1435,14,FALSE)</f>
        <v>35807</v>
      </c>
      <c r="O145" s="422" t="str">
        <f t="shared" ca="1" si="84"/>
        <v>20.3</v>
      </c>
      <c r="P145" s="413">
        <f>VLOOKUP(B145,MASTER!$B$8:$V$1435,16,FALSE)</f>
        <v>49053</v>
      </c>
      <c r="Q145" s="414" t="str">
        <f>VLOOKUP(B145,MASTER!$B$8:$V$1435,17,FALSE)</f>
        <v>I</v>
      </c>
      <c r="R145" s="411" t="str">
        <f>VLOOKUP(B145,MASTER!$B$8:$V$1435,18,FALSE)</f>
        <v>SMA</v>
      </c>
      <c r="S145" s="411" t="str">
        <f>VLOOKUP(B145,MASTER!$B$8:$V$1435,19,FALSE)</f>
        <v>SLTA</v>
      </c>
      <c r="T145" s="418" t="str">
        <f>VLOOKUP(B145,MASTER!$B$8:$V$1435,20,FALSE)</f>
        <v>AB</v>
      </c>
      <c r="U145" s="415" t="str">
        <f>VLOOKUP($B145,ALAMAT!$A$1:E386,4)</f>
        <v>Dusun Krajan RT.002 RW.002 Bebengan Boja Kab.Kendal</v>
      </c>
      <c r="X145" s="407">
        <f t="shared" ca="1" si="89"/>
        <v>40</v>
      </c>
      <c r="Y145" s="407">
        <f t="shared" ca="1" si="90"/>
        <v>20</v>
      </c>
    </row>
    <row r="146" spans="1:25" s="407" customFormat="1" ht="12.95" customHeight="1">
      <c r="A146" s="421">
        <v>25</v>
      </c>
      <c r="B146" s="821">
        <v>9527</v>
      </c>
      <c r="C146" s="410" t="str">
        <f>VLOOKUP(B146,MASTER!$B$8:$C$137,2,FALSE)</f>
        <v>CORNELIUS SETYO PAMBUDI</v>
      </c>
      <c r="D146" s="409" t="s">
        <v>2342</v>
      </c>
      <c r="E146" s="410" t="s">
        <v>2596</v>
      </c>
      <c r="F146" s="736" t="s">
        <v>18</v>
      </c>
      <c r="G146" s="411" t="str">
        <f>VLOOKUP(B146,MASTER!$B$8:$H$1435,6,FALSE)</f>
        <v>K</v>
      </c>
      <c r="H146" s="411">
        <f>VLOOKUP(B146,MASTER!$B$8:$H$1435,7,FALSE)</f>
        <v>3</v>
      </c>
      <c r="I146" s="411">
        <f>VLOOKUP(B146,MASTER!$B$8:$V$1435,8,FALSE)</f>
        <v>3</v>
      </c>
      <c r="J146" s="411" t="str">
        <f>VLOOKUP(B146,MASTER!$B$8:$V$1435,9,FALSE)</f>
        <v>L</v>
      </c>
      <c r="K146" s="423" t="str">
        <f>VLOOKUP(B146,MASTER!$B$8:$V$1435,10,FALSE)</f>
        <v>SEMARANG</v>
      </c>
      <c r="L146" s="413">
        <f>VLOOKUP(B146,MASTER!$B$8:$V$1435,11,FALSE)</f>
        <v>28011</v>
      </c>
      <c r="M146" s="422" t="str">
        <f t="shared" ca="1" si="83"/>
        <v>41.7</v>
      </c>
      <c r="N146" s="413">
        <f>VLOOKUP(B146,MASTER!$B$8:$V$1435,14,FALSE)</f>
        <v>35807</v>
      </c>
      <c r="O146" s="422" t="str">
        <f t="shared" ca="1" si="84"/>
        <v>20.3</v>
      </c>
      <c r="P146" s="413">
        <f>VLOOKUP(B146,MASTER!$B$8:$V$1435,16,FALSE)</f>
        <v>48465</v>
      </c>
      <c r="Q146" s="414" t="str">
        <f>VLOOKUP(B146,MASTER!$B$8:$V$1435,17,FALSE)</f>
        <v>K</v>
      </c>
      <c r="R146" s="411" t="str">
        <f>VLOOKUP(B146,MASTER!$B$8:$V$1435,18,FALSE)</f>
        <v>STM</v>
      </c>
      <c r="S146" s="411" t="str">
        <f>VLOOKUP(B146,MASTER!$B$8:$V$1435,19,FALSE)</f>
        <v>SLTA</v>
      </c>
      <c r="T146" s="418" t="str">
        <f>VLOOKUP(B146,MASTER!$B$8:$V$1435,20,FALSE)</f>
        <v>AB</v>
      </c>
      <c r="U146" s="415" t="str">
        <f>VLOOKUP($B146,ALAMAT!$A$1:E388,4)</f>
        <v>Jl Kalilangse No 837 Rt 07 Rw 03  Gajah Mungkur Semarang</v>
      </c>
      <c r="X146" s="407">
        <f t="shared" ca="1" si="89"/>
        <v>41</v>
      </c>
      <c r="Y146" s="407">
        <f t="shared" ca="1" si="90"/>
        <v>20</v>
      </c>
    </row>
    <row r="147" spans="1:25" s="407" customFormat="1" ht="12.95" customHeight="1">
      <c r="A147" s="421">
        <v>26</v>
      </c>
      <c r="B147" s="821">
        <v>9531</v>
      </c>
      <c r="C147" s="410" t="str">
        <f>VLOOKUP(B147,MASTER!$B$8:$C$137,2,FALSE)</f>
        <v>SOLEMAN LASNO</v>
      </c>
      <c r="D147" s="409" t="s">
        <v>2342</v>
      </c>
      <c r="E147" s="410" t="s">
        <v>2596</v>
      </c>
      <c r="F147" s="736" t="s">
        <v>18</v>
      </c>
      <c r="G147" s="411" t="str">
        <f>VLOOKUP(B147,MASTER!$B$8:$H$1435,6,FALSE)</f>
        <v>K</v>
      </c>
      <c r="H147" s="411">
        <f>VLOOKUP(B147,MASTER!$B$8:$H$1435,7,FALSE)</f>
        <v>2</v>
      </c>
      <c r="I147" s="411">
        <f>VLOOKUP(B147,MASTER!$B$8:$V$1435,8,FALSE)</f>
        <v>2</v>
      </c>
      <c r="J147" s="411" t="str">
        <f>VLOOKUP(B147,MASTER!$B$8:$V$1435,9,FALSE)</f>
        <v>L</v>
      </c>
      <c r="K147" s="423" t="str">
        <f>VLOOKUP(B147,MASTER!$B$8:$V$1435,10,FALSE)</f>
        <v>PATI</v>
      </c>
      <c r="L147" s="413">
        <f>VLOOKUP(B147,MASTER!$B$8:$V$1435,11,FALSE)</f>
        <v>28104</v>
      </c>
      <c r="M147" s="422" t="str">
        <f t="shared" ca="1" si="83"/>
        <v>41.4</v>
      </c>
      <c r="N147" s="413">
        <f>VLOOKUP(B147,MASTER!$B$8:$V$1435,14,FALSE)</f>
        <v>35807</v>
      </c>
      <c r="O147" s="422" t="str">
        <f t="shared" ca="1" si="84"/>
        <v>20.3</v>
      </c>
      <c r="P147" s="413">
        <f>VLOOKUP(B147,MASTER!$B$8:$V$1435,16,FALSE)</f>
        <v>48558</v>
      </c>
      <c r="Q147" s="414" t="str">
        <f>VLOOKUP(B147,MASTER!$B$8:$V$1435,17,FALSE)</f>
        <v>I</v>
      </c>
      <c r="R147" s="411" t="str">
        <f>VLOOKUP(B147,MASTER!$B$8:$V$1435,18,FALSE)</f>
        <v>SMA</v>
      </c>
      <c r="S147" s="411" t="str">
        <f>VLOOKUP(B147,MASTER!$B$8:$V$1435,19,FALSE)</f>
        <v>SLTA</v>
      </c>
      <c r="T147" s="418" t="str">
        <f>VLOOKUP(B147,MASTER!$B$8:$V$1435,20,FALSE)</f>
        <v xml:space="preserve">O </v>
      </c>
      <c r="U147" s="415" t="str">
        <f>VLOOKUP($B147,ALAMAT!$A$1:E389,4)</f>
        <v>Jl.anjasmoro VI/41 RT.007 RW.003 Karangayu Semarang Barat</v>
      </c>
      <c r="X147" s="407">
        <f t="shared" ca="1" si="89"/>
        <v>41</v>
      </c>
      <c r="Y147" s="407">
        <f t="shared" ca="1" si="90"/>
        <v>20</v>
      </c>
    </row>
    <row r="148" spans="1:25" s="407" customFormat="1" ht="12.95" customHeight="1">
      <c r="A148" s="421">
        <v>27</v>
      </c>
      <c r="B148" s="821">
        <v>9535</v>
      </c>
      <c r="C148" s="410" t="str">
        <f>VLOOKUP(B148,MASTER!$B$8:$C$137,2,FALSE)</f>
        <v>AGUNG SULISTIYO</v>
      </c>
      <c r="D148" s="409" t="s">
        <v>2342</v>
      </c>
      <c r="E148" s="410" t="s">
        <v>2596</v>
      </c>
      <c r="F148" s="736" t="s">
        <v>18</v>
      </c>
      <c r="G148" s="411" t="str">
        <f>VLOOKUP(B148,MASTER!$B$8:$H$1435,6,FALSE)</f>
        <v>K</v>
      </c>
      <c r="H148" s="411">
        <f>VLOOKUP(B148,MASTER!$B$8:$H$1435,7,FALSE)</f>
        <v>2</v>
      </c>
      <c r="I148" s="411">
        <f>VLOOKUP(B148,MASTER!$B$8:$V$1435,8,FALSE)</f>
        <v>2</v>
      </c>
      <c r="J148" s="411" t="str">
        <f>VLOOKUP(B148,MASTER!$B$8:$V$1435,9,FALSE)</f>
        <v>L</v>
      </c>
      <c r="K148" s="423" t="str">
        <f>VLOOKUP(B148,MASTER!$B$8:$V$1435,10,FALSE)</f>
        <v>SEMARANG</v>
      </c>
      <c r="L148" s="413">
        <f>VLOOKUP(B148,MASTER!$B$8:$V$1435,11,FALSE)</f>
        <v>26715</v>
      </c>
      <c r="M148" s="422" t="str">
        <f t="shared" ca="1" si="83"/>
        <v>45.2</v>
      </c>
      <c r="N148" s="413">
        <f>VLOOKUP(B148,MASTER!$B$8:$V$1435,14,FALSE)</f>
        <v>35807</v>
      </c>
      <c r="O148" s="422" t="str">
        <f t="shared" ca="1" si="84"/>
        <v>20.3</v>
      </c>
      <c r="P148" s="413">
        <f>VLOOKUP(B148,MASTER!$B$8:$V$1435,16,FALSE)</f>
        <v>47169</v>
      </c>
      <c r="Q148" s="414" t="str">
        <f>VLOOKUP(B148,MASTER!$B$8:$V$1435,17,FALSE)</f>
        <v>I</v>
      </c>
      <c r="R148" s="411" t="str">
        <f>VLOOKUP(B148,MASTER!$B$8:$V$1435,18,FALSE)</f>
        <v>SMA</v>
      </c>
      <c r="S148" s="411" t="str">
        <f>VLOOKUP(B148,MASTER!$B$8:$V$1435,19,FALSE)</f>
        <v>SLTA</v>
      </c>
      <c r="T148" s="418" t="str">
        <f>VLOOKUP(B148,MASTER!$B$8:$V$1435,20,FALSE)</f>
        <v xml:space="preserve">B </v>
      </c>
      <c r="U148" s="415" t="str">
        <f>VLOOKUP($B148,ALAMAT!$A$1:E391,4)</f>
        <v>Jl. Sriyatno Dalam no.20 RT.006 RW.004 Purwoyoso Ngaliyan Semarang</v>
      </c>
      <c r="X148" s="407">
        <f t="shared" ca="1" si="89"/>
        <v>45</v>
      </c>
      <c r="Y148" s="407">
        <f t="shared" ca="1" si="90"/>
        <v>20</v>
      </c>
    </row>
    <row r="149" spans="1:25" s="407" customFormat="1" ht="12.95" customHeight="1">
      <c r="A149" s="421">
        <v>28</v>
      </c>
      <c r="B149" s="821">
        <v>9543</v>
      </c>
      <c r="C149" s="410" t="str">
        <f>VLOOKUP(B149,MASTER!$B$8:$C$137,2,FALSE)</f>
        <v>DANANG NOVIANTO</v>
      </c>
      <c r="D149" s="409" t="s">
        <v>2342</v>
      </c>
      <c r="E149" s="410" t="s">
        <v>2596</v>
      </c>
      <c r="F149" s="736" t="s">
        <v>18</v>
      </c>
      <c r="G149" s="411" t="str">
        <f>VLOOKUP(B149,MASTER!$B$8:$H$1435,6,FALSE)</f>
        <v>K</v>
      </c>
      <c r="H149" s="411">
        <f>VLOOKUP(B149,MASTER!$B$8:$H$1435,7,FALSE)</f>
        <v>2</v>
      </c>
      <c r="I149" s="411">
        <f>VLOOKUP(B149,MASTER!$B$8:$V$1435,8,FALSE)</f>
        <v>2</v>
      </c>
      <c r="J149" s="411" t="str">
        <f>VLOOKUP(B149,MASTER!$B$8:$V$1435,9,FALSE)</f>
        <v>L</v>
      </c>
      <c r="K149" s="423" t="str">
        <f>VLOOKUP(B149,MASTER!$B$8:$V$1435,10,FALSE)</f>
        <v>SEMARANG</v>
      </c>
      <c r="L149" s="413">
        <f>VLOOKUP(B149,MASTER!$B$8:$V$1435,11,FALSE)</f>
        <v>27728</v>
      </c>
      <c r="M149" s="422" t="str">
        <f t="shared" ca="1" si="83"/>
        <v>42.5</v>
      </c>
      <c r="N149" s="413">
        <f>VLOOKUP(B149,MASTER!$B$8:$V$1435,14,FALSE)</f>
        <v>35807</v>
      </c>
      <c r="O149" s="422" t="str">
        <f t="shared" ca="1" si="84"/>
        <v>20.3</v>
      </c>
      <c r="P149" s="413">
        <f>VLOOKUP(B149,MASTER!$B$8:$V$1435,16,FALSE)</f>
        <v>48182</v>
      </c>
      <c r="Q149" s="414" t="str">
        <f>VLOOKUP(B149,MASTER!$B$8:$V$1435,17,FALSE)</f>
        <v>I</v>
      </c>
      <c r="R149" s="411" t="str">
        <f>VLOOKUP(B149,MASTER!$B$8:$V$1435,18,FALSE)</f>
        <v>SMA</v>
      </c>
      <c r="S149" s="411" t="str">
        <f>VLOOKUP(B149,MASTER!$B$8:$V$1435,19,FALSE)</f>
        <v>SLTA</v>
      </c>
      <c r="T149" s="418" t="str">
        <f>VLOOKUP(B149,MASTER!$B$8:$V$1435,20,FALSE)</f>
        <v xml:space="preserve">A </v>
      </c>
      <c r="U149" s="415" t="str">
        <f>VLOOKUP($B149,ALAMAT!$A$1:E392,4)</f>
        <v>JL.Tusam Timur 14B RT.002 RW.001 pedalangan Banyumanik Semarang</v>
      </c>
      <c r="X149" s="407">
        <f t="shared" ca="1" si="89"/>
        <v>42</v>
      </c>
      <c r="Y149" s="407">
        <f t="shared" ca="1" si="90"/>
        <v>20</v>
      </c>
    </row>
    <row r="150" spans="1:25" s="407" customFormat="1" ht="12.95" customHeight="1">
      <c r="A150" s="421">
        <v>28</v>
      </c>
      <c r="B150" s="806"/>
      <c r="C150" s="410"/>
      <c r="D150" s="409"/>
      <c r="E150" s="410"/>
      <c r="F150" s="736"/>
      <c r="G150" s="411"/>
      <c r="H150" s="425">
        <f>SUM(H122:H149)</f>
        <v>59</v>
      </c>
      <c r="I150" s="425">
        <f>SUM(I122:I149)</f>
        <v>58</v>
      </c>
      <c r="J150" s="411"/>
      <c r="K150" s="423"/>
      <c r="L150" s="413" t="e">
        <f>VLOOKUP(B150,MASTER!$B$8:$V$1435,11,FALSE)</f>
        <v>#N/A</v>
      </c>
      <c r="M150" s="422" t="e">
        <f ca="1">DATEDIF(L150,TODAY(),"Y") &amp; "." &amp;DATEDIF(L150,TODAY(),"YM")</f>
        <v>#N/A</v>
      </c>
      <c r="N150" s="413" t="e">
        <f>VLOOKUP(B150,MASTER!$B$8:$V$1435,14,FALSE)</f>
        <v>#N/A</v>
      </c>
      <c r="O150" s="422" t="e">
        <f t="shared" ca="1" si="84"/>
        <v>#N/A</v>
      </c>
      <c r="P150" s="413" t="e">
        <f>VLOOKUP(B150,MASTER!$B$8:$V$1435,16,FALSE)</f>
        <v>#N/A</v>
      </c>
      <c r="Q150" s="414" t="e">
        <f>VLOOKUP(B150,MASTER!$B$8:$V$1435,17,FALSE)</f>
        <v>#N/A</v>
      </c>
      <c r="R150" s="411" t="e">
        <f>VLOOKUP(B150,MASTER!$B$8:$V$1435,18,FALSE)</f>
        <v>#N/A</v>
      </c>
      <c r="S150" s="411" t="e">
        <f>VLOOKUP(B150,MASTER!$B$8:$V$1435,19,FALSE)</f>
        <v>#N/A</v>
      </c>
      <c r="T150" s="418" t="e">
        <f>VLOOKUP(B150,MASTER!$B$8:$V$1435,20,FALSE)</f>
        <v>#N/A</v>
      </c>
      <c r="U150" s="415" t="e">
        <f>VLOOKUP($B150,ALAMAT!$A$1:E393,4)</f>
        <v>#N/A</v>
      </c>
    </row>
    <row r="151" spans="1:25" s="407" customFormat="1" ht="12.95" customHeight="1">
      <c r="A151" s="658"/>
      <c r="B151" s="806"/>
      <c r="C151" s="410"/>
      <c r="D151" s="409"/>
      <c r="E151" s="410"/>
      <c r="F151" s="411"/>
      <c r="G151" s="411"/>
      <c r="H151" s="411"/>
      <c r="I151" s="411"/>
      <c r="J151" s="411"/>
      <c r="K151" s="423"/>
      <c r="L151" s="413"/>
      <c r="M151" s="422"/>
      <c r="N151" s="413"/>
      <c r="O151" s="422"/>
      <c r="P151" s="413"/>
      <c r="Q151" s="414"/>
      <c r="R151" s="411"/>
      <c r="S151" s="411"/>
      <c r="T151" s="424"/>
      <c r="U151" s="415"/>
    </row>
    <row r="152" spans="1:25" s="407" customFormat="1" ht="12.95" customHeight="1">
      <c r="A152" s="444">
        <f>A22+A32+A41+A49+A55+A61+A68+A76+A104+A120+A150</f>
        <v>119</v>
      </c>
      <c r="B152" s="807"/>
      <c r="C152" s="307"/>
      <c r="D152" s="307"/>
      <c r="E152" s="307"/>
      <c r="F152" s="307"/>
      <c r="G152" s="307"/>
      <c r="H152" s="445">
        <f ca="1">H22+H32+H41+H49+H55+H61+H68+H76+H104+H120+H150</f>
        <v>254</v>
      </c>
      <c r="I152" s="445">
        <f ca="1">I22+I32+I41+I49+I55+I61+I68+I76+I104+I120+I150</f>
        <v>228</v>
      </c>
      <c r="J152" s="307"/>
      <c r="K152" s="307"/>
      <c r="L152" s="308"/>
      <c r="M152" s="315"/>
      <c r="N152" s="308"/>
      <c r="O152" s="308"/>
      <c r="P152" s="308"/>
      <c r="Q152" s="309"/>
      <c r="R152" s="307"/>
      <c r="S152" s="307"/>
      <c r="T152" s="309"/>
      <c r="U152" s="310"/>
      <c r="V152" s="446"/>
    </row>
    <row r="153" spans="1:25" s="446" customFormat="1" ht="12.95" customHeight="1">
      <c r="A153" s="447" t="s">
        <v>2595</v>
      </c>
      <c r="B153" s="808"/>
      <c r="C153" s="7"/>
      <c r="D153" s="7"/>
      <c r="E153" s="7"/>
      <c r="F153" s="7"/>
      <c r="G153" s="7"/>
      <c r="H153" s="36"/>
      <c r="I153" s="36"/>
      <c r="J153" s="7"/>
      <c r="K153" s="7"/>
      <c r="L153" s="35"/>
      <c r="M153" s="448"/>
      <c r="N153" s="35"/>
      <c r="O153" s="35"/>
      <c r="P153" s="35"/>
      <c r="Q153" s="29"/>
      <c r="R153" s="7"/>
      <c r="S153" s="7"/>
      <c r="T153" s="29"/>
      <c r="U153" s="7"/>
    </row>
    <row r="154" spans="1:25" s="446" customFormat="1" ht="12.95" customHeight="1">
      <c r="A154" s="3"/>
      <c r="B154" s="809"/>
      <c r="C154" s="3"/>
      <c r="D154" s="3"/>
      <c r="E154" s="3"/>
      <c r="F154" s="3"/>
      <c r="G154" s="3"/>
      <c r="H154" s="449"/>
      <c r="I154" s="3"/>
      <c r="J154" s="3"/>
      <c r="K154" s="3"/>
      <c r="L154" s="450"/>
      <c r="M154" s="34"/>
      <c r="N154" s="450"/>
      <c r="O154" s="450"/>
      <c r="P154" s="450"/>
      <c r="Q154" s="3"/>
      <c r="R154" s="3"/>
      <c r="S154" s="3"/>
      <c r="T154" s="1"/>
      <c r="U154" s="757" t="s">
        <v>2728</v>
      </c>
      <c r="V154" s="407"/>
    </row>
    <row r="155" spans="1:25" s="407" customFormat="1" ht="12.95" customHeight="1">
      <c r="A155" s="3"/>
      <c r="B155" s="809"/>
      <c r="C155" s="3"/>
      <c r="D155" s="3"/>
      <c r="E155" s="757" t="s">
        <v>512</v>
      </c>
      <c r="F155" s="3"/>
      <c r="G155" s="3"/>
      <c r="H155" s="3"/>
      <c r="I155" s="3"/>
      <c r="J155" s="3"/>
      <c r="K155" s="3"/>
      <c r="L155" s="450"/>
      <c r="M155" s="34"/>
      <c r="N155" s="450"/>
      <c r="O155" s="450"/>
      <c r="P155" s="450"/>
      <c r="Q155" s="3"/>
      <c r="R155" s="3"/>
      <c r="S155" s="3"/>
      <c r="T155" s="1"/>
      <c r="U155" s="757"/>
    </row>
    <row r="156" spans="1:25" s="407" customFormat="1" ht="12.95" customHeight="1">
      <c r="A156" s="3"/>
      <c r="B156" s="809"/>
      <c r="C156" s="3"/>
      <c r="D156" s="3"/>
      <c r="E156" s="757" t="s">
        <v>676</v>
      </c>
      <c r="F156" s="3"/>
      <c r="G156" s="3"/>
      <c r="H156" s="3"/>
      <c r="I156" s="3"/>
      <c r="J156" s="3"/>
      <c r="K156" s="3"/>
      <c r="L156" s="450"/>
      <c r="M156" s="451"/>
      <c r="N156" s="450"/>
      <c r="O156" s="450"/>
      <c r="P156" s="450"/>
      <c r="Q156" s="3"/>
      <c r="R156" s="3"/>
      <c r="S156" s="3"/>
      <c r="T156" s="1"/>
      <c r="U156" s="757" t="s">
        <v>2524</v>
      </c>
    </row>
    <row r="157" spans="1:25" s="407" customFormat="1" ht="12.95" customHeight="1">
      <c r="A157" s="3"/>
      <c r="B157" s="809"/>
      <c r="C157" s="3"/>
      <c r="D157" s="3"/>
      <c r="E157" s="757"/>
      <c r="F157" s="3"/>
      <c r="G157" s="3"/>
      <c r="H157" s="3"/>
      <c r="I157" s="3"/>
      <c r="J157" s="3"/>
      <c r="K157" s="3"/>
      <c r="L157" s="450"/>
      <c r="M157" s="34"/>
      <c r="N157" s="450"/>
      <c r="O157" s="450"/>
      <c r="P157" s="450"/>
      <c r="Q157" s="3"/>
      <c r="R157" s="3"/>
      <c r="S157" s="3"/>
      <c r="T157" s="1"/>
      <c r="U157" s="757"/>
    </row>
    <row r="158" spans="1:25" s="407" customFormat="1" ht="12.95" customHeight="1">
      <c r="A158" s="3"/>
      <c r="B158" s="809"/>
      <c r="C158" s="3"/>
      <c r="D158" s="3"/>
      <c r="E158" s="757"/>
      <c r="F158" s="3"/>
      <c r="G158" s="3"/>
      <c r="H158" s="3"/>
      <c r="I158" s="3"/>
      <c r="J158" s="3"/>
      <c r="K158" s="3"/>
      <c r="L158" s="450"/>
      <c r="M158" s="34"/>
      <c r="N158" s="450"/>
      <c r="O158" s="450"/>
      <c r="P158" s="450"/>
      <c r="Q158" s="3"/>
      <c r="R158" s="3"/>
      <c r="S158" s="3"/>
      <c r="T158" s="1"/>
      <c r="U158" s="757"/>
    </row>
    <row r="159" spans="1:25" s="407" customFormat="1" ht="12.95" customHeight="1">
      <c r="A159" s="3"/>
      <c r="B159" s="809"/>
      <c r="C159" s="3"/>
      <c r="D159" s="3"/>
      <c r="E159" s="757"/>
      <c r="F159" s="3"/>
      <c r="G159" s="3"/>
      <c r="H159" s="3"/>
      <c r="I159" s="3"/>
      <c r="J159" s="3"/>
      <c r="K159" s="3"/>
      <c r="L159" s="450"/>
      <c r="M159" s="34"/>
      <c r="N159" s="450"/>
      <c r="O159" s="450"/>
      <c r="P159" s="450"/>
      <c r="Q159" s="3"/>
      <c r="R159" s="3"/>
      <c r="S159" s="3"/>
      <c r="T159" s="1"/>
      <c r="U159" s="757"/>
    </row>
    <row r="160" spans="1:25" s="407" customFormat="1" ht="12.95" customHeight="1">
      <c r="A160" s="3"/>
      <c r="B160" s="809"/>
      <c r="C160" s="3"/>
      <c r="D160" s="3"/>
      <c r="E160" s="756" t="s">
        <v>2434</v>
      </c>
      <c r="F160" s="3"/>
      <c r="G160" s="3"/>
      <c r="H160" s="3"/>
      <c r="I160" s="3"/>
      <c r="J160" s="3"/>
      <c r="K160" s="3"/>
      <c r="L160" s="450"/>
      <c r="M160" s="34"/>
      <c r="N160" s="450"/>
      <c r="O160" s="450"/>
      <c r="P160" s="450"/>
      <c r="Q160" s="3"/>
      <c r="R160" s="3"/>
      <c r="S160" s="3"/>
      <c r="T160" s="1"/>
      <c r="U160" s="756" t="s">
        <v>2435</v>
      </c>
    </row>
    <row r="161" spans="1:22" s="407" customFormat="1" ht="12.95" customHeight="1">
      <c r="A161" s="3"/>
      <c r="B161" s="809"/>
      <c r="C161" s="3"/>
      <c r="D161" s="3"/>
      <c r="E161" s="757" t="s">
        <v>2437</v>
      </c>
      <c r="F161" s="3"/>
      <c r="G161" s="3"/>
      <c r="H161" s="3"/>
      <c r="I161" s="3"/>
      <c r="J161" s="3"/>
      <c r="K161" s="3"/>
      <c r="L161" s="450"/>
      <c r="M161" s="34"/>
      <c r="N161" s="450"/>
      <c r="O161" s="450"/>
      <c r="P161" s="450"/>
      <c r="Q161" s="3"/>
      <c r="R161" s="3"/>
      <c r="S161" s="3"/>
      <c r="T161" s="1"/>
      <c r="U161" s="757" t="s">
        <v>2438</v>
      </c>
    </row>
    <row r="162" spans="1:22" s="407" customFormat="1" ht="12.95" customHeight="1">
      <c r="A162" s="3"/>
      <c r="B162" s="809"/>
      <c r="C162" s="3"/>
      <c r="D162" s="3"/>
      <c r="E162" s="3"/>
      <c r="F162" s="3"/>
      <c r="G162" s="3"/>
      <c r="H162" s="3"/>
      <c r="I162" s="3"/>
      <c r="J162" s="3"/>
      <c r="K162" s="3"/>
      <c r="L162" s="450"/>
      <c r="M162" s="34"/>
      <c r="N162" s="450"/>
      <c r="O162" s="450"/>
      <c r="P162" s="35"/>
      <c r="Q162" s="3"/>
      <c r="R162" s="3"/>
      <c r="S162" s="3"/>
      <c r="T162" s="1"/>
      <c r="U162" s="3"/>
    </row>
    <row r="163" spans="1:22" s="407" customFormat="1" ht="16.5">
      <c r="B163" s="810"/>
      <c r="C163" s="27"/>
      <c r="D163" s="13"/>
      <c r="L163" s="453"/>
      <c r="M163" s="454"/>
      <c r="N163" s="453"/>
      <c r="O163" s="453"/>
      <c r="P163" s="453"/>
      <c r="T163" s="455"/>
    </row>
    <row r="164" spans="1:22" s="407" customFormat="1" ht="16.5">
      <c r="B164" s="810"/>
      <c r="C164" s="27"/>
      <c r="D164" s="13"/>
      <c r="L164" s="453"/>
      <c r="M164" s="454"/>
      <c r="N164" s="453"/>
      <c r="O164" s="453"/>
      <c r="P164" s="453"/>
      <c r="T164" s="455"/>
    </row>
    <row r="165" spans="1:22" s="407" customFormat="1" ht="16.5">
      <c r="B165" s="810"/>
      <c r="C165" s="27" t="s">
        <v>769</v>
      </c>
      <c r="D165" s="13"/>
      <c r="L165" s="453"/>
      <c r="M165" s="454"/>
      <c r="N165" s="453"/>
      <c r="O165" s="453"/>
      <c r="P165" s="453"/>
      <c r="T165" s="455"/>
    </row>
    <row r="166" spans="1:22" s="407" customFormat="1" ht="16.5">
      <c r="A166" s="28"/>
      <c r="B166" s="810"/>
      <c r="C166" s="27"/>
      <c r="D166" s="13"/>
      <c r="E166" s="28"/>
      <c r="F166" s="28"/>
      <c r="G166" s="28"/>
      <c r="H166" s="28"/>
      <c r="I166" s="28"/>
      <c r="J166" s="28"/>
      <c r="K166" s="28"/>
      <c r="L166" s="32"/>
      <c r="M166" s="316"/>
      <c r="N166" s="32"/>
      <c r="O166" s="32"/>
      <c r="P166" s="32"/>
      <c r="Q166" s="28"/>
      <c r="R166" s="28"/>
      <c r="S166" s="28"/>
      <c r="T166" s="55"/>
      <c r="U166" s="28"/>
      <c r="V166" s="28"/>
    </row>
  </sheetData>
  <sortState ref="A30:W31">
    <sortCondition ref="A29"/>
  </sortState>
  <mergeCells count="19">
    <mergeCell ref="P5:P6"/>
    <mergeCell ref="Q5:Q6"/>
    <mergeCell ref="D5:D6"/>
    <mergeCell ref="R5:S5"/>
    <mergeCell ref="U5:U6"/>
    <mergeCell ref="I5:I6"/>
    <mergeCell ref="A2:U2"/>
    <mergeCell ref="A1:U1"/>
    <mergeCell ref="J5:J6"/>
    <mergeCell ref="K5:L6"/>
    <mergeCell ref="N5:N6"/>
    <mergeCell ref="M5:M6"/>
    <mergeCell ref="A5:A6"/>
    <mergeCell ref="B5:B6"/>
    <mergeCell ref="C5:C6"/>
    <mergeCell ref="E5:E6"/>
    <mergeCell ref="F5:F6"/>
    <mergeCell ref="G5:G6"/>
    <mergeCell ref="H5:H6"/>
  </mergeCells>
  <printOptions horizontalCentered="1"/>
  <pageMargins left="1.25" right="0.25" top="0.5" bottom="0.75" header="0.3" footer="0.3"/>
  <pageSetup paperSize="5" scale="50" fitToHeight="0" orientation="landscape" r:id="rId1"/>
  <headerFooter>
    <oddFooter>&amp;L&amp;6MIL/Aby/ay</oddFooter>
  </headerFooter>
  <rowBreaks count="1" manualBreakCount="1">
    <brk id="135" max="20" man="1"/>
  </rowBreaks>
  <ignoredErrors>
    <ignoredError sqref="G57:H57 I57 J57 K5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44" baseType="lpstr">
      <vt:lpstr>FORMASI KARYAWAN JANUARI</vt:lpstr>
      <vt:lpstr>Rekap Usia Mrt</vt:lpstr>
      <vt:lpstr>Rekap Th Pensiun New</vt:lpstr>
      <vt:lpstr>Sheet17</vt:lpstr>
      <vt:lpstr>Sheet18</vt:lpstr>
      <vt:lpstr>Pivot tabel</vt:lpstr>
      <vt:lpstr>MASTER</vt:lpstr>
      <vt:lpstr>ALAMAT</vt:lpstr>
      <vt:lpstr>DATA KARYAWAN &amp; ALAMAT</vt:lpstr>
      <vt:lpstr>GRADE</vt:lpstr>
      <vt:lpstr>STATUS</vt:lpstr>
      <vt:lpstr>JENIS KELAMIN</vt:lpstr>
      <vt:lpstr>JUMLAH KARYAWAN</vt:lpstr>
      <vt:lpstr>OS</vt:lpstr>
      <vt:lpstr>JLO</vt:lpstr>
      <vt:lpstr>OS1</vt:lpstr>
      <vt:lpstr>REKAP CUTI, PENSIUN DLL</vt:lpstr>
      <vt:lpstr>Sheet5</vt:lpstr>
      <vt:lpstr>Sheet1</vt:lpstr>
      <vt:lpstr>KARYAWAN KONTRAK</vt:lpstr>
      <vt:lpstr>GRAFIK KARY OPS &amp; NON OPS</vt:lpstr>
      <vt:lpstr>GRAFIK PER DEPT</vt:lpstr>
      <vt:lpstr>GRAFIK PER SEKSI</vt:lpstr>
      <vt:lpstr>GRAFIK GT MUKTI</vt:lpstr>
      <vt:lpstr>GRAFIK GT MANYAR</vt:lpstr>
      <vt:lpstr>GRAFIK PENDIDIKAN</vt:lpstr>
      <vt:lpstr>GRAFIK JENIS KELAMIN</vt:lpstr>
      <vt:lpstr>GRAFIK AGAMA</vt:lpstr>
      <vt:lpstr>GRAFIK USIA</vt:lpstr>
      <vt:lpstr>GRAFIK KARY TETAP &amp; TDK TETAP</vt:lpstr>
      <vt:lpstr>'DATA KARYAWAN &amp; ALAMAT'!Print_Area</vt:lpstr>
      <vt:lpstr>GRADE!Print_Area</vt:lpstr>
      <vt:lpstr>'JENIS KELAMIN'!Print_Area</vt:lpstr>
      <vt:lpstr>'JUMLAH KARYAWAN'!Print_Area</vt:lpstr>
      <vt:lpstr>OS!Print_Area</vt:lpstr>
      <vt:lpstr>'OS1'!Print_Area</vt:lpstr>
      <vt:lpstr>'Pivot tabel'!Print_Area</vt:lpstr>
      <vt:lpstr>'REKAP CUTI, PENSIUN DLL'!Print_Area</vt:lpstr>
      <vt:lpstr>STATUS!Print_Area</vt:lpstr>
      <vt:lpstr>'DATA KARYAWAN &amp; ALAMAT'!Print_Titles</vt:lpstr>
      <vt:lpstr>'FORMASI KARYAWAN JANUARI'!Print_Titles</vt:lpstr>
      <vt:lpstr>'OS1'!Print_Titles</vt:lpstr>
      <vt:lpstr>'Pivot tabel'!Print_Titles</vt:lpstr>
      <vt:lpstr>STATUS!Print_Titles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DEV</cp:lastModifiedBy>
  <cp:lastPrinted>2018-04-19T02:10:51Z</cp:lastPrinted>
  <dcterms:created xsi:type="dcterms:W3CDTF">2013-05-15T06:30:45Z</dcterms:created>
  <dcterms:modified xsi:type="dcterms:W3CDTF">2018-04-30T02:42:11Z</dcterms:modified>
</cp:coreProperties>
</file>