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firstSheet="4" activeTab="5"/>
  </bookViews>
  <sheets>
    <sheet name="爱因斯坦" sheetId="8" r:id="rId1"/>
    <sheet name="火箭" sheetId="15" r:id="rId2"/>
    <sheet name="船长" sheetId="16" r:id="rId3"/>
    <sheet name="风暴女" sheetId="19" r:id="rId4"/>
    <sheet name="布欧" sheetId="20" r:id="rId5"/>
    <sheet name="佐助" sheetId="11" r:id="rId6"/>
    <sheet name="闪电侠" sheetId="17" r:id="rId7"/>
    <sheet name="金刚狼" sheetId="18" r:id="rId8"/>
    <sheet name="冰人" sheetId="22" r:id="rId9"/>
    <sheet name="明日香" sheetId="21" r:id="rId10"/>
    <sheet name="死侍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<sst xmlns="http://schemas.openxmlformats.org/spreadsheetml/2006/main" count="2983" uniqueCount="185">
  <si>
    <t>力场规则</t>
  </si>
  <si>
    <t>霹雳</t>
  </si>
  <si>
    <t>霹雳间隔</t>
  </si>
  <si>
    <t>职业数据</t>
  </si>
  <si>
    <t>攻击间隔</t>
  </si>
  <si>
    <t>攻击距离</t>
  </si>
  <si>
    <t>普攻杀怪次数</t>
  </si>
  <si>
    <t>大招杀怪次数</t>
  </si>
  <si>
    <t>大招CD</t>
  </si>
  <si>
    <t>小怪半径</t>
  </si>
  <si>
    <t>基地半径</t>
  </si>
  <si>
    <t>角色半径</t>
  </si>
  <si>
    <t>围绕圆点坐标左右偏移角度</t>
  </si>
  <si>
    <t>霹雳半径</t>
  </si>
  <si>
    <t>战士</t>
  </si>
  <si>
    <t>力场半径</t>
  </si>
  <si>
    <t>一闪</t>
  </si>
  <si>
    <t>区域长</t>
  </si>
  <si>
    <t>刺客</t>
  </si>
  <si>
    <t>基地宽</t>
  </si>
  <si>
    <t>基地长</t>
  </si>
  <si>
    <t>力场间是否相交</t>
  </si>
  <si>
    <t>区域宽</t>
  </si>
  <si>
    <t>法师</t>
  </si>
  <si>
    <t>x</t>
  </si>
  <si>
    <t>y</t>
  </si>
  <si>
    <t>贯穿</t>
  </si>
  <si>
    <t>宽度</t>
  </si>
  <si>
    <t>牧师</t>
  </si>
  <si>
    <t>逆时针</t>
  </si>
  <si>
    <t>原圆心</t>
  </si>
  <si>
    <t>角度1</t>
  </si>
  <si>
    <t>猎人</t>
  </si>
  <si>
    <t>X = xcosθ - ysinθ</t>
  </si>
  <si>
    <t>角度2</t>
  </si>
  <si>
    <t>Y = xsinθ + ycosθ</t>
  </si>
  <si>
    <t>顺时针</t>
  </si>
  <si>
    <t>角度3</t>
  </si>
  <si>
    <t>ID</t>
  </si>
  <si>
    <t>基地圆半径</t>
  </si>
  <si>
    <t>面积</t>
  </si>
  <si>
    <t>面积比</t>
  </si>
  <si>
    <t>有效率</t>
  </si>
  <si>
    <t>1个【霹雳】计算</t>
  </si>
  <si>
    <t>触发面积</t>
  </si>
  <si>
    <t>技能面积</t>
  </si>
  <si>
    <t>触发率</t>
  </si>
  <si>
    <t>Buff数</t>
  </si>
  <si>
    <t>【力场】-【霹雳】</t>
  </si>
  <si>
    <t>5次【一闪】平均计算</t>
  </si>
  <si>
    <t>【力场】-【一闪】</t>
  </si>
  <si>
    <t>6个【贯穿】计算</t>
  </si>
  <si>
    <t>触发面积边长</t>
  </si>
  <si>
    <t>触发距离</t>
  </si>
  <si>
    <t>交点距离</t>
  </si>
  <si>
    <t>小三角形</t>
  </si>
  <si>
    <t>大三角形</t>
  </si>
  <si>
    <t>上限三角形</t>
  </si>
  <si>
    <t>触发1小面积</t>
  </si>
  <si>
    <t>【力场】-【贯穿】</t>
  </si>
  <si>
    <t>触发2小面积</t>
  </si>
  <si>
    <t>【霹雳】</t>
  </si>
  <si>
    <t>半径</t>
  </si>
  <si>
    <t>数量</t>
  </si>
  <si>
    <t>触发3小面积</t>
  </si>
  <si>
    <t>【一闪】</t>
  </si>
  <si>
    <t>长宽</t>
  </si>
  <si>
    <t>固定面积</t>
  </si>
  <si>
    <t>总面积</t>
  </si>
  <si>
    <t>单个触发率</t>
  </si>
  <si>
    <t>6个单力场</t>
  </si>
  <si>
    <t>3个单力场</t>
  </si>
  <si>
    <t>期望</t>
  </si>
  <si>
    <t>3，1</t>
  </si>
  <si>
    <t>【贯穿】</t>
  </si>
  <si>
    <t>【灵能】-【霹雳】</t>
  </si>
  <si>
    <t>6，0.5</t>
  </si>
  <si>
    <t>【灵能】-【一闪】</t>
  </si>
  <si>
    <t>6发【贯穿】平均计算</t>
  </si>
  <si>
    <t>【灵能】-【贯穿】</t>
  </si>
  <si>
    <t>6个单灵能</t>
  </si>
  <si>
    <t>6个9灵能</t>
  </si>
  <si>
    <t>3个单灵能</t>
  </si>
  <si>
    <t>【霹雳】1</t>
  </si>
  <si>
    <t>普攻子弹</t>
  </si>
  <si>
    <t>大招子弹</t>
  </si>
  <si>
    <t>普攻每秒</t>
  </si>
  <si>
    <t>大招每秒</t>
  </si>
  <si>
    <t>普攻概率</t>
  </si>
  <si>
    <t>大招概率</t>
  </si>
  <si>
    <t>合计</t>
  </si>
  <si>
    <t>技能系数</t>
  </si>
  <si>
    <t>DPS</t>
  </si>
  <si>
    <t>力场触发</t>
  </si>
  <si>
    <t>灵能触发</t>
  </si>
  <si>
    <t>英雄1星每秒霹雳</t>
  </si>
  <si>
    <t>英雄2星每秒霹雳</t>
  </si>
  <si>
    <t>英雄3星每秒霹雳</t>
  </si>
  <si>
    <t>英雄4星每秒霹雳</t>
  </si>
  <si>
    <t>英雄5星每秒霹雳</t>
  </si>
  <si>
    <t>英雄6星每秒霹雳</t>
  </si>
  <si>
    <t>英雄7星每秒霹雳</t>
  </si>
  <si>
    <t>英雄8星每秒霹雳</t>
  </si>
  <si>
    <t>英雄9星每秒霹雳</t>
  </si>
  <si>
    <t>英雄10星每秒霹雳</t>
  </si>
  <si>
    <t>英雄11星每秒霹雳</t>
  </si>
  <si>
    <t>英雄12星每秒霹雳</t>
  </si>
  <si>
    <t>英雄13星每秒霹雳</t>
  </si>
  <si>
    <t>英雄14星每秒霹雳</t>
  </si>
  <si>
    <t>英雄15星每秒霹雳</t>
  </si>
  <si>
    <t>触发次数</t>
  </si>
  <si>
    <t>相差倍数</t>
  </si>
  <si>
    <t>调整值</t>
  </si>
  <si>
    <t>英雄1星每秒一闪</t>
  </si>
  <si>
    <t>英雄2星每秒一闪</t>
  </si>
  <si>
    <t>英雄3星每秒一闪</t>
  </si>
  <si>
    <t>英雄4星每秒一闪</t>
  </si>
  <si>
    <t>英雄5星每秒一闪</t>
  </si>
  <si>
    <t>英雄6星每秒一闪</t>
  </si>
  <si>
    <t>英雄7星每秒一闪</t>
  </si>
  <si>
    <t>英雄8星每秒一闪</t>
  </si>
  <si>
    <t>英雄9星每秒一闪</t>
  </si>
  <si>
    <t>英雄10星每秒一闪</t>
  </si>
  <si>
    <t>英雄11星每秒一闪</t>
  </si>
  <si>
    <t>英雄12星每秒一闪</t>
  </si>
  <si>
    <t>英雄13星每秒一闪</t>
  </si>
  <si>
    <t>英雄14星每秒一闪</t>
  </si>
  <si>
    <t>英雄15星每秒一闪</t>
  </si>
  <si>
    <t>英雄1星每秒贯穿</t>
  </si>
  <si>
    <t>英雄2星每秒贯穿</t>
  </si>
  <si>
    <t>英雄3星每秒贯穿</t>
  </si>
  <si>
    <t>英雄4星每秒贯穿</t>
  </si>
  <si>
    <t>英雄5星每秒贯穿</t>
  </si>
  <si>
    <t>英雄6星每秒贯穿</t>
  </si>
  <si>
    <t>英雄7星每秒贯穿</t>
  </si>
  <si>
    <t>英雄8星每秒贯穿</t>
  </si>
  <si>
    <t>英雄9星每秒贯穿</t>
  </si>
  <si>
    <t>英雄10星每秒贯穿</t>
  </si>
  <si>
    <t>英雄11星每秒贯穿</t>
  </si>
  <si>
    <t>英雄12星每秒贯穿</t>
  </si>
  <si>
    <t>英雄13星每秒贯穿</t>
  </si>
  <si>
    <t>英雄14星每秒贯穿</t>
  </si>
  <si>
    <t>英雄15星每秒贯穿</t>
  </si>
  <si>
    <t>品质-白</t>
  </si>
  <si>
    <t>品质-绿</t>
  </si>
  <si>
    <t>品质-蓝</t>
  </si>
  <si>
    <t>品质-紫</t>
  </si>
  <si>
    <t>品质-橙</t>
  </si>
  <si>
    <t>品质-红</t>
  </si>
  <si>
    <t>品质-白金</t>
  </si>
  <si>
    <t>英雄4星+1每秒霹雳</t>
  </si>
  <si>
    <t>英雄4星+2每秒霹雳</t>
  </si>
  <si>
    <t>英雄5星+1每秒霹雳</t>
  </si>
  <si>
    <t>英雄5星+2每秒霹雳</t>
  </si>
  <si>
    <t>英雄5星+3每秒霹雳</t>
  </si>
  <si>
    <t>英雄6星+1每秒霹雳</t>
  </si>
  <si>
    <t>英雄6星+2每秒霹雳</t>
  </si>
  <si>
    <t>英雄6星+3每秒霹雳</t>
  </si>
  <si>
    <t>英雄4星+1每秒一闪</t>
  </si>
  <si>
    <t>英雄4星+2每秒一闪</t>
  </si>
  <si>
    <t>英雄5星+1每秒一闪</t>
  </si>
  <si>
    <t>英雄5星+2每秒一闪</t>
  </si>
  <si>
    <t>英雄5星+3每秒一闪</t>
  </si>
  <si>
    <t>英雄6星+1每秒一闪</t>
  </si>
  <si>
    <t>英雄6星+2每秒一闪</t>
  </si>
  <si>
    <t>英雄6星+3每秒一闪</t>
  </si>
  <si>
    <t>英雄4星+1每秒贯穿</t>
  </si>
  <si>
    <t>英雄4星+2每秒贯穿</t>
  </si>
  <si>
    <t>英雄5星+1每秒贯穿</t>
  </si>
  <si>
    <t>英雄5星+2每秒贯穿</t>
  </si>
  <si>
    <t>英雄5星+3每秒贯穿</t>
  </si>
  <si>
    <t>英雄6星+1每秒贯穿</t>
  </si>
  <si>
    <t>英雄6星+2每秒贯穿</t>
  </si>
  <si>
    <t>英雄6星+3每秒贯穿</t>
  </si>
  <si>
    <t>普攻</t>
  </si>
  <si>
    <t>大招</t>
  </si>
  <si>
    <t>普攻回能</t>
  </si>
  <si>
    <t>大招回能</t>
  </si>
  <si>
    <t>优化数值</t>
  </si>
  <si>
    <t>释放贯穿</t>
  </si>
  <si>
    <t>金克斯</t>
  </si>
  <si>
    <t>赛亚人</t>
  </si>
  <si>
    <t>终结者</t>
  </si>
  <si>
    <t>绿箭侠</t>
  </si>
  <si>
    <t>死侍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</si>
</sst>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5">
    <font>
      <sz val="12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 tint="-0.15"/>
      <name val="微软雅黑"/>
      <charset val="134"/>
    </font>
    <font>
      <sz val="10"/>
      <color theme="0" tint="-0.25"/>
      <name val="微软雅黑"/>
      <charset val="134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A9D08D"/>
        <bgColor indexed="64"/>
      </patternFill>
    </fill>
    <fill>
      <patternFill patternType="solid">
        <fgColor rgb="FF9EC3E7"/>
        <bgColor indexed="64"/>
      </patternFill>
    </fill>
    <fill>
      <patternFill patternType="solid">
        <fgColor rgb="FFD703D7"/>
        <bgColor indexed="64"/>
      </patternFill>
    </fill>
    <fill>
      <patternFill patternType="solid">
        <fgColor rgb="FFF25D5D"/>
        <bgColor indexed="64"/>
      </patternFill>
    </fill>
    <fill>
      <patternFill patternType="solid">
        <fgColor rgb="FFCACAC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1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12" applyNumberFormat="0" applyAlignment="0" applyProtection="0">
      <alignment vertical="center"/>
    </xf>
    <xf numFmtId="0" fontId="15" fillId="13" borderId="13" applyNumberFormat="0" applyAlignment="0" applyProtection="0">
      <alignment vertical="center"/>
    </xf>
    <xf numFmtId="0" fontId="16" fillId="13" borderId="12" applyNumberFormat="0" applyAlignment="0" applyProtection="0">
      <alignment vertical="center"/>
    </xf>
    <xf numFmtId="0" fontId="17" fillId="14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0" fontId="1" fillId="0" borderId="0" xfId="0" applyNumberFormat="1" applyFont="1" applyFill="1" applyAlignment="1">
      <alignment vertical="center"/>
    </xf>
    <xf numFmtId="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0" fontId="3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1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176" fontId="1" fillId="4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5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9" fontId="1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472EC"/>
      <color rgb="00E5ABF4"/>
      <color rgb="00F8A3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0"/>
  <sheetViews>
    <sheetView workbookViewId="0">
      <selection activeCell="F58" sqref="F58:G58"/>
    </sheetView>
  </sheetViews>
  <sheetFormatPr defaultColWidth="9" defaultRowHeight="16.5"/>
  <cols>
    <col min="1" max="1" width="14.875" style="1" customWidth="1"/>
    <col min="2" max="2" width="18" style="1" customWidth="1"/>
    <col min="3" max="3" width="11.25" style="1" customWidth="1"/>
    <col min="4" max="11" width="9.00833333333333" style="1" customWidth="1"/>
    <col min="12" max="14" width="9.00833333333333" style="2" customWidth="1"/>
    <col min="15" max="16" width="10.625" style="2" customWidth="1"/>
    <col min="17" max="18" width="12.625" style="1"/>
    <col min="19" max="22" width="9.00833333333333" style="1" customWidth="1"/>
    <col min="23" max="24" width="9.375" style="1"/>
    <col min="25" max="16384" width="9" style="1"/>
  </cols>
  <sheetData>
    <row r="1" spans="1:20">
      <c r="A1" s="1" t="s">
        <v>0</v>
      </c>
      <c r="G1" s="3" t="s">
        <v>1</v>
      </c>
      <c r="H1" s="4" t="s">
        <v>2</v>
      </c>
      <c r="I1" s="22"/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</row>
    <row r="2" spans="2:20">
      <c r="B2" s="5" t="s">
        <v>12</v>
      </c>
      <c r="C2" s="6">
        <v>60</v>
      </c>
      <c r="G2" s="7"/>
      <c r="H2" s="8" t="s">
        <v>13</v>
      </c>
      <c r="I2" s="23">
        <v>1.2</v>
      </c>
      <c r="L2" s="2" t="s">
        <v>14</v>
      </c>
      <c r="M2" s="2">
        <v>1.3</v>
      </c>
      <c r="N2" s="2">
        <v>7</v>
      </c>
      <c r="O2" s="2">
        <f>3/1.5</f>
        <v>2</v>
      </c>
      <c r="P2" s="2">
        <f>3/2</f>
        <v>1.5</v>
      </c>
      <c r="Q2" s="2">
        <v>19.5</v>
      </c>
      <c r="R2" s="2">
        <v>0.5</v>
      </c>
      <c r="S2" s="2">
        <v>3</v>
      </c>
      <c r="T2" s="2">
        <v>0.8</v>
      </c>
    </row>
    <row r="3" spans="2:20">
      <c r="B3" s="1" t="s">
        <v>15</v>
      </c>
      <c r="C3" s="2">
        <v>2</v>
      </c>
      <c r="G3" s="3" t="s">
        <v>16</v>
      </c>
      <c r="H3" s="4" t="s">
        <v>17</v>
      </c>
      <c r="I3" s="22">
        <f>3*1.5</f>
        <v>4.5</v>
      </c>
      <c r="L3" s="2" t="s">
        <v>18</v>
      </c>
      <c r="M3" s="2">
        <v>1.6</v>
      </c>
      <c r="N3" s="2">
        <v>5</v>
      </c>
      <c r="O3" s="2">
        <f>3/1</f>
        <v>3</v>
      </c>
      <c r="P3" s="2">
        <f>3/1.5</f>
        <v>2</v>
      </c>
      <c r="Q3" s="2">
        <v>20.8</v>
      </c>
      <c r="R3" s="2"/>
      <c r="S3" s="2" t="s">
        <v>19</v>
      </c>
      <c r="T3" s="2" t="s">
        <v>20</v>
      </c>
    </row>
    <row r="4" spans="2:20">
      <c r="B4" s="5" t="s">
        <v>21</v>
      </c>
      <c r="C4" s="6" t="str">
        <f>IF((D4-C3*2)&lt;0,"相交",IF((D4-C3*2)&lt;0=0,"相切","否"))</f>
        <v>相交</v>
      </c>
      <c r="D4" s="5">
        <f>((D6-D7)^2+(E6-E7)^2)^0.5</f>
        <v>3.99644842328786</v>
      </c>
      <c r="E4" s="5"/>
      <c r="G4" s="9"/>
      <c r="H4" s="8" t="s">
        <v>22</v>
      </c>
      <c r="I4" s="23">
        <f>1*1.5+2</f>
        <v>3.5</v>
      </c>
      <c r="L4" s="25" t="s">
        <v>23</v>
      </c>
      <c r="M4" s="25">
        <v>1.4</v>
      </c>
      <c r="N4" s="2">
        <v>8</v>
      </c>
      <c r="O4" s="2">
        <f>3/1</f>
        <v>3</v>
      </c>
      <c r="P4" s="2">
        <f>3/3</f>
        <v>1</v>
      </c>
      <c r="Q4" s="25">
        <v>14</v>
      </c>
      <c r="R4" s="2"/>
      <c r="S4" s="2">
        <v>4.6</v>
      </c>
      <c r="T4" s="2">
        <v>6.2</v>
      </c>
    </row>
    <row r="5" spans="2:18">
      <c r="B5" s="5"/>
      <c r="C5" s="6"/>
      <c r="D5" s="6" t="s">
        <v>24</v>
      </c>
      <c r="E5" s="6" t="s">
        <v>25</v>
      </c>
      <c r="F5" s="2"/>
      <c r="G5" s="3" t="s">
        <v>26</v>
      </c>
      <c r="H5" s="4" t="s">
        <v>27</v>
      </c>
      <c r="I5" s="22">
        <v>0.5</v>
      </c>
      <c r="J5" s="2"/>
      <c r="L5" s="2" t="s">
        <v>28</v>
      </c>
      <c r="M5" s="2">
        <v>1.2</v>
      </c>
      <c r="N5" s="2">
        <v>8</v>
      </c>
      <c r="O5" s="2">
        <f>3/0.75</f>
        <v>4</v>
      </c>
      <c r="P5" s="2">
        <f>3/1</f>
        <v>3</v>
      </c>
      <c r="Q5" s="2">
        <v>20</v>
      </c>
      <c r="R5" s="2"/>
    </row>
    <row r="6" spans="2:18">
      <c r="B6" s="5" t="s">
        <v>29</v>
      </c>
      <c r="C6" s="6" t="s">
        <v>30</v>
      </c>
      <c r="D6" s="6">
        <v>0</v>
      </c>
      <c r="E6" s="6">
        <v>4</v>
      </c>
      <c r="F6" s="2"/>
      <c r="G6" s="10"/>
      <c r="H6" s="1" t="s">
        <v>31</v>
      </c>
      <c r="I6" s="24">
        <v>15</v>
      </c>
      <c r="J6" s="2"/>
      <c r="L6" s="2" t="s">
        <v>32</v>
      </c>
      <c r="M6" s="2">
        <v>1.1</v>
      </c>
      <c r="N6" s="2">
        <v>7</v>
      </c>
      <c r="O6" s="2">
        <f>3/1.25</f>
        <v>2.4</v>
      </c>
      <c r="P6" s="2">
        <f>3/2</f>
        <v>1.5</v>
      </c>
      <c r="Q6" s="2">
        <v>20</v>
      </c>
      <c r="R6" s="2"/>
    </row>
    <row r="7" spans="2:10">
      <c r="B7" s="5" t="s">
        <v>33</v>
      </c>
      <c r="C7" s="6" t="s">
        <v>29</v>
      </c>
      <c r="D7" s="6">
        <f>ROUND(D6*COS(C2/180*PI())-E6*SIN(C2/180*PI()),2)</f>
        <v>-3.46</v>
      </c>
      <c r="E7" s="6">
        <f>ROUND(D6*SIN(C2/180*PI())+E6*COS(C2/180*PI()),2)</f>
        <v>2</v>
      </c>
      <c r="F7" s="2"/>
      <c r="G7" s="10"/>
      <c r="H7" s="1" t="s">
        <v>34</v>
      </c>
      <c r="I7" s="24">
        <f>90-I6</f>
        <v>75</v>
      </c>
      <c r="J7" s="2"/>
    </row>
    <row r="8" spans="2:12">
      <c r="B8" s="5" t="s">
        <v>35</v>
      </c>
      <c r="C8" s="6" t="s">
        <v>36</v>
      </c>
      <c r="D8" s="6">
        <f>ROUND(D6*COS((-1)*C2/180*PI())-E6*SIN((-1)*C2/180*PI()),2)</f>
        <v>3.46</v>
      </c>
      <c r="E8" s="6">
        <f>ROUND(D6*SIN((-1)*C2/180*PI())+E6*COS((-1)*C2/180*PI()),2)</f>
        <v>2</v>
      </c>
      <c r="F8" s="2"/>
      <c r="G8" s="7"/>
      <c r="H8" s="8" t="s">
        <v>37</v>
      </c>
      <c r="I8" s="23">
        <v>90</v>
      </c>
      <c r="J8" s="2"/>
      <c r="L8" s="1"/>
    </row>
    <row r="9" hidden="1" spans="11:23">
      <c r="K9" s="2"/>
      <c r="Q9" s="2" t="s">
        <v>38</v>
      </c>
      <c r="R9" s="2" t="s">
        <v>39</v>
      </c>
      <c r="S9" s="2" t="s">
        <v>40</v>
      </c>
      <c r="T9" s="2" t="s">
        <v>41</v>
      </c>
      <c r="U9" s="2" t="s">
        <v>42</v>
      </c>
      <c r="W9" s="2"/>
    </row>
    <row r="10" hidden="1" spans="2:23">
      <c r="B10" s="2" t="s">
        <v>43</v>
      </c>
      <c r="C10" s="1" t="s">
        <v>44</v>
      </c>
      <c r="D10" s="1" t="s">
        <v>45</v>
      </c>
      <c r="E10" s="1" t="s">
        <v>46</v>
      </c>
      <c r="F10" s="2" t="s">
        <v>47</v>
      </c>
      <c r="H10" s="2"/>
      <c r="I10" s="2"/>
      <c r="K10" s="2"/>
      <c r="O10" s="12"/>
      <c r="Q10" s="2">
        <v>1</v>
      </c>
      <c r="R10" s="2">
        <v>5</v>
      </c>
      <c r="S10" s="2">
        <f>PI()*R10^2-PI()*$S$2^2</f>
        <v>50.2654824574367</v>
      </c>
      <c r="T10" s="2">
        <f>S10/(PI()*$R$2^2)</f>
        <v>64</v>
      </c>
      <c r="U10" s="12">
        <v>0.5</v>
      </c>
      <c r="W10" s="2"/>
    </row>
    <row r="11" hidden="1" spans="1:23">
      <c r="A11" s="1" t="s">
        <v>48</v>
      </c>
      <c r="B11" s="2">
        <v>7</v>
      </c>
      <c r="C11" s="1">
        <f>PI()*(C3+I2)^2</f>
        <v>32.1699087727595</v>
      </c>
      <c r="D11" s="1">
        <f>PI()*(N4^2-S2^2)</f>
        <v>172.787595947439</v>
      </c>
      <c r="E11" s="11">
        <f t="shared" ref="E11:E16" si="0">C11/D11</f>
        <v>0.186181818181818</v>
      </c>
      <c r="F11" s="2">
        <v>6</v>
      </c>
      <c r="G11" s="12"/>
      <c r="H11" s="12"/>
      <c r="I11" s="12"/>
      <c r="K11" s="2"/>
      <c r="O11" s="12"/>
      <c r="Q11" s="2">
        <v>2</v>
      </c>
      <c r="R11" s="2">
        <f>R10+0.5</f>
        <v>5.5</v>
      </c>
      <c r="S11" s="2">
        <f>PI()*R11^2-PI()*$S$2^2</f>
        <v>66.7588438887831</v>
      </c>
      <c r="T11" s="2">
        <f>S11/(PI()*$R$2^2)</f>
        <v>85</v>
      </c>
      <c r="U11" s="12">
        <f t="shared" ref="U11:U18" si="1">U10+2%</f>
        <v>0.52</v>
      </c>
      <c r="W11" s="2"/>
    </row>
    <row r="12" hidden="1" spans="1:23">
      <c r="A12" s="1" t="s">
        <v>48</v>
      </c>
      <c r="B12" s="2">
        <v>11</v>
      </c>
      <c r="C12" s="1">
        <f>PI()*(C3+I2)^2</f>
        <v>32.1699087727595</v>
      </c>
      <c r="D12" s="1">
        <f>PI()*(N4^2-S2^2)</f>
        <v>172.787595947439</v>
      </c>
      <c r="E12" s="11">
        <f>C11/D11</f>
        <v>0.186181818181818</v>
      </c>
      <c r="K12" s="2"/>
      <c r="O12" s="12"/>
      <c r="Q12" s="2">
        <v>3</v>
      </c>
      <c r="R12" s="2">
        <f t="shared" ref="R12:R18" si="2">R11+0.5</f>
        <v>6</v>
      </c>
      <c r="S12" s="2">
        <f>PI()*R12^2-PI()*$S$2^2</f>
        <v>84.8230016469244</v>
      </c>
      <c r="T12" s="2">
        <f>S12/(PI()*$R$2^2)</f>
        <v>108</v>
      </c>
      <c r="U12" s="12">
        <f t="shared" si="1"/>
        <v>0.54</v>
      </c>
      <c r="W12" s="2"/>
    </row>
    <row r="13" hidden="1" spans="1:23">
      <c r="A13" s="1" t="s">
        <v>48</v>
      </c>
      <c r="B13" s="12">
        <v>0.5</v>
      </c>
      <c r="E13" s="13">
        <f>E12*(1+B13)^F11</f>
        <v>2.12072727272727</v>
      </c>
      <c r="K13" s="2"/>
      <c r="O13" s="12"/>
      <c r="Q13" s="2">
        <v>4</v>
      </c>
      <c r="R13" s="2">
        <f t="shared" si="2"/>
        <v>6.5</v>
      </c>
      <c r="S13" s="2">
        <f>PI()*R13^2-PI()*$S$2^2</f>
        <v>104.457955731861</v>
      </c>
      <c r="T13" s="2">
        <f>S13/(PI()*$R$2^2)</f>
        <v>133</v>
      </c>
      <c r="U13" s="12">
        <f t="shared" si="1"/>
        <v>0.56</v>
      </c>
      <c r="W13" s="2"/>
    </row>
    <row r="14" hidden="1" spans="2:23">
      <c r="B14" s="2" t="s">
        <v>49</v>
      </c>
      <c r="C14" s="1" t="s">
        <v>44</v>
      </c>
      <c r="D14" s="1" t="s">
        <v>45</v>
      </c>
      <c r="E14" s="1" t="s">
        <v>46</v>
      </c>
      <c r="F14" s="2" t="s">
        <v>47</v>
      </c>
      <c r="K14" s="2"/>
      <c r="O14" s="12"/>
      <c r="Q14" s="2">
        <v>5</v>
      </c>
      <c r="R14" s="2">
        <f t="shared" si="2"/>
        <v>7</v>
      </c>
      <c r="S14" s="2">
        <f>PI()*R14^2-PI()*$S$2^2</f>
        <v>125.663706143592</v>
      </c>
      <c r="T14" s="2">
        <f>S14/(PI()*$R$2^2)</f>
        <v>160</v>
      </c>
      <c r="U14" s="12">
        <f t="shared" si="1"/>
        <v>0.58</v>
      </c>
      <c r="W14" s="2"/>
    </row>
    <row r="15" hidden="1" spans="1:23">
      <c r="A15" s="1" t="s">
        <v>50</v>
      </c>
      <c r="B15" s="2">
        <v>7</v>
      </c>
      <c r="C15" s="1">
        <f>PI()*((C3+I4/2)^2+(I3/2)^2)</f>
        <v>60.0829594999048</v>
      </c>
      <c r="D15" s="1">
        <f>PI()*((N3*2)^2-S2^2)</f>
        <v>285.884931476671</v>
      </c>
      <c r="E15" s="11">
        <f t="shared" si="0"/>
        <v>0.210164835164835</v>
      </c>
      <c r="F15" s="2">
        <v>5</v>
      </c>
      <c r="K15" s="2"/>
      <c r="O15" s="12"/>
      <c r="Q15" s="2">
        <v>6</v>
      </c>
      <c r="R15" s="2">
        <f t="shared" si="2"/>
        <v>7.5</v>
      </c>
      <c r="S15" s="2">
        <f>PI()*R15^2-PI()*$S$2^2</f>
        <v>148.440252882118</v>
      </c>
      <c r="T15" s="2">
        <f>S15/(PI()*$R$2^2)</f>
        <v>189</v>
      </c>
      <c r="U15" s="12">
        <f t="shared" si="1"/>
        <v>0.6</v>
      </c>
      <c r="W15" s="2"/>
    </row>
    <row r="16" hidden="1" spans="1:23">
      <c r="A16" s="1" t="s">
        <v>50</v>
      </c>
      <c r="B16" s="2">
        <v>11</v>
      </c>
      <c r="C16" s="1">
        <f>PI()*((C3+I4/2)^2+(I3/2)^2)</f>
        <v>60.0829594999048</v>
      </c>
      <c r="D16" s="1">
        <f>PI()*((N3*2)^2-S2^2)</f>
        <v>285.884931476671</v>
      </c>
      <c r="E16" s="11">
        <f t="shared" si="0"/>
        <v>0.210164835164835</v>
      </c>
      <c r="K16" s="2"/>
      <c r="O16" s="12"/>
      <c r="Q16" s="2">
        <v>7</v>
      </c>
      <c r="R16" s="2">
        <f t="shared" si="2"/>
        <v>8</v>
      </c>
      <c r="S16" s="2">
        <f>PI()*R16^2-PI()*$S$2^2</f>
        <v>172.787595947439</v>
      </c>
      <c r="T16" s="2">
        <f>S16/(PI()*$R$2^2)</f>
        <v>220</v>
      </c>
      <c r="U16" s="12">
        <f t="shared" si="1"/>
        <v>0.62</v>
      </c>
      <c r="W16" s="2"/>
    </row>
    <row r="17" hidden="1" spans="1:23">
      <c r="A17" s="1" t="s">
        <v>50</v>
      </c>
      <c r="B17" s="12">
        <f>B13</f>
        <v>0.5</v>
      </c>
      <c r="E17" s="13">
        <f>E16*(1+B17)^F15</f>
        <v>1.59593921703297</v>
      </c>
      <c r="K17" s="2"/>
      <c r="O17" s="12"/>
      <c r="Q17" s="2">
        <v>8</v>
      </c>
      <c r="R17" s="2">
        <f t="shared" si="2"/>
        <v>8.5</v>
      </c>
      <c r="S17" s="2">
        <f>PI()*R17^2-PI()*$S$2^2</f>
        <v>198.705735339554</v>
      </c>
      <c r="T17" s="2">
        <f>S17/(PI()*$R$2^2)</f>
        <v>253</v>
      </c>
      <c r="U17" s="12">
        <f t="shared" si="1"/>
        <v>0.64</v>
      </c>
      <c r="W17" s="2"/>
    </row>
    <row r="18" hidden="1" spans="2:23">
      <c r="B18" s="2" t="s">
        <v>51</v>
      </c>
      <c r="C18" s="1" t="s">
        <v>52</v>
      </c>
      <c r="D18" s="1" t="s">
        <v>53</v>
      </c>
      <c r="E18" s="1" t="s">
        <v>54</v>
      </c>
      <c r="F18" s="1" t="s">
        <v>55</v>
      </c>
      <c r="G18" s="1" t="s">
        <v>56</v>
      </c>
      <c r="H18" s="1" t="s">
        <v>57</v>
      </c>
      <c r="I18" s="1" t="s">
        <v>58</v>
      </c>
      <c r="K18" s="2"/>
      <c r="O18" s="12"/>
      <c r="Q18" s="2">
        <v>9</v>
      </c>
      <c r="R18" s="2">
        <f t="shared" si="2"/>
        <v>9</v>
      </c>
      <c r="S18" s="2">
        <f>PI()*R18^2-PI()*$S$2^2</f>
        <v>226.194671058465</v>
      </c>
      <c r="T18" s="2">
        <f>S18/(PI()*$R$2^2)</f>
        <v>288</v>
      </c>
      <c r="U18" s="12">
        <f t="shared" si="1"/>
        <v>0.66</v>
      </c>
      <c r="W18" s="2"/>
    </row>
    <row r="19" hidden="1" spans="1:23">
      <c r="A19" s="1" t="s">
        <v>59</v>
      </c>
      <c r="B19" s="2">
        <v>7</v>
      </c>
      <c r="C19" s="1">
        <f>(2*C3^2/(1-COS(I6/180*PI())))^0.5</f>
        <v>15.3225951510808</v>
      </c>
      <c r="D19" s="1">
        <f>COS(I6/2/180*PI())*C19</f>
        <v>15.1915082254503</v>
      </c>
      <c r="E19" s="1">
        <f>2*D19*I5/C19</f>
        <v>0.99144486137381</v>
      </c>
      <c r="F19" s="13">
        <f>($S$2-E19)*TAN($I$6/2/180*PI())*($S$2-E19)</f>
        <v>0.531124847517513</v>
      </c>
      <c r="G19" s="1">
        <f>C3*D19</f>
        <v>30.3830164509006</v>
      </c>
      <c r="H19" s="1">
        <f>($N$2-E19)*TAN($I$6/2/180*PI())*($N$2-E19)</f>
        <v>4.75301521325293</v>
      </c>
      <c r="I19" s="1">
        <f>_xlfn.IFS((D19+E19)&lt;S$2,0,AND(E19&lt;S$2,(D19+E19)&lt;N$2),H19-F19,AND(E19&lt;S$2,(D19+E19)&gt;=N$2),G19-F19,AND(E19&lt;N$2,(D19+E19)&lt;N$2),G19,AND(E19&lt;N$2,(D19+E19)&gt;=N$2),H19,E19&gt;=7,0)</f>
        <v>29.8518916033831</v>
      </c>
      <c r="K19" s="2"/>
      <c r="O19" s="12"/>
      <c r="R19" s="2"/>
      <c r="S19" s="2"/>
      <c r="T19" s="2"/>
      <c r="U19" s="2"/>
      <c r="V19" s="12"/>
      <c r="W19" s="2"/>
    </row>
    <row r="20" hidden="1" spans="1:23">
      <c r="A20" s="1" t="s">
        <v>59</v>
      </c>
      <c r="B20" s="2">
        <v>11</v>
      </c>
      <c r="C20" s="1" t="s">
        <v>52</v>
      </c>
      <c r="D20" s="1" t="s">
        <v>53</v>
      </c>
      <c r="E20" s="1" t="s">
        <v>54</v>
      </c>
      <c r="F20" s="1" t="s">
        <v>55</v>
      </c>
      <c r="G20" s="1" t="s">
        <v>56</v>
      </c>
      <c r="H20" s="1" t="s">
        <v>57</v>
      </c>
      <c r="I20" s="1" t="s">
        <v>60</v>
      </c>
      <c r="K20" s="2"/>
      <c r="O20" s="12"/>
      <c r="Q20" s="1" t="s">
        <v>61</v>
      </c>
      <c r="R20" s="2" t="s">
        <v>62</v>
      </c>
      <c r="S20" s="2" t="s">
        <v>40</v>
      </c>
      <c r="T20" s="2" t="s">
        <v>42</v>
      </c>
      <c r="U20" s="2" t="s">
        <v>63</v>
      </c>
      <c r="V20" s="12"/>
      <c r="W20" s="2"/>
    </row>
    <row r="21" hidden="1" spans="1:23">
      <c r="A21" s="1" t="s">
        <v>59</v>
      </c>
      <c r="B21" s="12">
        <f>B13</f>
        <v>0.5</v>
      </c>
      <c r="C21" s="1">
        <f>(2*C3^2/(1-COS($I$7/180*PI())))^0.5</f>
        <v>3.28535926340916</v>
      </c>
      <c r="D21" s="1">
        <f>COS($I$7/2/180*PI())*C21</f>
        <v>2.60645074568241</v>
      </c>
      <c r="E21" s="1">
        <f>2*D21*I5/C21</f>
        <v>0.793353340291235</v>
      </c>
      <c r="F21" s="13">
        <f>(S2-E21)*TAN(I7/2/180*PI())*(S2-E21)</f>
        <v>3.73633723090285</v>
      </c>
      <c r="G21" s="1">
        <f>C3*D21</f>
        <v>5.21290149136482</v>
      </c>
      <c r="H21" s="1">
        <f>(N2-E21)*TAN(I7/2/180*PI())*(N2-E21)</f>
        <v>29.5593253179915</v>
      </c>
      <c r="I21" s="1">
        <f>_xlfn.IFS((D21+E21)&lt;S$2,0,AND(E21&lt;S$2,(D21+E21)&lt;N$2),H21-F21,AND(E21&lt;S$2,(D21+E21)&gt;=N$2),G21-F21,AND(E21&lt;N$2,(D21+E21)&lt;N$2),G21,AND(E21&lt;N$2,(D21+E21)&gt;=N$2),H21,E21&gt;=7,0)</f>
        <v>25.8229880870886</v>
      </c>
      <c r="K21" s="2"/>
      <c r="O21" s="12"/>
      <c r="R21" s="2">
        <v>1.2</v>
      </c>
      <c r="S21" s="2">
        <f>PI()*R21^2</f>
        <v>4.5238934211693</v>
      </c>
      <c r="T21" s="12">
        <v>0.88</v>
      </c>
      <c r="U21" s="2">
        <f>((R21+0.5)/$R$2)^2*T21</f>
        <v>10.1728</v>
      </c>
      <c r="V21" s="12"/>
      <c r="W21" s="2"/>
    </row>
    <row r="22" hidden="1" spans="2:23">
      <c r="B22" s="2"/>
      <c r="C22" s="1" t="s">
        <v>52</v>
      </c>
      <c r="D22" s="1" t="s">
        <v>53</v>
      </c>
      <c r="E22" s="1" t="s">
        <v>54</v>
      </c>
      <c r="F22" s="1" t="s">
        <v>55</v>
      </c>
      <c r="G22" s="1" t="s">
        <v>56</v>
      </c>
      <c r="H22" s="1" t="s">
        <v>57</v>
      </c>
      <c r="I22" s="1" t="s">
        <v>64</v>
      </c>
      <c r="K22" s="2"/>
      <c r="O22" s="12"/>
      <c r="R22" s="2"/>
      <c r="S22" s="2"/>
      <c r="T22" s="2"/>
      <c r="U22" s="2"/>
      <c r="V22" s="12"/>
      <c r="W22" s="2"/>
    </row>
    <row r="23" hidden="1" spans="2:23">
      <c r="B23" s="2"/>
      <c r="C23" s="1">
        <f>(2*C3^2/(1-COS($I$8/180*PI())))^0.5</f>
        <v>2.82842712474619</v>
      </c>
      <c r="D23" s="1">
        <f>COS($I$8/2/180*PI())*C23</f>
        <v>2</v>
      </c>
      <c r="E23" s="1">
        <f>2*D23*$I$5/C23</f>
        <v>0.707106781186548</v>
      </c>
      <c r="F23" s="13">
        <f>($S$2-E23)*TAN($I$8/2/180*PI())*($S$2-E23)</f>
        <v>5.25735931288071</v>
      </c>
      <c r="G23" s="1">
        <f>C3*D23</f>
        <v>4</v>
      </c>
      <c r="H23" s="1">
        <f>($N$2-E23)*TAN($I$8/2/180*PI())*($N$2-E23)</f>
        <v>39.6005050633883</v>
      </c>
      <c r="I23" s="1">
        <f>_xlfn.IFS((D23+E23)&lt;S$2,0,AND(E23&lt;S$2,(D23+E23)&lt;N$2),H23-F23,AND(E23&lt;S$2,(D23+E23)&gt;=N$2),G23-F23,AND(E23&lt;N$2,(D23+E23)&lt;N$2),G23,AND(E23&lt;N$2,(D23+E23)&gt;=N$2),H23,E23&gt;=7,0)</f>
        <v>0</v>
      </c>
      <c r="K23" s="2"/>
      <c r="O23" s="12"/>
      <c r="Q23" s="1" t="s">
        <v>65</v>
      </c>
      <c r="R23" s="2" t="s">
        <v>66</v>
      </c>
      <c r="S23" s="2" t="s">
        <v>40</v>
      </c>
      <c r="T23" s="2" t="s">
        <v>42</v>
      </c>
      <c r="U23" s="2" t="s">
        <v>63</v>
      </c>
      <c r="V23" s="12"/>
      <c r="W23" s="2"/>
    </row>
    <row r="24" hidden="1" spans="2:23">
      <c r="B24" s="2"/>
      <c r="C24" s="1" t="s">
        <v>67</v>
      </c>
      <c r="D24" s="1" t="s">
        <v>68</v>
      </c>
      <c r="E24" s="1" t="s">
        <v>69</v>
      </c>
      <c r="F24" s="14" t="s">
        <v>70</v>
      </c>
      <c r="G24" s="15" t="s">
        <v>71</v>
      </c>
      <c r="H24" s="2" t="s">
        <v>47</v>
      </c>
      <c r="I24" s="2" t="s">
        <v>72</v>
      </c>
      <c r="K24" s="2"/>
      <c r="O24" s="12"/>
      <c r="R24" s="2" t="s">
        <v>73</v>
      </c>
      <c r="S24" s="2">
        <f>4*2</f>
        <v>8</v>
      </c>
      <c r="T24" s="12">
        <v>0.88</v>
      </c>
      <c r="U24" s="2">
        <f>S24/(PI()*$R$2^2)*T24</f>
        <v>8.96360639493555</v>
      </c>
      <c r="V24" s="27">
        <f>U24/U21</f>
        <v>0.881134633034715</v>
      </c>
      <c r="W24" s="2"/>
    </row>
    <row r="25" hidden="1" spans="2:22">
      <c r="B25" s="2"/>
      <c r="C25" s="1">
        <f>($I$5+C3*2)*($N$2-$S$2)</f>
        <v>18</v>
      </c>
      <c r="D25" s="1">
        <f>PI()*($N$2^2-$S$2^2)</f>
        <v>125.663706143592</v>
      </c>
      <c r="E25" s="11">
        <f>C25/D25</f>
        <v>0.143239448782706</v>
      </c>
      <c r="F25" s="16">
        <f>SUM(I19,I21,I23,C25*3)/D25</f>
        <v>0.872764961787375</v>
      </c>
      <c r="G25" s="16">
        <f>E25*3</f>
        <v>0.429718346348117</v>
      </c>
      <c r="H25" s="2">
        <v>6</v>
      </c>
      <c r="I25" s="1">
        <f>E25*(1+B21)^H25</f>
        <v>1.63158684629051</v>
      </c>
      <c r="R25" s="2"/>
      <c r="S25" s="2"/>
      <c r="T25" s="12"/>
      <c r="U25" s="2"/>
      <c r="V25" s="27"/>
    </row>
    <row r="26" hidden="1" spans="2:22">
      <c r="B26" s="2" t="s">
        <v>43</v>
      </c>
      <c r="C26" s="1" t="s">
        <v>44</v>
      </c>
      <c r="D26" s="1" t="s">
        <v>45</v>
      </c>
      <c r="E26" s="1" t="s">
        <v>46</v>
      </c>
      <c r="F26" s="2" t="s">
        <v>47</v>
      </c>
      <c r="K26" s="2"/>
      <c r="Q26" s="1" t="s">
        <v>74</v>
      </c>
      <c r="R26" s="2" t="s">
        <v>66</v>
      </c>
      <c r="S26" s="2" t="s">
        <v>40</v>
      </c>
      <c r="T26" s="2" t="s">
        <v>42</v>
      </c>
      <c r="U26" s="2" t="s">
        <v>63</v>
      </c>
      <c r="V26" s="2"/>
    </row>
    <row r="27" hidden="1" spans="1:22">
      <c r="A27" s="1" t="s">
        <v>75</v>
      </c>
      <c r="B27" s="2">
        <v>0.5</v>
      </c>
      <c r="C27" s="1">
        <f>PI()*(B27+I2)^2</f>
        <v>9.0792027688745</v>
      </c>
      <c r="D27" s="1">
        <f>PI()*(N4^2-S2^2)</f>
        <v>172.787595947439</v>
      </c>
      <c r="E27" s="11">
        <f t="shared" ref="E25:E28" si="3">C27/D27</f>
        <v>0.0525454545454544</v>
      </c>
      <c r="F27" s="2">
        <v>4</v>
      </c>
      <c r="K27" s="2"/>
      <c r="P27" s="12"/>
      <c r="Q27" s="2"/>
      <c r="R27" s="2" t="s">
        <v>76</v>
      </c>
      <c r="S27" s="2">
        <f>6.5*1.5</f>
        <v>9.75</v>
      </c>
      <c r="T27" s="12">
        <v>0.85</v>
      </c>
      <c r="U27" s="2">
        <f>S27/(PI()*$R$2^2)*T27</f>
        <v>10.5519727269927</v>
      </c>
      <c r="V27" s="2">
        <f>U27/U21</f>
        <v>1.0372731919425</v>
      </c>
    </row>
    <row r="28" hidden="1" spans="1:19">
      <c r="A28" s="1" t="s">
        <v>75</v>
      </c>
      <c r="B28" s="2">
        <v>0.9</v>
      </c>
      <c r="C28" s="1">
        <f>PI()*(B28+I2)^2</f>
        <v>13.854423602331</v>
      </c>
      <c r="D28" s="1">
        <f>PI()*(N4^2-S2^2)</f>
        <v>172.787595947439</v>
      </c>
      <c r="E28" s="11">
        <f t="shared" si="3"/>
        <v>0.080181818181818</v>
      </c>
      <c r="K28" s="2"/>
      <c r="P28" s="12"/>
      <c r="Q28" s="2"/>
      <c r="R28" s="2"/>
      <c r="S28" s="2"/>
    </row>
    <row r="29" hidden="1" spans="1:19">
      <c r="A29" s="1" t="s">
        <v>75</v>
      </c>
      <c r="B29" s="12">
        <f>B13</f>
        <v>0.5</v>
      </c>
      <c r="E29" s="13">
        <f>(1-(1-E28)^((1+B29)*0.5))*3</f>
        <v>0.18228056726074</v>
      </c>
      <c r="K29" s="2"/>
      <c r="P29" s="12"/>
      <c r="Q29" s="2"/>
      <c r="R29" s="2"/>
      <c r="S29" s="2"/>
    </row>
    <row r="30" hidden="1" spans="2:17">
      <c r="B30" s="2" t="s">
        <v>49</v>
      </c>
      <c r="C30" s="1" t="s">
        <v>44</v>
      </c>
      <c r="D30" s="1" t="s">
        <v>45</v>
      </c>
      <c r="E30" s="1" t="s">
        <v>46</v>
      </c>
      <c r="F30" s="2" t="s">
        <v>47</v>
      </c>
      <c r="K30" s="2"/>
      <c r="P30" s="12"/>
      <c r="Q30" s="2"/>
    </row>
    <row r="31" hidden="1" spans="1:17">
      <c r="A31" s="1" t="s">
        <v>77</v>
      </c>
      <c r="B31" s="2">
        <f>B27</f>
        <v>0.5</v>
      </c>
      <c r="C31" s="1">
        <f>PI()*((B31+I4/2)^2+(I3/2)^2)</f>
        <v>31.8086256175967</v>
      </c>
      <c r="D31" s="1">
        <f>PI()*((N3*2)^2-S2^2)</f>
        <v>285.884931476671</v>
      </c>
      <c r="E31" s="11">
        <f>C31/D31</f>
        <v>0.111263736263736</v>
      </c>
      <c r="F31" s="2">
        <v>3</v>
      </c>
      <c r="K31" s="2"/>
      <c r="P31" s="12"/>
      <c r="Q31" s="2"/>
    </row>
    <row r="32" hidden="1" spans="1:17">
      <c r="A32" s="1" t="s">
        <v>77</v>
      </c>
      <c r="B32" s="2">
        <f t="shared" ref="B31:B37" si="4">B28</f>
        <v>0.9</v>
      </c>
      <c r="C32" s="1">
        <f>PI()*((B32+I4/2)^2+(I3/2)^2)</f>
        <v>37.9661472186326</v>
      </c>
      <c r="D32" s="1">
        <f>PI()*((N3*2)^2-S2^2)</f>
        <v>285.884931476671</v>
      </c>
      <c r="E32" s="11">
        <f>C32/D32</f>
        <v>0.132802197802198</v>
      </c>
      <c r="K32" s="2"/>
      <c r="P32" s="12"/>
      <c r="Q32" s="2"/>
    </row>
    <row r="33" hidden="1" spans="1:17">
      <c r="A33" s="1" t="s">
        <v>77</v>
      </c>
      <c r="B33" s="12">
        <f t="shared" si="4"/>
        <v>0.5</v>
      </c>
      <c r="E33" s="13">
        <f>(1-(1-E32)^((1+B33)*0.5))*3</f>
        <v>0.304062118848676</v>
      </c>
      <c r="K33" s="2"/>
      <c r="P33" s="12"/>
      <c r="Q33" s="2"/>
    </row>
    <row r="34" hidden="1" spans="2:17">
      <c r="B34" s="2" t="s">
        <v>78</v>
      </c>
      <c r="C34" s="1" t="s">
        <v>52</v>
      </c>
      <c r="D34" s="1" t="s">
        <v>53</v>
      </c>
      <c r="E34" s="1" t="s">
        <v>54</v>
      </c>
      <c r="F34" s="1" t="s">
        <v>55</v>
      </c>
      <c r="G34" s="1" t="s">
        <v>56</v>
      </c>
      <c r="H34" s="1" t="s">
        <v>57</v>
      </c>
      <c r="I34" s="1" t="s">
        <v>58</v>
      </c>
      <c r="K34" s="2"/>
      <c r="P34" s="12"/>
      <c r="Q34" s="2"/>
    </row>
    <row r="35" hidden="1" spans="1:17">
      <c r="A35" s="1" t="s">
        <v>79</v>
      </c>
      <c r="B35" s="2">
        <f t="shared" si="4"/>
        <v>0.5</v>
      </c>
      <c r="C35" s="1">
        <f>(2*B35^2/(1-COS($I$6/180*PI())))^0.5</f>
        <v>3.8306487877702</v>
      </c>
      <c r="D35" s="1">
        <f>COS($I$6/2/180*PI())*C35</f>
        <v>3.79787705636258</v>
      </c>
      <c r="E35" s="1">
        <f t="shared" ref="E35:E39" si="5">2*D35*$I$5/C35</f>
        <v>0.99144486137381</v>
      </c>
      <c r="F35" s="13">
        <f>($S$2-E35)*TAN($I$6/2/180*PI())*($S$2-E35)</f>
        <v>0.531124847517513</v>
      </c>
      <c r="G35" s="1">
        <f>B35*D35</f>
        <v>1.89893852818129</v>
      </c>
      <c r="H35" s="1">
        <f>($N$2-E35)*TAN($I$6/2/180*PI())*($N$2-E35)</f>
        <v>4.75301521325293</v>
      </c>
      <c r="I35" s="1">
        <f>_xlfn.IFS((D35+E35)&lt;S$2,0,AND(E35&lt;S$2,(D35+E35)&lt;N$2),H35-F35,AND(E35&lt;S$2,(D35+E35)&gt;=N$2),G35-F35,AND(E35&lt;N$2,(D35+E35)&lt;N$2),G35,AND(E35&lt;N$2,(D35+E35)&gt;=N$2),H35,E35&gt;=7,0)</f>
        <v>4.22189036573542</v>
      </c>
      <c r="K35" s="2"/>
      <c r="P35" s="12"/>
      <c r="Q35" s="2"/>
    </row>
    <row r="36" hidden="1" spans="1:17">
      <c r="A36" s="1" t="s">
        <v>79</v>
      </c>
      <c r="B36" s="2">
        <f t="shared" si="4"/>
        <v>0.9</v>
      </c>
      <c r="C36" s="1" t="s">
        <v>52</v>
      </c>
      <c r="D36" s="1" t="s">
        <v>53</v>
      </c>
      <c r="E36" s="1" t="s">
        <v>54</v>
      </c>
      <c r="F36" s="1" t="s">
        <v>55</v>
      </c>
      <c r="G36" s="1" t="s">
        <v>56</v>
      </c>
      <c r="H36" s="1" t="s">
        <v>57</v>
      </c>
      <c r="I36" s="1" t="s">
        <v>60</v>
      </c>
      <c r="K36" s="2"/>
      <c r="P36" s="12"/>
      <c r="Q36" s="2"/>
    </row>
    <row r="37" hidden="1" spans="1:17">
      <c r="A37" s="1" t="s">
        <v>79</v>
      </c>
      <c r="B37" s="12">
        <f t="shared" si="4"/>
        <v>0.5</v>
      </c>
      <c r="C37" s="1">
        <f>(2*B35^2/(1-COS($I$7/180*PI())))^0.5</f>
        <v>0.821339815852291</v>
      </c>
      <c r="D37" s="1">
        <f>COS($I$7/2/180*PI())*C37</f>
        <v>0.651612686420603</v>
      </c>
      <c r="E37" s="1">
        <f t="shared" si="5"/>
        <v>0.793353340291235</v>
      </c>
      <c r="F37" s="13">
        <f>($S$2-E37)*TAN($I$6/2/180*PI())*($S$2-E37)</f>
        <v>0.641054121623861</v>
      </c>
      <c r="G37" s="1">
        <f>B35*D37</f>
        <v>0.325806343210301</v>
      </c>
      <c r="H37" s="1">
        <f>($N$2-E37)*TAN($I$6/2/180*PI())*($N$2-E37)</f>
        <v>5.07157843537054</v>
      </c>
      <c r="I37" s="1">
        <f>_xlfn.IFS((D37+E37)&lt;S$2,0,AND(E37&lt;S$2,(D37+E37)&lt;N$2),H37-F37,AND(E37&lt;S$2,(D37+E37)&gt;=N$2),G37-F37,AND(E37&lt;N$2,(D37+E37)&lt;N$2),G37,AND(E37&lt;N$2,(D37+E37)&gt;=N$2),H37,E37&gt;=7,0)</f>
        <v>0</v>
      </c>
      <c r="K37" s="2"/>
      <c r="P37" s="12"/>
      <c r="Q37" s="2"/>
    </row>
    <row r="38" hidden="1" spans="2:17">
      <c r="B38" s="2"/>
      <c r="C38" s="1" t="s">
        <v>52</v>
      </c>
      <c r="D38" s="1" t="s">
        <v>53</v>
      </c>
      <c r="E38" s="1" t="s">
        <v>54</v>
      </c>
      <c r="F38" s="1" t="s">
        <v>55</v>
      </c>
      <c r="G38" s="1" t="s">
        <v>56</v>
      </c>
      <c r="H38" s="1" t="s">
        <v>57</v>
      </c>
      <c r="I38" s="1" t="s">
        <v>64</v>
      </c>
      <c r="K38" s="2"/>
      <c r="P38" s="12"/>
      <c r="Q38" s="2"/>
    </row>
    <row r="39" hidden="1" spans="2:17">
      <c r="B39" s="2"/>
      <c r="C39" s="1">
        <f>(2*B35^2/(1-COS($I$8/180*PI())))^0.5</f>
        <v>0.707106781186548</v>
      </c>
      <c r="D39" s="1">
        <f>COS($I$8/2/180*PI())*C39</f>
        <v>0.5</v>
      </c>
      <c r="E39" s="1">
        <f>2*D39*$I$5/C39</f>
        <v>0.707106781186548</v>
      </c>
      <c r="F39" s="13">
        <f>($S$2-E39)*TAN($I$8/2/180*PI())*($S$2-E39)</f>
        <v>5.25735931288071</v>
      </c>
      <c r="G39" s="1">
        <f>B35*D39</f>
        <v>0.25</v>
      </c>
      <c r="H39" s="1">
        <f>($N$2-E39)*TAN($I$8/2/180*PI())*($N$2-E39)</f>
        <v>39.6005050633883</v>
      </c>
      <c r="I39" s="1">
        <f>_xlfn.IFS((D39+E39)&lt;S$2,0,AND(E39&lt;S$2,(D39+E39)&lt;N$2),H39-F39,AND(E39&lt;S$2,(D39+E39)&gt;=N$2),G39-F39,AND(E39&lt;N$2,(D39+E39)&lt;N$2),G39,AND(E39&lt;N$2,(D39+E39)&gt;=N$2),H39,E39&gt;=7,0)</f>
        <v>0</v>
      </c>
      <c r="K39" s="2"/>
      <c r="P39" s="12"/>
      <c r="Q39" s="2"/>
    </row>
    <row r="40" hidden="1" spans="2:17">
      <c r="B40" s="2"/>
      <c r="C40" s="1" t="s">
        <v>67</v>
      </c>
      <c r="D40" s="1" t="s">
        <v>68</v>
      </c>
      <c r="E40" s="1" t="s">
        <v>69</v>
      </c>
      <c r="F40" s="17" t="s">
        <v>80</v>
      </c>
      <c r="G40" s="5" t="s">
        <v>81</v>
      </c>
      <c r="K40" s="2"/>
      <c r="P40" s="12"/>
      <c r="Q40" s="2"/>
    </row>
    <row r="41" hidden="1" spans="3:17">
      <c r="C41" s="1">
        <f>($I$5+B35*2)*($N$2-$S$2)</f>
        <v>6</v>
      </c>
      <c r="D41" s="1">
        <f>PI()*($N$5^2-$S$2^2)</f>
        <v>172.787595947439</v>
      </c>
      <c r="E41" s="11">
        <f>C41/D41</f>
        <v>0.0347247148564135</v>
      </c>
      <c r="F41" s="18">
        <f>SUM(I35,I37,I39,C41*6)/D41</f>
        <v>0.232782278989348</v>
      </c>
      <c r="G41" s="17">
        <f>9*F41</f>
        <v>2.09504051090413</v>
      </c>
      <c r="K41" s="2"/>
      <c r="P41" s="12"/>
      <c r="Q41" s="2"/>
    </row>
    <row r="42" hidden="1" spans="3:18">
      <c r="C42" s="1" t="s">
        <v>52</v>
      </c>
      <c r="D42" s="1" t="s">
        <v>53</v>
      </c>
      <c r="E42" s="1" t="s">
        <v>54</v>
      </c>
      <c r="F42" s="1" t="s">
        <v>55</v>
      </c>
      <c r="G42" s="1" t="s">
        <v>56</v>
      </c>
      <c r="H42" s="1" t="s">
        <v>57</v>
      </c>
      <c r="I42" s="1" t="s">
        <v>58</v>
      </c>
      <c r="M42" s="1"/>
      <c r="Q42" s="2"/>
      <c r="R42" s="2"/>
    </row>
    <row r="43" hidden="1" spans="3:17">
      <c r="C43" s="1">
        <f>(2*B36^2/(1-COS($I$6/180*PI())))^0.5</f>
        <v>6.89516781798635</v>
      </c>
      <c r="D43" s="1">
        <f>COS($I$6/2/180*PI())*C43</f>
        <v>6.83617870145264</v>
      </c>
      <c r="E43" s="1">
        <f t="shared" ref="E43:E47" si="6">2*D43*$I$5/C43</f>
        <v>0.99144486137381</v>
      </c>
      <c r="F43" s="13">
        <f>($S$2-E43)*TAN($I$6/2/180*PI())*($S$2-E43)</f>
        <v>0.531124847517513</v>
      </c>
      <c r="G43" s="1">
        <f>B36*D43</f>
        <v>6.15256083130737</v>
      </c>
      <c r="H43" s="1">
        <f>($N$2-E43)*TAN($I$6/2/180*PI())*($N$2-E43)</f>
        <v>4.75301521325293</v>
      </c>
      <c r="I43" s="1">
        <f>_xlfn.IFS((D43+E43)&lt;S$2,0,AND(E43&lt;S$2,(D43+E43)&lt;N$2),H43-F43,AND(E43&lt;S$2,(D43+E43)&gt;=N$2),G43-F43,AND(E43&lt;N$2,(D43+E43)&lt;N$2),G43,AND(E43&lt;N$2,(D43+E43)&gt;=N$2),H43,E43&gt;=7,0)</f>
        <v>5.62143598378986</v>
      </c>
      <c r="M43" s="1"/>
      <c r="N43" s="1"/>
      <c r="O43" s="1"/>
      <c r="Q43" s="2"/>
    </row>
    <row r="44" hidden="1" spans="3:17">
      <c r="C44" s="1" t="s">
        <v>52</v>
      </c>
      <c r="D44" s="1" t="s">
        <v>53</v>
      </c>
      <c r="E44" s="1" t="s">
        <v>54</v>
      </c>
      <c r="F44" s="1" t="s">
        <v>55</v>
      </c>
      <c r="G44" s="1" t="s">
        <v>56</v>
      </c>
      <c r="H44" s="1" t="s">
        <v>57</v>
      </c>
      <c r="I44" s="1" t="s">
        <v>60</v>
      </c>
      <c r="M44" s="1"/>
      <c r="N44" s="1"/>
      <c r="O44" s="1"/>
      <c r="Q44" s="2"/>
    </row>
    <row r="45" hidden="1" spans="3:17">
      <c r="C45" s="1">
        <f>(2*B36^2/(1-COS($I$7/180*PI())))^0.5</f>
        <v>1.47841166853412</v>
      </c>
      <c r="D45" s="1">
        <f>COS($I$7/2/180*PI())*C45</f>
        <v>1.17290283555709</v>
      </c>
      <c r="E45" s="1">
        <f t="shared" si="6"/>
        <v>0.793353340291235</v>
      </c>
      <c r="F45" s="13">
        <f>($S$2-E45)*TAN($I$6/2/180*PI())*($S$2-E45)</f>
        <v>0.641054121623861</v>
      </c>
      <c r="G45" s="1">
        <f>B36*D45</f>
        <v>1.05561255200138</v>
      </c>
      <c r="H45" s="1">
        <f>($N$2-E45)*TAN($I$6/2/180*PI())*($N$2-E45)</f>
        <v>5.07157843537054</v>
      </c>
      <c r="I45" s="1">
        <f>_xlfn.IFS((D45+E45)&lt;S$2,0,AND(E45&lt;S$2,(D45+E45)&lt;N$2),H45-F45,AND(E45&lt;S$2,(D45+E45)&gt;=N$2),G45-F45,AND(E45&lt;N$2,(D45+E45)&lt;N$2),G45,AND(E45&lt;N$2,(D45+E45)&gt;=N$2),H45,E45&gt;=7,0)</f>
        <v>0</v>
      </c>
      <c r="M45" s="1"/>
      <c r="N45" s="1"/>
      <c r="O45" s="1"/>
      <c r="Q45" s="2"/>
    </row>
    <row r="46" hidden="1" spans="3:17">
      <c r="C46" s="1" t="s">
        <v>52</v>
      </c>
      <c r="D46" s="1" t="s">
        <v>53</v>
      </c>
      <c r="E46" s="1" t="s">
        <v>54</v>
      </c>
      <c r="F46" s="1" t="s">
        <v>55</v>
      </c>
      <c r="G46" s="1" t="s">
        <v>56</v>
      </c>
      <c r="H46" s="1" t="s">
        <v>57</v>
      </c>
      <c r="I46" s="1" t="s">
        <v>64</v>
      </c>
      <c r="M46" s="1"/>
      <c r="N46" s="1"/>
      <c r="O46" s="1"/>
      <c r="Q46" s="2"/>
    </row>
    <row r="47" hidden="1" spans="3:17">
      <c r="C47" s="1">
        <f>(2*B36^2/(1-COS($I$8/180*PI())))^0.5</f>
        <v>1.27279220613579</v>
      </c>
      <c r="D47" s="1">
        <f>COS($I$8/2/180*PI())*C47</f>
        <v>0.9</v>
      </c>
      <c r="E47" s="1">
        <f>2*D47*$I$5/C47</f>
        <v>0.707106781186548</v>
      </c>
      <c r="F47" s="13">
        <f>($S$2-E47)*TAN($I$8/2/180*PI())*($S$2-E47)</f>
        <v>5.25735931288071</v>
      </c>
      <c r="G47" s="1">
        <f>B36*D47</f>
        <v>0.81</v>
      </c>
      <c r="H47" s="1">
        <f>($N$2-E47)*TAN($I$8/2/180*PI())*($N$2-E47)</f>
        <v>39.6005050633883</v>
      </c>
      <c r="I47" s="1">
        <f>_xlfn.IFS((D47+E47)&lt;S$2,0,AND(E47&lt;S$2,(D47+E47)&lt;N$2),H47-F47,AND(E47&lt;S$2,(D47+E47)&gt;=N$2),G47-F47,AND(E47&lt;N$2,(D47+E47)&lt;N$2),G47,AND(E47&lt;N$2,(D47+E47)&gt;=N$2),H47,E47&gt;=7,0)</f>
        <v>0</v>
      </c>
      <c r="M47" s="1"/>
      <c r="N47" s="1"/>
      <c r="O47" s="1"/>
      <c r="Q47" s="2"/>
    </row>
    <row r="48" hidden="1" spans="3:16">
      <c r="C48" s="1" t="s">
        <v>67</v>
      </c>
      <c r="D48" s="1" t="s">
        <v>68</v>
      </c>
      <c r="E48" s="1" t="s">
        <v>69</v>
      </c>
      <c r="F48" s="14" t="s">
        <v>80</v>
      </c>
      <c r="G48" s="15" t="s">
        <v>82</v>
      </c>
      <c r="H48" s="2" t="s">
        <v>47</v>
      </c>
      <c r="I48" s="2" t="s">
        <v>72</v>
      </c>
      <c r="M48" s="1"/>
      <c r="N48" s="1"/>
      <c r="O48" s="1"/>
      <c r="P48" s="1"/>
    </row>
    <row r="49" hidden="1" spans="3:18">
      <c r="C49" s="1">
        <f>($I$5+B36*2)*($N$2-$S$2)</f>
        <v>9.2</v>
      </c>
      <c r="D49" s="1">
        <f>PI()*($N$5^2-$S$2^2)</f>
        <v>172.787595947439</v>
      </c>
      <c r="E49" s="11">
        <f>C49/D49</f>
        <v>0.053244562779834</v>
      </c>
      <c r="F49" s="16">
        <f>SUM(I43,I45,I47,C49*6)/D49</f>
        <v>0.352001170282451</v>
      </c>
      <c r="G49" s="16">
        <f>E49*3</f>
        <v>0.159733688339502</v>
      </c>
      <c r="H49" s="2">
        <v>6</v>
      </c>
      <c r="I49" s="13">
        <f>(1-(1-E49)^((1+B37)*0.5))*3</f>
        <v>0.120615843356463</v>
      </c>
      <c r="M49" s="1"/>
      <c r="N49" s="26"/>
      <c r="O49" s="26"/>
      <c r="P49" s="26"/>
      <c r="Q49" s="26"/>
      <c r="R49" s="26"/>
    </row>
    <row r="50" spans="11:18">
      <c r="K50" s="1">
        <f>K56/K65</f>
        <v>0.613333333333333</v>
      </c>
      <c r="L50" s="2">
        <f>L56/L65</f>
        <v>0.87115907470068</v>
      </c>
      <c r="M50" s="1"/>
      <c r="Q50" s="2"/>
      <c r="R50" s="2"/>
    </row>
    <row r="51" spans="1:18">
      <c r="A51" s="1" t="s">
        <v>83</v>
      </c>
      <c r="B51" s="1" t="s">
        <v>84</v>
      </c>
      <c r="C51" s="1" t="s">
        <v>85</v>
      </c>
      <c r="D51" s="1" t="s">
        <v>86</v>
      </c>
      <c r="E51" s="1" t="s">
        <v>87</v>
      </c>
      <c r="F51" s="2" t="s">
        <v>88</v>
      </c>
      <c r="G51" s="2" t="s">
        <v>89</v>
      </c>
      <c r="H51" s="1" t="s">
        <v>90</v>
      </c>
      <c r="I51" s="1" t="s">
        <v>91</v>
      </c>
      <c r="J51" s="1" t="s">
        <v>92</v>
      </c>
      <c r="K51" s="1" t="s">
        <v>93</v>
      </c>
      <c r="L51" s="1" t="s">
        <v>94</v>
      </c>
      <c r="M51" s="1"/>
      <c r="Q51" s="2"/>
      <c r="R51" s="2"/>
    </row>
    <row r="52" spans="1:17">
      <c r="A52" s="1" t="s">
        <v>95</v>
      </c>
      <c r="B52" s="28">
        <v>3</v>
      </c>
      <c r="C52" s="28">
        <v>8</v>
      </c>
      <c r="D52" s="1">
        <f>B52*F52/$M$4*(ROUNDDOWN($Q$4/$M$4,0)/(ROUNDDOWN($Q$4/$M$4,0)+1))</f>
        <v>0</v>
      </c>
      <c r="E52" s="1">
        <f>C52*G52/$M$4*(1/(ROUNDDOWN($Q$4/$M$4,0)+1))</f>
        <v>0</v>
      </c>
      <c r="F52" s="29">
        <v>0</v>
      </c>
      <c r="G52" s="29">
        <v>0</v>
      </c>
      <c r="H52" s="31">
        <f>E52+D52</f>
        <v>0</v>
      </c>
      <c r="I52" s="1">
        <v>1</v>
      </c>
      <c r="J52" s="1">
        <f>H52*$U$21*I52</f>
        <v>0</v>
      </c>
      <c r="K52" s="1">
        <f>H52*$E$13*$B$12/20</f>
        <v>0</v>
      </c>
      <c r="L52" s="1">
        <f>MIN(H52*$E$29*12/20*(1+$B$29)^$F$27,6*(1+$B$29)^4/20/4)</f>
        <v>0</v>
      </c>
      <c r="M52" s="1"/>
      <c r="N52" s="1"/>
      <c r="O52" s="1"/>
      <c r="Q52" s="2"/>
    </row>
    <row r="53" spans="1:17">
      <c r="A53" s="1" t="s">
        <v>96</v>
      </c>
      <c r="B53" s="28">
        <v>3</v>
      </c>
      <c r="C53" s="28">
        <v>8</v>
      </c>
      <c r="D53" s="1">
        <f t="shared" ref="D53:D66" si="7">B53*F53/$M$4*(ROUNDDOWN($Q$4/$M$4,0)/(ROUNDDOWN($Q$4/$M$4,0)+1))</f>
        <v>0.38961038961039</v>
      </c>
      <c r="E53" s="1">
        <f t="shared" ref="E53:E66" si="8">C53*G53/$M$4*(1/(ROUNDDOWN($Q$4/$M$4,0)+1))</f>
        <v>0</v>
      </c>
      <c r="F53" s="29">
        <v>0.2</v>
      </c>
      <c r="G53" s="29">
        <v>0</v>
      </c>
      <c r="H53" s="31">
        <f t="shared" ref="H53:H66" si="9">E53+D53</f>
        <v>0.38961038961039</v>
      </c>
      <c r="I53" s="1">
        <f>$I$52</f>
        <v>1</v>
      </c>
      <c r="J53" s="1">
        <f t="shared" ref="J53:J66" si="10">H53*$U$21*I53</f>
        <v>3.96342857142857</v>
      </c>
      <c r="K53" s="1">
        <f>H53*$E$13*$B$12/20</f>
        <v>0.454441558441558</v>
      </c>
      <c r="L53" s="1">
        <f t="shared" ref="L53:L66" si="11">MIN(H53*$E$29*12/20*(1+$B$29)^$F$27,6*(1+$B$29)^4/20/4)</f>
        <v>0.215718398592662</v>
      </c>
      <c r="M53" s="1"/>
      <c r="N53" s="1"/>
      <c r="O53" s="1"/>
      <c r="Q53" s="2"/>
    </row>
    <row r="54" spans="1:17">
      <c r="A54" s="1" t="s">
        <v>97</v>
      </c>
      <c r="B54" s="28">
        <v>3</v>
      </c>
      <c r="C54" s="28">
        <v>8</v>
      </c>
      <c r="D54" s="1">
        <f t="shared" si="7"/>
        <v>0.38961038961039</v>
      </c>
      <c r="E54" s="1">
        <f t="shared" si="8"/>
        <v>0</v>
      </c>
      <c r="F54" s="29">
        <v>0.2</v>
      </c>
      <c r="G54" s="29">
        <v>0</v>
      </c>
      <c r="H54" s="31">
        <f t="shared" si="9"/>
        <v>0.38961038961039</v>
      </c>
      <c r="I54" s="1">
        <f t="shared" ref="I54:I66" si="12">$I$52</f>
        <v>1</v>
      </c>
      <c r="J54" s="1">
        <f t="shared" si="10"/>
        <v>3.96342857142857</v>
      </c>
      <c r="K54" s="1">
        <f t="shared" ref="K53:K66" si="13">H54*$E$13*$B$12/20</f>
        <v>0.454441558441558</v>
      </c>
      <c r="L54" s="1">
        <f t="shared" si="11"/>
        <v>0.215718398592662</v>
      </c>
      <c r="M54" s="1"/>
      <c r="N54" s="1"/>
      <c r="O54" s="1"/>
      <c r="Q54" s="2"/>
    </row>
    <row r="55" spans="1:18">
      <c r="A55" s="1" t="s">
        <v>98</v>
      </c>
      <c r="B55" s="28">
        <v>3</v>
      </c>
      <c r="C55" s="28">
        <v>8</v>
      </c>
      <c r="D55" s="1">
        <f t="shared" si="7"/>
        <v>0.38961038961039</v>
      </c>
      <c r="E55" s="1">
        <f t="shared" si="8"/>
        <v>0.207792207792208</v>
      </c>
      <c r="F55" s="29">
        <v>0.2</v>
      </c>
      <c r="G55" s="29">
        <v>0.4</v>
      </c>
      <c r="H55" s="31">
        <f t="shared" si="9"/>
        <v>0.597402597402597</v>
      </c>
      <c r="I55" s="1">
        <f t="shared" si="12"/>
        <v>1</v>
      </c>
      <c r="J55" s="1">
        <f t="shared" si="10"/>
        <v>6.07725714285714</v>
      </c>
      <c r="K55" s="1">
        <f t="shared" si="13"/>
        <v>0.696810389610389</v>
      </c>
      <c r="L55" s="1">
        <f t="shared" si="11"/>
        <v>0.330768211175414</v>
      </c>
      <c r="M55" s="1"/>
      <c r="Q55" s="2"/>
      <c r="R55" s="2"/>
    </row>
    <row r="56" spans="1:22">
      <c r="A56" s="1" t="s">
        <v>99</v>
      </c>
      <c r="B56" s="28">
        <v>3</v>
      </c>
      <c r="C56" s="28">
        <v>8</v>
      </c>
      <c r="D56" s="1">
        <f t="shared" si="7"/>
        <v>0.38961038961039</v>
      </c>
      <c r="E56" s="1">
        <f t="shared" si="8"/>
        <v>0.207792207792208</v>
      </c>
      <c r="F56" s="29">
        <v>0.2</v>
      </c>
      <c r="G56" s="29">
        <v>0.4</v>
      </c>
      <c r="H56" s="31">
        <f t="shared" si="9"/>
        <v>0.597402597402597</v>
      </c>
      <c r="I56" s="1">
        <f t="shared" si="12"/>
        <v>1</v>
      </c>
      <c r="J56" s="1">
        <f t="shared" si="10"/>
        <v>6.07725714285714</v>
      </c>
      <c r="K56" s="1">
        <f t="shared" si="13"/>
        <v>0.696810389610389</v>
      </c>
      <c r="L56" s="1">
        <f t="shared" si="11"/>
        <v>0.330768211175414</v>
      </c>
      <c r="O56" s="1"/>
      <c r="Q56" s="2"/>
      <c r="R56" s="2"/>
      <c r="S56" s="2"/>
      <c r="T56" s="2"/>
      <c r="U56" s="2"/>
      <c r="V56" s="2"/>
    </row>
    <row r="57" spans="1:20">
      <c r="A57" s="1" t="s">
        <v>100</v>
      </c>
      <c r="B57" s="28">
        <v>3</v>
      </c>
      <c r="C57" s="28">
        <v>8</v>
      </c>
      <c r="D57" s="1">
        <f t="shared" si="7"/>
        <v>0.38961038961039</v>
      </c>
      <c r="E57" s="1">
        <f t="shared" si="8"/>
        <v>0.207792207792208</v>
      </c>
      <c r="F57" s="29">
        <v>0.2</v>
      </c>
      <c r="G57" s="29">
        <v>0.4</v>
      </c>
      <c r="H57" s="31">
        <f t="shared" si="9"/>
        <v>0.597402597402597</v>
      </c>
      <c r="I57" s="1">
        <f t="shared" si="12"/>
        <v>1</v>
      </c>
      <c r="J57" s="1">
        <f t="shared" si="10"/>
        <v>6.07725714285714</v>
      </c>
      <c r="K57" s="1">
        <f t="shared" si="13"/>
        <v>0.696810389610389</v>
      </c>
      <c r="L57" s="1">
        <f t="shared" si="11"/>
        <v>0.330768211175414</v>
      </c>
      <c r="O57" s="1"/>
      <c r="Q57" s="2"/>
      <c r="R57" s="2"/>
      <c r="S57" s="2"/>
      <c r="T57" s="2"/>
    </row>
    <row r="58" spans="1:20">
      <c r="A58" s="1" t="s">
        <v>101</v>
      </c>
      <c r="B58" s="28">
        <v>3</v>
      </c>
      <c r="C58" s="28">
        <v>10</v>
      </c>
      <c r="D58" s="1">
        <f t="shared" si="7"/>
        <v>0.38961038961039</v>
      </c>
      <c r="E58" s="1">
        <f t="shared" si="8"/>
        <v>0.25974025974026</v>
      </c>
      <c r="F58" s="29">
        <v>0.2</v>
      </c>
      <c r="G58" s="29">
        <v>0.4</v>
      </c>
      <c r="H58" s="31">
        <f t="shared" si="9"/>
        <v>0.649350649350649</v>
      </c>
      <c r="I58" s="1">
        <f t="shared" si="12"/>
        <v>1</v>
      </c>
      <c r="J58" s="1">
        <f t="shared" si="10"/>
        <v>6.60571428571429</v>
      </c>
      <c r="K58" s="1">
        <f t="shared" si="13"/>
        <v>0.757402597402597</v>
      </c>
      <c r="L58" s="1">
        <f t="shared" si="11"/>
        <v>0.359530664321102</v>
      </c>
      <c r="O58" s="1"/>
      <c r="Q58" s="2"/>
      <c r="R58" s="2"/>
      <c r="S58" s="2"/>
      <c r="T58" s="2"/>
    </row>
    <row r="59" spans="1:20">
      <c r="A59" s="1" t="s">
        <v>102</v>
      </c>
      <c r="B59" s="28">
        <v>3</v>
      </c>
      <c r="C59" s="28">
        <v>10</v>
      </c>
      <c r="D59" s="1">
        <f t="shared" si="7"/>
        <v>0.487012987012987</v>
      </c>
      <c r="E59" s="1">
        <f t="shared" si="8"/>
        <v>0.324675324675325</v>
      </c>
      <c r="F59" s="29">
        <v>0.25</v>
      </c>
      <c r="G59" s="29">
        <v>0.5</v>
      </c>
      <c r="H59" s="31">
        <f t="shared" si="9"/>
        <v>0.811688311688312</v>
      </c>
      <c r="I59" s="1">
        <f t="shared" si="12"/>
        <v>1</v>
      </c>
      <c r="J59" s="1">
        <f t="shared" si="10"/>
        <v>8.25714285714286</v>
      </c>
      <c r="K59" s="1">
        <f t="shared" si="13"/>
        <v>0.946753246753246</v>
      </c>
      <c r="L59" s="1">
        <f t="shared" si="11"/>
        <v>0.3796875</v>
      </c>
      <c r="O59" s="1"/>
      <c r="Q59" s="2"/>
      <c r="R59" s="2"/>
      <c r="S59" s="2"/>
      <c r="T59" s="2"/>
    </row>
    <row r="60" spans="1:20">
      <c r="A60" s="1" t="s">
        <v>103</v>
      </c>
      <c r="B60" s="28">
        <v>3</v>
      </c>
      <c r="C60" s="28">
        <v>10</v>
      </c>
      <c r="D60" s="1">
        <f t="shared" si="7"/>
        <v>0.487012987012987</v>
      </c>
      <c r="E60" s="1">
        <f t="shared" si="8"/>
        <v>0.324675324675325</v>
      </c>
      <c r="F60" s="29">
        <v>0.25</v>
      </c>
      <c r="G60" s="29">
        <v>0.5</v>
      </c>
      <c r="H60" s="31">
        <f t="shared" si="9"/>
        <v>0.811688311688312</v>
      </c>
      <c r="I60" s="1">
        <f t="shared" si="12"/>
        <v>1</v>
      </c>
      <c r="J60" s="1">
        <f t="shared" si="10"/>
        <v>8.25714285714286</v>
      </c>
      <c r="K60" s="1">
        <f t="shared" si="13"/>
        <v>0.946753246753246</v>
      </c>
      <c r="L60" s="1">
        <f t="shared" si="11"/>
        <v>0.3796875</v>
      </c>
      <c r="O60" s="1"/>
      <c r="Q60" s="2"/>
      <c r="R60" s="2"/>
      <c r="S60" s="2"/>
      <c r="T60" s="2"/>
    </row>
    <row r="61" spans="1:20">
      <c r="A61" s="1" t="s">
        <v>104</v>
      </c>
      <c r="B61" s="28">
        <v>3</v>
      </c>
      <c r="C61" s="28">
        <v>10</v>
      </c>
      <c r="D61" s="1">
        <f t="shared" si="7"/>
        <v>0.487012987012987</v>
      </c>
      <c r="E61" s="1">
        <f t="shared" si="8"/>
        <v>0.324675324675325</v>
      </c>
      <c r="F61" s="29">
        <v>0.25</v>
      </c>
      <c r="G61" s="29">
        <v>0.5</v>
      </c>
      <c r="H61" s="31">
        <f t="shared" si="9"/>
        <v>0.811688311688312</v>
      </c>
      <c r="I61" s="1">
        <f t="shared" si="12"/>
        <v>1</v>
      </c>
      <c r="J61" s="1">
        <f t="shared" si="10"/>
        <v>8.25714285714286</v>
      </c>
      <c r="K61" s="1">
        <f t="shared" si="13"/>
        <v>0.946753246753246</v>
      </c>
      <c r="L61" s="1">
        <f t="shared" si="11"/>
        <v>0.3796875</v>
      </c>
      <c r="O61" s="1"/>
      <c r="Q61" s="2"/>
      <c r="R61" s="2"/>
      <c r="S61" s="2"/>
      <c r="T61" s="2"/>
    </row>
    <row r="62" spans="1:20">
      <c r="A62" s="1" t="s">
        <v>105</v>
      </c>
      <c r="B62" s="28">
        <v>3</v>
      </c>
      <c r="C62" s="28">
        <v>10</v>
      </c>
      <c r="D62" s="1">
        <f t="shared" si="7"/>
        <v>0.487012987012987</v>
      </c>
      <c r="E62" s="1">
        <f t="shared" si="8"/>
        <v>0.324675324675325</v>
      </c>
      <c r="F62" s="29">
        <v>0.25</v>
      </c>
      <c r="G62" s="29">
        <v>0.5</v>
      </c>
      <c r="H62" s="31">
        <f t="shared" si="9"/>
        <v>0.811688311688312</v>
      </c>
      <c r="I62" s="1">
        <f t="shared" si="12"/>
        <v>1</v>
      </c>
      <c r="J62" s="1">
        <f t="shared" si="10"/>
        <v>8.25714285714286</v>
      </c>
      <c r="K62" s="1">
        <f t="shared" si="13"/>
        <v>0.946753246753246</v>
      </c>
      <c r="L62" s="1">
        <f t="shared" si="11"/>
        <v>0.3796875</v>
      </c>
      <c r="O62" s="1"/>
      <c r="Q62" s="2"/>
      <c r="R62" s="2"/>
      <c r="S62" s="2"/>
      <c r="T62" s="2"/>
    </row>
    <row r="63" spans="1:20">
      <c r="A63" s="1" t="s">
        <v>106</v>
      </c>
      <c r="B63" s="28">
        <v>3</v>
      </c>
      <c r="C63" s="28">
        <v>15</v>
      </c>
      <c r="D63" s="1">
        <f t="shared" si="7"/>
        <v>0.487012987012987</v>
      </c>
      <c r="E63" s="1">
        <f t="shared" si="8"/>
        <v>0.487012987012987</v>
      </c>
      <c r="F63" s="29">
        <v>0.25</v>
      </c>
      <c r="G63" s="29">
        <v>0.5</v>
      </c>
      <c r="H63" s="31">
        <f t="shared" si="9"/>
        <v>0.974025974025974</v>
      </c>
      <c r="I63" s="1">
        <f t="shared" si="12"/>
        <v>1</v>
      </c>
      <c r="J63" s="1">
        <f t="shared" si="10"/>
        <v>9.90857142857143</v>
      </c>
      <c r="K63" s="1">
        <f t="shared" si="13"/>
        <v>1.13610389610389</v>
      </c>
      <c r="L63" s="1">
        <f t="shared" si="11"/>
        <v>0.3796875</v>
      </c>
      <c r="O63" s="1"/>
      <c r="Q63" s="2"/>
      <c r="R63" s="2"/>
      <c r="S63" s="2"/>
      <c r="T63" s="2"/>
    </row>
    <row r="64" spans="1:20">
      <c r="A64" s="1" t="s">
        <v>107</v>
      </c>
      <c r="B64" s="28">
        <v>3</v>
      </c>
      <c r="C64" s="28">
        <v>15</v>
      </c>
      <c r="D64" s="1">
        <f t="shared" si="7"/>
        <v>0.487012987012987</v>
      </c>
      <c r="E64" s="1">
        <f t="shared" si="8"/>
        <v>0.487012987012987</v>
      </c>
      <c r="F64" s="29">
        <v>0.25</v>
      </c>
      <c r="G64" s="29">
        <v>0.5</v>
      </c>
      <c r="H64" s="31">
        <f t="shared" si="9"/>
        <v>0.974025974025974</v>
      </c>
      <c r="I64" s="1">
        <f t="shared" si="12"/>
        <v>1</v>
      </c>
      <c r="J64" s="1">
        <f t="shared" si="10"/>
        <v>9.90857142857143</v>
      </c>
      <c r="K64" s="1">
        <f t="shared" si="13"/>
        <v>1.13610389610389</v>
      </c>
      <c r="L64" s="1">
        <f t="shared" si="11"/>
        <v>0.3796875</v>
      </c>
      <c r="O64" s="1"/>
      <c r="Q64" s="2"/>
      <c r="R64" s="2"/>
      <c r="S64" s="2"/>
      <c r="T64" s="2"/>
    </row>
    <row r="65" spans="1:20">
      <c r="A65" s="1" t="s">
        <v>108</v>
      </c>
      <c r="B65" s="28">
        <v>3</v>
      </c>
      <c r="C65" s="28">
        <v>15</v>
      </c>
      <c r="D65" s="1">
        <f t="shared" si="7"/>
        <v>0.487012987012987</v>
      </c>
      <c r="E65" s="1">
        <f t="shared" si="8"/>
        <v>0.487012987012987</v>
      </c>
      <c r="F65" s="29">
        <v>0.25</v>
      </c>
      <c r="G65" s="29">
        <v>0.5</v>
      </c>
      <c r="H65" s="31">
        <f t="shared" si="9"/>
        <v>0.974025974025974</v>
      </c>
      <c r="I65" s="1">
        <f t="shared" si="12"/>
        <v>1</v>
      </c>
      <c r="J65" s="1">
        <f t="shared" si="10"/>
        <v>9.90857142857143</v>
      </c>
      <c r="K65" s="1">
        <f t="shared" si="13"/>
        <v>1.13610389610389</v>
      </c>
      <c r="L65" s="1">
        <f t="shared" si="11"/>
        <v>0.3796875</v>
      </c>
      <c r="O65" s="1"/>
      <c r="Q65" s="2"/>
      <c r="R65" s="2"/>
      <c r="S65" s="2"/>
      <c r="T65" s="2"/>
    </row>
    <row r="66" spans="1:20">
      <c r="A66" s="1" t="s">
        <v>109</v>
      </c>
      <c r="B66" s="28">
        <v>3</v>
      </c>
      <c r="C66" s="28">
        <v>15</v>
      </c>
      <c r="D66" s="1">
        <f t="shared" si="7"/>
        <v>0.487012987012987</v>
      </c>
      <c r="E66" s="1">
        <f t="shared" si="8"/>
        <v>0.487012987012987</v>
      </c>
      <c r="F66" s="29">
        <v>0.25</v>
      </c>
      <c r="G66" s="29">
        <v>0.5</v>
      </c>
      <c r="H66" s="31">
        <f t="shared" si="9"/>
        <v>0.974025974025974</v>
      </c>
      <c r="I66" s="1">
        <f t="shared" si="12"/>
        <v>1</v>
      </c>
      <c r="J66" s="1">
        <f t="shared" si="10"/>
        <v>9.90857142857143</v>
      </c>
      <c r="K66" s="1">
        <f t="shared" si="13"/>
        <v>1.13610389610389</v>
      </c>
      <c r="L66" s="1">
        <f t="shared" si="11"/>
        <v>0.3796875</v>
      </c>
      <c r="O66" s="1"/>
      <c r="Q66" s="2"/>
      <c r="R66" s="2"/>
      <c r="S66" s="2"/>
      <c r="T66" s="2"/>
    </row>
    <row r="67" hidden="1" spans="12:20">
      <c r="L67" s="2">
        <f>L73/L82</f>
        <v>0.554822565969062</v>
      </c>
      <c r="M67" s="2">
        <f>M73/M83</f>
        <v>0.802605527999914</v>
      </c>
      <c r="O67" s="1"/>
      <c r="Q67" s="2"/>
      <c r="R67" s="2"/>
      <c r="S67" s="2"/>
      <c r="T67" s="2"/>
    </row>
    <row r="68" hidden="1" spans="1:20">
      <c r="A68" s="1" t="s">
        <v>65</v>
      </c>
      <c r="B68" s="1" t="s">
        <v>110</v>
      </c>
      <c r="C68" s="1" t="s">
        <v>85</v>
      </c>
      <c r="D68" s="1" t="s">
        <v>86</v>
      </c>
      <c r="E68" s="1" t="s">
        <v>87</v>
      </c>
      <c r="F68" s="2" t="s">
        <v>88</v>
      </c>
      <c r="G68" s="2" t="s">
        <v>89</v>
      </c>
      <c r="H68" s="1" t="s">
        <v>111</v>
      </c>
      <c r="I68" s="1" t="s">
        <v>112</v>
      </c>
      <c r="J68" s="1" t="s">
        <v>91</v>
      </c>
      <c r="K68" s="1" t="s">
        <v>92</v>
      </c>
      <c r="L68" s="1" t="s">
        <v>93</v>
      </c>
      <c r="M68" s="1" t="s">
        <v>94</v>
      </c>
      <c r="O68" s="1"/>
      <c r="Q68" s="2"/>
      <c r="R68" s="2"/>
      <c r="S68" s="2"/>
      <c r="T68" s="2"/>
    </row>
    <row r="69" hidden="1" spans="1:20">
      <c r="A69" s="1" t="s">
        <v>113</v>
      </c>
      <c r="B69" s="1">
        <v>3</v>
      </c>
      <c r="C69" s="1">
        <v>12</v>
      </c>
      <c r="D69" s="20">
        <f>(B69*F69/$M$3*(ROUNDDOWN($Q$3/$M$3,0)/(ROUNDDOWN($Q$3/$M$3,0)+1)))</f>
        <v>0</v>
      </c>
      <c r="E69" s="20">
        <f>C69*G69/$M$4*(1/(ROUNDDOWN($Q$4/$M$4,0)+1))</f>
        <v>0</v>
      </c>
      <c r="F69" s="19">
        <v>0</v>
      </c>
      <c r="G69" s="19">
        <v>0</v>
      </c>
      <c r="H69" s="1" t="e">
        <f>H52/SUM(D69,E69)</f>
        <v>#DIV/0!</v>
      </c>
      <c r="I69" s="1" t="e">
        <f>H69/$V$24</f>
        <v>#DIV/0!</v>
      </c>
      <c r="J69" s="1">
        <v>1.25</v>
      </c>
      <c r="K69" s="1">
        <f>SUM(D69,E69)*$U$24*J69</f>
        <v>0</v>
      </c>
      <c r="L69" s="1">
        <f>SUM(D69,E69)*$E$17*$B$16/20</f>
        <v>0</v>
      </c>
      <c r="M69" s="1">
        <f>MIN(SUM(D69:E69)*$E$33*12/20*(1+$B$33)^$F$31,6*(1+$B$33)^4/20/4)</f>
        <v>0</v>
      </c>
      <c r="O69" s="1"/>
      <c r="Q69" s="2"/>
      <c r="R69" s="2"/>
      <c r="S69" s="2"/>
      <c r="T69" s="2"/>
    </row>
    <row r="70" hidden="1" spans="1:20">
      <c r="A70" s="21" t="s">
        <v>114</v>
      </c>
      <c r="B70" s="1">
        <v>3</v>
      </c>
      <c r="C70" s="1">
        <v>12</v>
      </c>
      <c r="D70" s="20">
        <f t="shared" ref="D70:D83" si="14">(B70*F70/$M$3*(ROUNDDOWN($Q$3/$M$3,0)/(ROUNDDOWN($Q$3/$M$3,0)+1)))</f>
        <v>0.261160714285714</v>
      </c>
      <c r="E70" s="20">
        <f t="shared" ref="E70:E83" si="15">C70*G70/$M$4*(1/(ROUNDDOWN($Q$4/$M$4,0)+1))</f>
        <v>0</v>
      </c>
      <c r="F70" s="19">
        <v>0.15</v>
      </c>
      <c r="G70" s="19">
        <v>0</v>
      </c>
      <c r="H70" s="1">
        <f t="shared" ref="H70:H83" si="16">H53/SUM(D70,E70)</f>
        <v>1.49184149184149</v>
      </c>
      <c r="I70" s="1">
        <f t="shared" ref="I70:I83" si="17">H70/$V$24</f>
        <v>1.69309142543114</v>
      </c>
      <c r="J70" s="1">
        <f>$J$69</f>
        <v>1.25</v>
      </c>
      <c r="K70" s="1">
        <f t="shared" ref="K70:K83" si="18">SUM(D70,E70)*$U$24*J70</f>
        <v>2.9261773108467</v>
      </c>
      <c r="L70" s="1">
        <f t="shared" ref="L70:L83" si="19">SUM(D70,E70)*$E$17*$B$16/20</f>
        <v>0.229238144232303</v>
      </c>
      <c r="M70" s="1">
        <f t="shared" ref="M70:M83" si="20">MIN(SUM(D70:E70)*$E$33*12/20*(1+$B$33)^$F$31,6*(1+$B$33)^4/20/4)</f>
        <v>0.160803387295139</v>
      </c>
      <c r="O70" s="1"/>
      <c r="Q70" s="2"/>
      <c r="R70" s="2"/>
      <c r="S70" s="2"/>
      <c r="T70" s="2"/>
    </row>
    <row r="71" hidden="1" spans="1:20">
      <c r="A71" s="1" t="s">
        <v>115</v>
      </c>
      <c r="B71" s="1">
        <v>3</v>
      </c>
      <c r="C71" s="1">
        <v>12</v>
      </c>
      <c r="D71" s="20">
        <f t="shared" si="14"/>
        <v>0.261160714285714</v>
      </c>
      <c r="E71" s="20">
        <f t="shared" si="15"/>
        <v>0</v>
      </c>
      <c r="F71" s="19">
        <v>0.15</v>
      </c>
      <c r="G71" s="19">
        <v>0</v>
      </c>
      <c r="H71" s="1">
        <f t="shared" si="16"/>
        <v>1.49184149184149</v>
      </c>
      <c r="I71" s="1">
        <f t="shared" si="17"/>
        <v>1.69309142543114</v>
      </c>
      <c r="J71" s="1">
        <f t="shared" ref="J71:J83" si="21">$J$69</f>
        <v>1.25</v>
      </c>
      <c r="K71" s="1">
        <f t="shared" si="18"/>
        <v>2.9261773108467</v>
      </c>
      <c r="L71" s="1">
        <f t="shared" si="19"/>
        <v>0.229238144232303</v>
      </c>
      <c r="M71" s="1">
        <f t="shared" si="20"/>
        <v>0.160803387295139</v>
      </c>
      <c r="O71" s="1"/>
      <c r="Q71" s="2"/>
      <c r="R71" s="2"/>
      <c r="S71" s="2"/>
      <c r="T71" s="2"/>
    </row>
    <row r="72" hidden="1" spans="1:20">
      <c r="A72" s="21" t="s">
        <v>116</v>
      </c>
      <c r="B72" s="1">
        <v>3</v>
      </c>
      <c r="C72" s="1">
        <v>12</v>
      </c>
      <c r="D72" s="20">
        <f t="shared" si="14"/>
        <v>0.261160714285714</v>
      </c>
      <c r="E72" s="20">
        <f t="shared" si="15"/>
        <v>0.233766233766234</v>
      </c>
      <c r="F72" s="19">
        <v>0.15</v>
      </c>
      <c r="G72" s="19">
        <v>0.3</v>
      </c>
      <c r="H72" s="1">
        <f t="shared" si="16"/>
        <v>1.20705207052071</v>
      </c>
      <c r="I72" s="1">
        <f t="shared" si="17"/>
        <v>1.36988381260591</v>
      </c>
      <c r="J72" s="1">
        <f t="shared" si="21"/>
        <v>1.25</v>
      </c>
      <c r="K72" s="1">
        <f t="shared" si="18"/>
        <v>5.54541294573047</v>
      </c>
      <c r="L72" s="1">
        <f t="shared" si="19"/>
        <v>0.434430329279399</v>
      </c>
      <c r="M72" s="1">
        <f t="shared" si="20"/>
        <v>0.304739286412467</v>
      </c>
      <c r="O72" s="1"/>
      <c r="Q72" s="2"/>
      <c r="R72" s="2"/>
      <c r="S72" s="2"/>
      <c r="T72" s="2"/>
    </row>
    <row r="73" hidden="1" spans="1:22">
      <c r="A73" s="1" t="s">
        <v>117</v>
      </c>
      <c r="B73" s="1">
        <v>3</v>
      </c>
      <c r="C73" s="1">
        <v>12</v>
      </c>
      <c r="D73" s="20">
        <f t="shared" si="14"/>
        <v>0.261160714285714</v>
      </c>
      <c r="E73" s="20">
        <f t="shared" si="15"/>
        <v>0.233766233766234</v>
      </c>
      <c r="F73" s="19">
        <v>0.15</v>
      </c>
      <c r="G73" s="19">
        <v>0.3</v>
      </c>
      <c r="H73" s="1">
        <f t="shared" si="16"/>
        <v>1.20705207052071</v>
      </c>
      <c r="I73" s="1">
        <f t="shared" si="17"/>
        <v>1.36988381260591</v>
      </c>
      <c r="J73" s="1">
        <f t="shared" si="21"/>
        <v>1.25</v>
      </c>
      <c r="K73" s="1">
        <f t="shared" si="18"/>
        <v>5.54541294573047</v>
      </c>
      <c r="L73" s="1">
        <f t="shared" si="19"/>
        <v>0.434430329279399</v>
      </c>
      <c r="M73" s="1">
        <f t="shared" si="20"/>
        <v>0.304739286412467</v>
      </c>
      <c r="Q73" s="2"/>
      <c r="R73" s="2"/>
      <c r="S73" s="30"/>
      <c r="T73" s="2"/>
      <c r="V73" s="2"/>
    </row>
    <row r="74" hidden="1" spans="1:22">
      <c r="A74" s="1" t="s">
        <v>118</v>
      </c>
      <c r="B74" s="1">
        <v>3</v>
      </c>
      <c r="C74" s="1">
        <v>12</v>
      </c>
      <c r="D74" s="20">
        <f t="shared" si="14"/>
        <v>0.261160714285714</v>
      </c>
      <c r="E74" s="20">
        <f t="shared" si="15"/>
        <v>0.233766233766234</v>
      </c>
      <c r="F74" s="19">
        <v>0.15</v>
      </c>
      <c r="G74" s="19">
        <v>0.3</v>
      </c>
      <c r="H74" s="1">
        <f t="shared" si="16"/>
        <v>1.20705207052071</v>
      </c>
      <c r="I74" s="1">
        <f t="shared" si="17"/>
        <v>1.36988381260591</v>
      </c>
      <c r="J74" s="1">
        <f t="shared" si="21"/>
        <v>1.25</v>
      </c>
      <c r="K74" s="1">
        <f t="shared" si="18"/>
        <v>5.54541294573047</v>
      </c>
      <c r="L74" s="1">
        <f t="shared" si="19"/>
        <v>0.434430329279399</v>
      </c>
      <c r="M74" s="1">
        <f t="shared" si="20"/>
        <v>0.304739286412467</v>
      </c>
      <c r="O74" s="1"/>
      <c r="Q74" s="2"/>
      <c r="R74" s="2"/>
      <c r="S74" s="2"/>
      <c r="T74" s="2"/>
      <c r="U74" s="2"/>
      <c r="V74" s="2"/>
    </row>
    <row r="75" hidden="1" spans="1:22">
      <c r="A75" s="21" t="s">
        <v>119</v>
      </c>
      <c r="B75" s="1">
        <v>4</v>
      </c>
      <c r="C75" s="1">
        <v>12</v>
      </c>
      <c r="D75" s="20">
        <f t="shared" si="14"/>
        <v>0.348214285714286</v>
      </c>
      <c r="E75" s="20">
        <f t="shared" si="15"/>
        <v>0.233766233766234</v>
      </c>
      <c r="F75" s="19">
        <v>0.15</v>
      </c>
      <c r="G75" s="19">
        <v>0.3</v>
      </c>
      <c r="H75" s="1">
        <f t="shared" si="16"/>
        <v>1.11576011157601</v>
      </c>
      <c r="I75" s="1">
        <f t="shared" si="17"/>
        <v>1.26627653680258</v>
      </c>
      <c r="J75" s="1">
        <f t="shared" si="21"/>
        <v>1.25</v>
      </c>
      <c r="K75" s="1">
        <f t="shared" si="18"/>
        <v>6.52080538267938</v>
      </c>
      <c r="L75" s="1">
        <f t="shared" si="19"/>
        <v>0.5108430440235</v>
      </c>
      <c r="M75" s="1">
        <f t="shared" si="20"/>
        <v>0.358340415510847</v>
      </c>
      <c r="O75" s="1"/>
      <c r="Q75" s="2"/>
      <c r="R75" s="2"/>
      <c r="S75" s="2"/>
      <c r="T75" s="2"/>
      <c r="V75" s="2"/>
    </row>
    <row r="76" hidden="1" spans="1:22">
      <c r="A76" s="21" t="s">
        <v>120</v>
      </c>
      <c r="B76" s="1">
        <v>4</v>
      </c>
      <c r="C76" s="1">
        <v>12</v>
      </c>
      <c r="D76" s="20">
        <f t="shared" si="14"/>
        <v>0.464285714285714</v>
      </c>
      <c r="E76" s="20">
        <f t="shared" si="15"/>
        <v>0.311688311688312</v>
      </c>
      <c r="F76" s="19">
        <v>0.2</v>
      </c>
      <c r="G76" s="19">
        <v>0.4</v>
      </c>
      <c r="H76" s="1">
        <f t="shared" si="16"/>
        <v>1.04602510460251</v>
      </c>
      <c r="I76" s="1">
        <f t="shared" si="17"/>
        <v>1.18713425325242</v>
      </c>
      <c r="J76" s="1">
        <f t="shared" si="21"/>
        <v>1.25</v>
      </c>
      <c r="K76" s="1">
        <f t="shared" si="18"/>
        <v>8.69440717690583</v>
      </c>
      <c r="L76" s="1">
        <f t="shared" si="19"/>
        <v>0.681124058698</v>
      </c>
      <c r="M76" s="1">
        <f t="shared" si="20"/>
        <v>0.3796875</v>
      </c>
      <c r="O76" s="1"/>
      <c r="Q76" s="2"/>
      <c r="R76" s="2"/>
      <c r="S76" s="2"/>
      <c r="T76" s="2"/>
      <c r="V76" s="2"/>
    </row>
    <row r="77" hidden="1" spans="1:22">
      <c r="A77" s="1" t="s">
        <v>121</v>
      </c>
      <c r="B77" s="1">
        <v>4</v>
      </c>
      <c r="C77" s="1">
        <v>12</v>
      </c>
      <c r="D77" s="20">
        <f t="shared" si="14"/>
        <v>0.464285714285714</v>
      </c>
      <c r="E77" s="20">
        <f t="shared" si="15"/>
        <v>0.311688311688312</v>
      </c>
      <c r="F77" s="19">
        <v>0.2</v>
      </c>
      <c r="G77" s="19">
        <v>0.4</v>
      </c>
      <c r="H77" s="1">
        <f t="shared" si="16"/>
        <v>1.04602510460251</v>
      </c>
      <c r="I77" s="1">
        <f t="shared" si="17"/>
        <v>1.18713425325242</v>
      </c>
      <c r="J77" s="1">
        <f t="shared" si="21"/>
        <v>1.25</v>
      </c>
      <c r="K77" s="1">
        <f t="shared" si="18"/>
        <v>8.69440717690583</v>
      </c>
      <c r="L77" s="1">
        <f t="shared" si="19"/>
        <v>0.681124058698</v>
      </c>
      <c r="M77" s="1">
        <f t="shared" si="20"/>
        <v>0.3796875</v>
      </c>
      <c r="O77" s="1"/>
      <c r="Q77" s="2"/>
      <c r="R77" s="2"/>
      <c r="S77" s="2"/>
      <c r="T77" s="2"/>
      <c r="V77" s="2"/>
    </row>
    <row r="78" hidden="1" spans="1:22">
      <c r="A78" s="1" t="s">
        <v>122</v>
      </c>
      <c r="B78" s="1">
        <v>4</v>
      </c>
      <c r="C78" s="1">
        <v>12</v>
      </c>
      <c r="D78" s="20">
        <f t="shared" si="14"/>
        <v>0.464285714285714</v>
      </c>
      <c r="E78" s="20">
        <f t="shared" si="15"/>
        <v>0.311688311688312</v>
      </c>
      <c r="F78" s="19">
        <v>0.2</v>
      </c>
      <c r="G78" s="19">
        <v>0.4</v>
      </c>
      <c r="H78" s="1">
        <f t="shared" si="16"/>
        <v>1.04602510460251</v>
      </c>
      <c r="I78" s="1">
        <f t="shared" si="17"/>
        <v>1.18713425325242</v>
      </c>
      <c r="J78" s="1">
        <f t="shared" si="21"/>
        <v>1.25</v>
      </c>
      <c r="K78" s="1">
        <f t="shared" si="18"/>
        <v>8.69440717690583</v>
      </c>
      <c r="L78" s="1">
        <f t="shared" si="19"/>
        <v>0.681124058698</v>
      </c>
      <c r="M78" s="1">
        <f t="shared" si="20"/>
        <v>0.3796875</v>
      </c>
      <c r="O78" s="1"/>
      <c r="Q78" s="2"/>
      <c r="R78" s="2"/>
      <c r="S78" s="2"/>
      <c r="T78" s="2"/>
      <c r="V78" s="2"/>
    </row>
    <row r="79" hidden="1" spans="1:22">
      <c r="A79" s="1" t="s">
        <v>123</v>
      </c>
      <c r="B79" s="1">
        <v>4</v>
      </c>
      <c r="C79" s="1">
        <v>12</v>
      </c>
      <c r="D79" s="20">
        <f t="shared" si="14"/>
        <v>0.464285714285714</v>
      </c>
      <c r="E79" s="20">
        <f t="shared" si="15"/>
        <v>0.311688311688312</v>
      </c>
      <c r="F79" s="19">
        <v>0.2</v>
      </c>
      <c r="G79" s="19">
        <v>0.4</v>
      </c>
      <c r="H79" s="1">
        <f t="shared" si="16"/>
        <v>1.04602510460251</v>
      </c>
      <c r="I79" s="1">
        <f t="shared" si="17"/>
        <v>1.18713425325242</v>
      </c>
      <c r="J79" s="1">
        <f t="shared" si="21"/>
        <v>1.25</v>
      </c>
      <c r="K79" s="1">
        <f t="shared" si="18"/>
        <v>8.69440717690583</v>
      </c>
      <c r="L79" s="1">
        <f t="shared" si="19"/>
        <v>0.681124058698</v>
      </c>
      <c r="M79" s="1">
        <f t="shared" si="20"/>
        <v>0.3796875</v>
      </c>
      <c r="O79" s="1"/>
      <c r="Q79" s="2"/>
      <c r="R79" s="2"/>
      <c r="S79" s="2"/>
      <c r="T79" s="2"/>
      <c r="V79" s="2"/>
    </row>
    <row r="80" hidden="1" spans="1:22">
      <c r="A80" s="21" t="s">
        <v>124</v>
      </c>
      <c r="B80" s="1">
        <v>5</v>
      </c>
      <c r="C80" s="1">
        <v>12</v>
      </c>
      <c r="D80" s="20">
        <f t="shared" si="14"/>
        <v>0.580357142857143</v>
      </c>
      <c r="E80" s="20">
        <f t="shared" si="15"/>
        <v>0.311688311688312</v>
      </c>
      <c r="F80" s="19">
        <v>0.2</v>
      </c>
      <c r="G80" s="19">
        <v>0.4</v>
      </c>
      <c r="H80" s="1">
        <f t="shared" si="16"/>
        <v>1.0919017288444</v>
      </c>
      <c r="I80" s="1">
        <f t="shared" si="17"/>
        <v>1.23919964998287</v>
      </c>
      <c r="J80" s="1">
        <f t="shared" si="21"/>
        <v>1.25</v>
      </c>
      <c r="K80" s="1">
        <f t="shared" si="18"/>
        <v>9.99493042617103</v>
      </c>
      <c r="L80" s="1">
        <f t="shared" si="19"/>
        <v>0.783007678356801</v>
      </c>
      <c r="M80" s="1">
        <f t="shared" si="20"/>
        <v>0.3796875</v>
      </c>
      <c r="O80" s="1"/>
      <c r="Q80" s="2"/>
      <c r="R80" s="2"/>
      <c r="S80" s="2"/>
      <c r="T80" s="2"/>
      <c r="V80" s="2"/>
    </row>
    <row r="81" hidden="1" spans="1:22">
      <c r="A81" s="1" t="s">
        <v>125</v>
      </c>
      <c r="B81" s="1">
        <v>5</v>
      </c>
      <c r="C81" s="1">
        <v>12</v>
      </c>
      <c r="D81" s="20">
        <f t="shared" si="14"/>
        <v>0.580357142857143</v>
      </c>
      <c r="E81" s="20">
        <f t="shared" si="15"/>
        <v>0.311688311688312</v>
      </c>
      <c r="F81" s="19">
        <v>0.2</v>
      </c>
      <c r="G81" s="19">
        <v>0.4</v>
      </c>
      <c r="H81" s="1">
        <f t="shared" si="16"/>
        <v>1.0919017288444</v>
      </c>
      <c r="I81" s="1">
        <f t="shared" si="17"/>
        <v>1.23919964998287</v>
      </c>
      <c r="J81" s="1">
        <f t="shared" si="21"/>
        <v>1.25</v>
      </c>
      <c r="K81" s="1">
        <f t="shared" si="18"/>
        <v>9.99493042617103</v>
      </c>
      <c r="L81" s="1">
        <f t="shared" si="19"/>
        <v>0.783007678356801</v>
      </c>
      <c r="M81" s="1">
        <f t="shared" si="20"/>
        <v>0.3796875</v>
      </c>
      <c r="O81" s="1"/>
      <c r="Q81" s="2"/>
      <c r="R81" s="2"/>
      <c r="S81" s="2"/>
      <c r="T81" s="2"/>
      <c r="V81" s="2"/>
    </row>
    <row r="82" hidden="1" spans="1:22">
      <c r="A82" s="1" t="s">
        <v>126</v>
      </c>
      <c r="B82" s="1">
        <v>5</v>
      </c>
      <c r="C82" s="1">
        <v>12</v>
      </c>
      <c r="D82" s="20">
        <f t="shared" si="14"/>
        <v>0.580357142857143</v>
      </c>
      <c r="E82" s="20">
        <f t="shared" si="15"/>
        <v>0.311688311688312</v>
      </c>
      <c r="F82" s="19">
        <v>0.2</v>
      </c>
      <c r="G82" s="19">
        <v>0.4</v>
      </c>
      <c r="H82" s="1">
        <f t="shared" si="16"/>
        <v>1.0919017288444</v>
      </c>
      <c r="I82" s="1">
        <f t="shared" si="17"/>
        <v>1.23919964998287</v>
      </c>
      <c r="J82" s="1">
        <f t="shared" si="21"/>
        <v>1.25</v>
      </c>
      <c r="K82" s="1">
        <f t="shared" si="18"/>
        <v>9.99493042617103</v>
      </c>
      <c r="L82" s="1">
        <f t="shared" si="19"/>
        <v>0.783007678356801</v>
      </c>
      <c r="M82" s="1">
        <f t="shared" si="20"/>
        <v>0.3796875</v>
      </c>
      <c r="O82" s="1"/>
      <c r="Q82" s="2"/>
      <c r="R82" s="2"/>
      <c r="S82" s="2"/>
      <c r="T82" s="2"/>
      <c r="V82" s="2"/>
    </row>
    <row r="83" hidden="1" spans="1:22">
      <c r="A83" s="1" t="s">
        <v>127</v>
      </c>
      <c r="B83" s="1">
        <v>5</v>
      </c>
      <c r="C83" s="1">
        <v>12</v>
      </c>
      <c r="D83" s="20">
        <f t="shared" si="14"/>
        <v>0.580357142857143</v>
      </c>
      <c r="E83" s="20">
        <f t="shared" si="15"/>
        <v>0.311688311688312</v>
      </c>
      <c r="F83" s="19">
        <v>0.2</v>
      </c>
      <c r="G83" s="19">
        <v>0.4</v>
      </c>
      <c r="H83" s="1">
        <f t="shared" si="16"/>
        <v>1.0919017288444</v>
      </c>
      <c r="I83" s="1">
        <f t="shared" si="17"/>
        <v>1.23919964998287</v>
      </c>
      <c r="J83" s="1">
        <f t="shared" si="21"/>
        <v>1.25</v>
      </c>
      <c r="K83" s="1">
        <f t="shared" si="18"/>
        <v>9.99493042617103</v>
      </c>
      <c r="L83" s="1">
        <f t="shared" si="19"/>
        <v>0.783007678356801</v>
      </c>
      <c r="M83" s="1">
        <f t="shared" si="20"/>
        <v>0.3796875</v>
      </c>
      <c r="O83" s="1"/>
      <c r="Q83" s="2"/>
      <c r="R83" s="2"/>
      <c r="S83" s="2"/>
      <c r="T83" s="2"/>
      <c r="V83" s="2"/>
    </row>
    <row r="84" hidden="1" spans="13:22">
      <c r="M84" s="2">
        <f>M90/M99</f>
        <v>0.500000000000001</v>
      </c>
      <c r="N84" s="2">
        <f>N90/N99</f>
        <v>1</v>
      </c>
      <c r="O84" s="1"/>
      <c r="Q84" s="2"/>
      <c r="R84" s="2"/>
      <c r="S84" s="2"/>
      <c r="T84" s="2"/>
      <c r="V84" s="2"/>
    </row>
    <row r="85" hidden="1" spans="1:22">
      <c r="A85" s="1" t="s">
        <v>74</v>
      </c>
      <c r="B85" s="1" t="s">
        <v>84</v>
      </c>
      <c r="C85" s="1" t="s">
        <v>85</v>
      </c>
      <c r="D85" s="1" t="s">
        <v>86</v>
      </c>
      <c r="E85" s="1" t="s">
        <v>87</v>
      </c>
      <c r="F85" s="2" t="s">
        <v>88</v>
      </c>
      <c r="G85" s="2" t="s">
        <v>89</v>
      </c>
      <c r="H85" s="1" t="s">
        <v>90</v>
      </c>
      <c r="I85" s="1" t="s">
        <v>111</v>
      </c>
      <c r="J85" s="1" t="s">
        <v>112</v>
      </c>
      <c r="K85" s="1" t="s">
        <v>91</v>
      </c>
      <c r="L85" s="1" t="s">
        <v>92</v>
      </c>
      <c r="M85" s="1" t="s">
        <v>93</v>
      </c>
      <c r="N85" s="1" t="s">
        <v>94</v>
      </c>
      <c r="O85" s="1"/>
      <c r="Q85" s="2"/>
      <c r="R85" s="2"/>
      <c r="S85" s="2"/>
      <c r="T85" s="2"/>
      <c r="V85" s="2"/>
    </row>
    <row r="86" hidden="1" spans="1:22">
      <c r="A86" s="1" t="s">
        <v>128</v>
      </c>
      <c r="B86" s="1">
        <v>5</v>
      </c>
      <c r="C86" s="1">
        <v>5</v>
      </c>
      <c r="D86" s="1">
        <f>B86*F86/$M$6*0.5*3</f>
        <v>0</v>
      </c>
      <c r="E86" s="1">
        <f>C86*G86/$M$6*0.5*3</f>
        <v>0</v>
      </c>
      <c r="F86" s="19">
        <v>0</v>
      </c>
      <c r="G86" s="19">
        <v>0</v>
      </c>
      <c r="H86" s="20">
        <f>SUM(D86:E86)</f>
        <v>0</v>
      </c>
      <c r="I86" s="1" t="e">
        <f>H52/H86</f>
        <v>#DIV/0!</v>
      </c>
      <c r="J86" s="1" t="e">
        <f>I86/$V$27</f>
        <v>#DIV/0!</v>
      </c>
      <c r="K86" s="1">
        <v>0.7</v>
      </c>
      <c r="L86" s="1">
        <f>H86*$U$27*K86</f>
        <v>0</v>
      </c>
      <c r="M86" s="1">
        <f>H86*$I$25*$B$20/20</f>
        <v>0</v>
      </c>
      <c r="N86" s="1">
        <f>MIN(H86*$I$49*12/20*(1+$B$37)^$H$49,6*(1+$B$37)^4/20/4)</f>
        <v>0</v>
      </c>
      <c r="O86" s="1"/>
      <c r="Q86" s="2"/>
      <c r="R86" s="2"/>
      <c r="S86" s="2"/>
      <c r="T86" s="2"/>
      <c r="V86" s="2"/>
    </row>
    <row r="87" hidden="1" spans="1:22">
      <c r="A87" s="21" t="s">
        <v>129</v>
      </c>
      <c r="B87" s="1">
        <v>5</v>
      </c>
      <c r="C87" s="1">
        <v>5</v>
      </c>
      <c r="D87" s="1">
        <f t="shared" ref="D87:D100" si="22">B87*F87/$M$6*0.5*3</f>
        <v>0.227272727272727</v>
      </c>
      <c r="E87" s="1">
        <f t="shared" ref="E87:E100" si="23">C87*G87/$M$6*0.5*3</f>
        <v>0</v>
      </c>
      <c r="F87" s="19">
        <f>1/30</f>
        <v>0.0333333333333333</v>
      </c>
      <c r="G87" s="19">
        <v>0</v>
      </c>
      <c r="H87" s="20">
        <f t="shared" ref="H87:H100" si="24">SUM(D87:E87)</f>
        <v>0.227272727272727</v>
      </c>
      <c r="I87" s="1">
        <f t="shared" ref="I87:I100" si="25">H53/H87</f>
        <v>1.71428571428572</v>
      </c>
      <c r="J87" s="1">
        <f t="shared" ref="J87:J100" si="26">I87/$V$27</f>
        <v>1.65268487376539</v>
      </c>
      <c r="K87" s="1">
        <f>$K$86</f>
        <v>0.7</v>
      </c>
      <c r="L87" s="1">
        <f t="shared" ref="L87:L100" si="27">H87*$U$27*K87</f>
        <v>1.67872293383975</v>
      </c>
      <c r="M87" s="1">
        <f t="shared" ref="M87:M100" si="28">H87*$I$25*$B$20/20</f>
        <v>0.203948355786314</v>
      </c>
      <c r="N87" s="1">
        <f t="shared" ref="N87:N100" si="29">MIN(H87*$I$49*12/20*(1+$B$37)^$H$49,6*(1+$B$37)^4/20/4)</f>
        <v>0.187348614645301</v>
      </c>
      <c r="O87" s="1"/>
      <c r="Q87" s="2"/>
      <c r="R87" s="2"/>
      <c r="S87" s="2"/>
      <c r="T87" s="2"/>
      <c r="V87" s="2"/>
    </row>
    <row r="88" hidden="1" spans="1:22">
      <c r="A88" s="1" t="s">
        <v>130</v>
      </c>
      <c r="B88" s="1">
        <v>5</v>
      </c>
      <c r="C88" s="1">
        <v>5</v>
      </c>
      <c r="D88" s="1">
        <f t="shared" si="22"/>
        <v>0.227272727272727</v>
      </c>
      <c r="E88" s="1">
        <f t="shared" si="23"/>
        <v>0</v>
      </c>
      <c r="F88" s="19">
        <f>1/30</f>
        <v>0.0333333333333333</v>
      </c>
      <c r="G88" s="19">
        <v>0</v>
      </c>
      <c r="H88" s="20">
        <f t="shared" si="24"/>
        <v>0.227272727272727</v>
      </c>
      <c r="I88" s="1">
        <f t="shared" si="25"/>
        <v>1.71428571428572</v>
      </c>
      <c r="J88" s="1">
        <f t="shared" si="26"/>
        <v>1.65268487376539</v>
      </c>
      <c r="K88" s="1">
        <f t="shared" ref="K88:K100" si="30">$K$86</f>
        <v>0.7</v>
      </c>
      <c r="L88" s="1">
        <f t="shared" si="27"/>
        <v>1.67872293383975</v>
      </c>
      <c r="M88" s="1">
        <f t="shared" si="28"/>
        <v>0.203948355786314</v>
      </c>
      <c r="N88" s="1">
        <f t="shared" si="29"/>
        <v>0.187348614645301</v>
      </c>
      <c r="O88" s="1"/>
      <c r="Q88" s="2"/>
      <c r="R88" s="2"/>
      <c r="S88" s="2"/>
      <c r="T88" s="2"/>
      <c r="V88" s="2"/>
    </row>
    <row r="89" hidden="1" spans="1:22">
      <c r="A89" s="21" t="s">
        <v>131</v>
      </c>
      <c r="B89" s="1">
        <v>5</v>
      </c>
      <c r="C89" s="1">
        <v>5</v>
      </c>
      <c r="D89" s="1">
        <f t="shared" si="22"/>
        <v>0.227272727272727</v>
      </c>
      <c r="E89" s="1">
        <f t="shared" si="23"/>
        <v>0.454545454545454</v>
      </c>
      <c r="F89" s="19">
        <f t="shared" ref="F88:F94" si="31">1/30</f>
        <v>0.0333333333333333</v>
      </c>
      <c r="G89" s="19">
        <f>2/30</f>
        <v>0.0666666666666667</v>
      </c>
      <c r="H89" s="20">
        <f t="shared" si="24"/>
        <v>0.681818181818181</v>
      </c>
      <c r="I89" s="1">
        <f t="shared" si="25"/>
        <v>0.876190476190477</v>
      </c>
      <c r="J89" s="1">
        <f t="shared" si="26"/>
        <v>0.844705602146756</v>
      </c>
      <c r="K89" s="1">
        <f t="shared" si="30"/>
        <v>0.7</v>
      </c>
      <c r="L89" s="1">
        <f t="shared" si="27"/>
        <v>5.03616880151924</v>
      </c>
      <c r="M89" s="1">
        <f t="shared" si="28"/>
        <v>0.611845067358941</v>
      </c>
      <c r="N89" s="1">
        <f t="shared" si="29"/>
        <v>0.3796875</v>
      </c>
      <c r="O89" s="1"/>
      <c r="Q89" s="2"/>
      <c r="R89" s="2"/>
      <c r="S89" s="2"/>
      <c r="T89" s="2"/>
      <c r="V89" s="2"/>
    </row>
    <row r="90" hidden="1" spans="1:14">
      <c r="A90" s="1" t="s">
        <v>132</v>
      </c>
      <c r="B90" s="1">
        <v>5</v>
      </c>
      <c r="C90" s="1">
        <v>5</v>
      </c>
      <c r="D90" s="1">
        <f t="shared" si="22"/>
        <v>0.227272727272727</v>
      </c>
      <c r="E90" s="1">
        <f t="shared" si="23"/>
        <v>0.454545454545455</v>
      </c>
      <c r="F90" s="19">
        <f t="shared" si="31"/>
        <v>0.0333333333333333</v>
      </c>
      <c r="G90" s="19">
        <f>2/30</f>
        <v>0.0666666666666667</v>
      </c>
      <c r="H90" s="20">
        <f t="shared" si="24"/>
        <v>0.681818181818182</v>
      </c>
      <c r="I90" s="1">
        <f t="shared" si="25"/>
        <v>0.876190476190476</v>
      </c>
      <c r="J90" s="1">
        <f t="shared" si="26"/>
        <v>0.844705602146755</v>
      </c>
      <c r="K90" s="1">
        <f t="shared" si="30"/>
        <v>0.7</v>
      </c>
      <c r="L90" s="1">
        <f t="shared" si="27"/>
        <v>5.03616880151924</v>
      </c>
      <c r="M90" s="1">
        <f t="shared" si="28"/>
        <v>0.611845067358942</v>
      </c>
      <c r="N90" s="1">
        <f t="shared" si="29"/>
        <v>0.3796875</v>
      </c>
    </row>
    <row r="91" hidden="1" spans="1:14">
      <c r="A91" s="1" t="s">
        <v>133</v>
      </c>
      <c r="B91" s="1">
        <v>5</v>
      </c>
      <c r="C91" s="1">
        <v>5</v>
      </c>
      <c r="D91" s="1">
        <f t="shared" si="22"/>
        <v>0.227272727272727</v>
      </c>
      <c r="E91" s="1">
        <f t="shared" si="23"/>
        <v>0.454545454545455</v>
      </c>
      <c r="F91" s="19">
        <f t="shared" si="31"/>
        <v>0.0333333333333333</v>
      </c>
      <c r="G91" s="19">
        <f>2/30</f>
        <v>0.0666666666666667</v>
      </c>
      <c r="H91" s="20">
        <f t="shared" si="24"/>
        <v>0.681818181818182</v>
      </c>
      <c r="I91" s="1">
        <f t="shared" si="25"/>
        <v>0.876190476190476</v>
      </c>
      <c r="J91" s="1">
        <f t="shared" si="26"/>
        <v>0.844705602146755</v>
      </c>
      <c r="K91" s="1">
        <f t="shared" si="30"/>
        <v>0.7</v>
      </c>
      <c r="L91" s="1">
        <f t="shared" si="27"/>
        <v>5.03616880151924</v>
      </c>
      <c r="M91" s="1">
        <f t="shared" si="28"/>
        <v>0.611845067358942</v>
      </c>
      <c r="N91" s="1">
        <f t="shared" si="29"/>
        <v>0.3796875</v>
      </c>
    </row>
    <row r="92" hidden="1" spans="1:18">
      <c r="A92" s="21" t="s">
        <v>134</v>
      </c>
      <c r="B92" s="1">
        <v>5</v>
      </c>
      <c r="C92" s="1">
        <v>5</v>
      </c>
      <c r="D92" s="1">
        <f t="shared" si="22"/>
        <v>0.227272727272727</v>
      </c>
      <c r="E92" s="1">
        <f t="shared" si="23"/>
        <v>0.454545454545455</v>
      </c>
      <c r="F92" s="19">
        <f t="shared" si="31"/>
        <v>0.0333333333333333</v>
      </c>
      <c r="G92" s="19">
        <f>2/30</f>
        <v>0.0666666666666667</v>
      </c>
      <c r="H92" s="20">
        <f t="shared" si="24"/>
        <v>0.681818181818182</v>
      </c>
      <c r="I92" s="1">
        <f t="shared" si="25"/>
        <v>0.952380952380952</v>
      </c>
      <c r="J92" s="1">
        <f t="shared" si="26"/>
        <v>0.918158263202995</v>
      </c>
      <c r="K92" s="1">
        <f t="shared" si="30"/>
        <v>0.7</v>
      </c>
      <c r="L92" s="1">
        <f t="shared" si="27"/>
        <v>5.03616880151924</v>
      </c>
      <c r="M92" s="1">
        <f t="shared" si="28"/>
        <v>0.611845067358942</v>
      </c>
      <c r="N92" s="1">
        <f t="shared" si="29"/>
        <v>0.3796875</v>
      </c>
      <c r="Q92" s="2"/>
      <c r="R92" s="2"/>
    </row>
    <row r="93" hidden="1" spans="1:18">
      <c r="A93" s="21" t="s">
        <v>135</v>
      </c>
      <c r="B93" s="1">
        <v>5</v>
      </c>
      <c r="C93" s="1">
        <v>5</v>
      </c>
      <c r="D93" s="1">
        <f t="shared" si="22"/>
        <v>0.454545454545454</v>
      </c>
      <c r="E93" s="1">
        <f t="shared" si="23"/>
        <v>0.909090909090909</v>
      </c>
      <c r="F93" s="19">
        <f>2/30</f>
        <v>0.0666666666666667</v>
      </c>
      <c r="G93" s="19">
        <f>4/30</f>
        <v>0.133333333333333</v>
      </c>
      <c r="H93" s="20">
        <f t="shared" si="24"/>
        <v>1.36363636363636</v>
      </c>
      <c r="I93" s="1">
        <f t="shared" si="25"/>
        <v>0.595238095238097</v>
      </c>
      <c r="J93" s="1">
        <f t="shared" si="26"/>
        <v>0.573848914501873</v>
      </c>
      <c r="K93" s="1">
        <f t="shared" si="30"/>
        <v>0.7</v>
      </c>
      <c r="L93" s="1">
        <f t="shared" si="27"/>
        <v>10.0723376030385</v>
      </c>
      <c r="M93" s="1">
        <f t="shared" si="28"/>
        <v>1.22369013471788</v>
      </c>
      <c r="N93" s="1">
        <f t="shared" si="29"/>
        <v>0.3796875</v>
      </c>
      <c r="Q93" s="2"/>
      <c r="R93" s="2"/>
    </row>
    <row r="94" hidden="1" spans="1:18">
      <c r="A94" s="1" t="s">
        <v>136</v>
      </c>
      <c r="B94" s="1">
        <v>5</v>
      </c>
      <c r="C94" s="1">
        <v>5</v>
      </c>
      <c r="D94" s="1">
        <f t="shared" si="22"/>
        <v>0.454545454545454</v>
      </c>
      <c r="E94" s="1">
        <f t="shared" si="23"/>
        <v>0.909090909090909</v>
      </c>
      <c r="F94" s="19">
        <f t="shared" ref="F94:F100" si="32">2/30</f>
        <v>0.0666666666666667</v>
      </c>
      <c r="G94" s="19">
        <f t="shared" ref="G94:G100" si="33">4/30</f>
        <v>0.133333333333333</v>
      </c>
      <c r="H94" s="20">
        <f t="shared" si="24"/>
        <v>1.36363636363636</v>
      </c>
      <c r="I94" s="1">
        <f t="shared" si="25"/>
        <v>0.595238095238097</v>
      </c>
      <c r="J94" s="1">
        <f t="shared" si="26"/>
        <v>0.573848914501873</v>
      </c>
      <c r="K94" s="1">
        <f t="shared" si="30"/>
        <v>0.7</v>
      </c>
      <c r="L94" s="1">
        <f t="shared" si="27"/>
        <v>10.0723376030385</v>
      </c>
      <c r="M94" s="1">
        <f t="shared" si="28"/>
        <v>1.22369013471788</v>
      </c>
      <c r="N94" s="1">
        <f t="shared" si="29"/>
        <v>0.3796875</v>
      </c>
      <c r="Q94" s="2"/>
      <c r="R94" s="2"/>
    </row>
    <row r="95" hidden="1" spans="1:18">
      <c r="A95" s="1" t="s">
        <v>137</v>
      </c>
      <c r="B95" s="1">
        <v>5</v>
      </c>
      <c r="C95" s="1">
        <v>5</v>
      </c>
      <c r="D95" s="1">
        <f t="shared" si="22"/>
        <v>0.454545454545454</v>
      </c>
      <c r="E95" s="1">
        <f t="shared" si="23"/>
        <v>0.909090909090909</v>
      </c>
      <c r="F95" s="19">
        <f t="shared" si="32"/>
        <v>0.0666666666666667</v>
      </c>
      <c r="G95" s="19">
        <f t="shared" si="33"/>
        <v>0.133333333333333</v>
      </c>
      <c r="H95" s="20">
        <f t="shared" si="24"/>
        <v>1.36363636363636</v>
      </c>
      <c r="I95" s="1">
        <f t="shared" si="25"/>
        <v>0.595238095238097</v>
      </c>
      <c r="J95" s="1">
        <f t="shared" si="26"/>
        <v>0.573848914501873</v>
      </c>
      <c r="K95" s="1">
        <f t="shared" si="30"/>
        <v>0.7</v>
      </c>
      <c r="L95" s="1">
        <f t="shared" si="27"/>
        <v>10.0723376030385</v>
      </c>
      <c r="M95" s="1">
        <f t="shared" si="28"/>
        <v>1.22369013471788</v>
      </c>
      <c r="N95" s="1">
        <f t="shared" si="29"/>
        <v>0.3796875</v>
      </c>
      <c r="Q95" s="2"/>
      <c r="R95" s="2"/>
    </row>
    <row r="96" hidden="1" spans="1:14">
      <c r="A96" s="1" t="s">
        <v>138</v>
      </c>
      <c r="B96" s="1">
        <v>5</v>
      </c>
      <c r="C96" s="1">
        <v>5</v>
      </c>
      <c r="D96" s="1">
        <f t="shared" si="22"/>
        <v>0.454545454545454</v>
      </c>
      <c r="E96" s="1">
        <f t="shared" si="23"/>
        <v>0.909090909090909</v>
      </c>
      <c r="F96" s="19">
        <f t="shared" si="32"/>
        <v>0.0666666666666667</v>
      </c>
      <c r="G96" s="19">
        <f t="shared" si="33"/>
        <v>0.133333333333333</v>
      </c>
      <c r="H96" s="20">
        <f t="shared" si="24"/>
        <v>1.36363636363636</v>
      </c>
      <c r="I96" s="1">
        <f t="shared" si="25"/>
        <v>0.595238095238097</v>
      </c>
      <c r="J96" s="1">
        <f t="shared" si="26"/>
        <v>0.573848914501873</v>
      </c>
      <c r="K96" s="1">
        <f t="shared" si="30"/>
        <v>0.7</v>
      </c>
      <c r="L96" s="1">
        <f t="shared" si="27"/>
        <v>10.0723376030385</v>
      </c>
      <c r="M96" s="1">
        <f t="shared" si="28"/>
        <v>1.22369013471788</v>
      </c>
      <c r="N96" s="1">
        <f t="shared" si="29"/>
        <v>0.3796875</v>
      </c>
    </row>
    <row r="97" hidden="1" spans="1:14">
      <c r="A97" s="21" t="s">
        <v>139</v>
      </c>
      <c r="B97" s="1">
        <v>5</v>
      </c>
      <c r="C97" s="1">
        <v>5</v>
      </c>
      <c r="D97" s="1">
        <f t="shared" si="22"/>
        <v>0.454545454545454</v>
      </c>
      <c r="E97" s="1">
        <f t="shared" si="23"/>
        <v>0.909090909090909</v>
      </c>
      <c r="F97" s="19">
        <f t="shared" si="32"/>
        <v>0.0666666666666667</v>
      </c>
      <c r="G97" s="19">
        <f t="shared" si="33"/>
        <v>0.133333333333333</v>
      </c>
      <c r="H97" s="20">
        <f t="shared" si="24"/>
        <v>1.36363636363636</v>
      </c>
      <c r="I97" s="1">
        <f t="shared" si="25"/>
        <v>0.714285714285716</v>
      </c>
      <c r="J97" s="1">
        <f t="shared" si="26"/>
        <v>0.688618697402248</v>
      </c>
      <c r="K97" s="1">
        <f t="shared" si="30"/>
        <v>0.7</v>
      </c>
      <c r="L97" s="1">
        <f t="shared" si="27"/>
        <v>10.0723376030385</v>
      </c>
      <c r="M97" s="1">
        <f t="shared" si="28"/>
        <v>1.22369013471788</v>
      </c>
      <c r="N97" s="1">
        <f t="shared" si="29"/>
        <v>0.3796875</v>
      </c>
    </row>
    <row r="98" hidden="1" spans="1:14">
      <c r="A98" s="1" t="s">
        <v>140</v>
      </c>
      <c r="B98" s="1">
        <v>5</v>
      </c>
      <c r="C98" s="1">
        <v>5</v>
      </c>
      <c r="D98" s="1">
        <f t="shared" si="22"/>
        <v>0.454545454545454</v>
      </c>
      <c r="E98" s="1">
        <f t="shared" si="23"/>
        <v>0.909090909090909</v>
      </c>
      <c r="F98" s="19">
        <f t="shared" si="32"/>
        <v>0.0666666666666667</v>
      </c>
      <c r="G98" s="19">
        <f t="shared" si="33"/>
        <v>0.133333333333333</v>
      </c>
      <c r="H98" s="20">
        <f t="shared" si="24"/>
        <v>1.36363636363636</v>
      </c>
      <c r="I98" s="1">
        <f t="shared" si="25"/>
        <v>0.714285714285716</v>
      </c>
      <c r="J98" s="1">
        <f t="shared" si="26"/>
        <v>0.688618697402248</v>
      </c>
      <c r="K98" s="1">
        <f t="shared" si="30"/>
        <v>0.7</v>
      </c>
      <c r="L98" s="1">
        <f t="shared" si="27"/>
        <v>10.0723376030385</v>
      </c>
      <c r="M98" s="1">
        <f t="shared" si="28"/>
        <v>1.22369013471788</v>
      </c>
      <c r="N98" s="1">
        <f t="shared" si="29"/>
        <v>0.3796875</v>
      </c>
    </row>
    <row r="99" hidden="1" spans="1:14">
      <c r="A99" s="1" t="s">
        <v>141</v>
      </c>
      <c r="B99" s="1">
        <v>5</v>
      </c>
      <c r="C99" s="1">
        <v>5</v>
      </c>
      <c r="D99" s="1">
        <f t="shared" si="22"/>
        <v>0.454545454545454</v>
      </c>
      <c r="E99" s="1">
        <f t="shared" si="23"/>
        <v>0.909090909090909</v>
      </c>
      <c r="F99" s="19">
        <f t="shared" si="32"/>
        <v>0.0666666666666667</v>
      </c>
      <c r="G99" s="19">
        <f t="shared" si="33"/>
        <v>0.133333333333333</v>
      </c>
      <c r="H99" s="20">
        <f t="shared" si="24"/>
        <v>1.36363636363636</v>
      </c>
      <c r="I99" s="1">
        <f t="shared" si="25"/>
        <v>0.714285714285716</v>
      </c>
      <c r="J99" s="1">
        <f t="shared" si="26"/>
        <v>0.688618697402248</v>
      </c>
      <c r="K99" s="1">
        <f t="shared" si="30"/>
        <v>0.7</v>
      </c>
      <c r="L99" s="1">
        <f t="shared" si="27"/>
        <v>10.0723376030385</v>
      </c>
      <c r="M99" s="1">
        <f t="shared" si="28"/>
        <v>1.22369013471788</v>
      </c>
      <c r="N99" s="1">
        <f t="shared" si="29"/>
        <v>0.3796875</v>
      </c>
    </row>
    <row r="100" hidden="1" spans="1:14">
      <c r="A100" s="1" t="s">
        <v>142</v>
      </c>
      <c r="B100" s="1">
        <v>5</v>
      </c>
      <c r="C100" s="1">
        <v>5</v>
      </c>
      <c r="D100" s="1">
        <f t="shared" si="22"/>
        <v>0.454545454545454</v>
      </c>
      <c r="E100" s="1">
        <f t="shared" si="23"/>
        <v>0.909090909090909</v>
      </c>
      <c r="F100" s="19">
        <f t="shared" si="32"/>
        <v>0.0666666666666667</v>
      </c>
      <c r="G100" s="19">
        <f t="shared" si="33"/>
        <v>0.133333333333333</v>
      </c>
      <c r="H100" s="20">
        <f t="shared" si="24"/>
        <v>1.36363636363636</v>
      </c>
      <c r="I100" s="1">
        <f t="shared" si="25"/>
        <v>0.714285714285716</v>
      </c>
      <c r="J100" s="1">
        <f t="shared" si="26"/>
        <v>0.688618697402248</v>
      </c>
      <c r="K100" s="1">
        <f t="shared" si="30"/>
        <v>0.7</v>
      </c>
      <c r="L100" s="1">
        <f t="shared" si="27"/>
        <v>10.0723376030385</v>
      </c>
      <c r="M100" s="1">
        <f t="shared" si="28"/>
        <v>1.22369013471788</v>
      </c>
      <c r="N100" s="1">
        <f t="shared" si="29"/>
        <v>0.3796875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5"/>
  <sheetViews>
    <sheetView workbookViewId="0">
      <selection activeCell="F105" sqref="F105:G105"/>
    </sheetView>
  </sheetViews>
  <sheetFormatPr defaultColWidth="9" defaultRowHeight="16.5"/>
  <cols>
    <col min="1" max="1" width="14.875" style="1" customWidth="1"/>
    <col min="2" max="2" width="18" style="1" customWidth="1"/>
    <col min="3" max="3" width="11.25" style="1" customWidth="1"/>
    <col min="4" max="11" width="9.00833333333333" style="1" customWidth="1"/>
    <col min="12" max="14" width="9.00833333333333" style="2" customWidth="1"/>
    <col min="15" max="16" width="10.625" style="2" customWidth="1"/>
    <col min="17" max="18" width="12.625" style="1"/>
    <col min="19" max="22" width="9.00833333333333" style="1" customWidth="1"/>
    <col min="23" max="24" width="9.375" style="1"/>
    <col min="25" max="16384" width="9" style="1"/>
  </cols>
  <sheetData>
    <row r="1" spans="1:20">
      <c r="A1" s="1" t="s">
        <v>0</v>
      </c>
      <c r="G1" s="3" t="s">
        <v>1</v>
      </c>
      <c r="H1" s="4" t="s">
        <v>2</v>
      </c>
      <c r="I1" s="22"/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</row>
    <row r="2" spans="2:20">
      <c r="B2" s="5" t="s">
        <v>12</v>
      </c>
      <c r="C2" s="6">
        <v>60</v>
      </c>
      <c r="G2" s="7"/>
      <c r="H2" s="8" t="s">
        <v>13</v>
      </c>
      <c r="I2" s="23">
        <v>1.2</v>
      </c>
      <c r="L2" s="2" t="s">
        <v>14</v>
      </c>
      <c r="M2" s="2">
        <v>1.3</v>
      </c>
      <c r="N2" s="2">
        <v>7</v>
      </c>
      <c r="O2" s="2">
        <f>3/1.5</f>
        <v>2</v>
      </c>
      <c r="P2" s="2">
        <f>3/2</f>
        <v>1.5</v>
      </c>
      <c r="Q2" s="2">
        <v>19.5</v>
      </c>
      <c r="R2" s="2">
        <v>0.5</v>
      </c>
      <c r="S2" s="2">
        <v>3</v>
      </c>
      <c r="T2" s="2">
        <v>0.8</v>
      </c>
    </row>
    <row r="3" spans="2:20">
      <c r="B3" s="1" t="s">
        <v>15</v>
      </c>
      <c r="C3" s="2">
        <v>2</v>
      </c>
      <c r="G3" s="3" t="s">
        <v>16</v>
      </c>
      <c r="H3" s="4" t="s">
        <v>17</v>
      </c>
      <c r="I3" s="22">
        <f>3*1.5</f>
        <v>4.5</v>
      </c>
      <c r="L3" s="25" t="s">
        <v>18</v>
      </c>
      <c r="M3" s="25">
        <v>2.8</v>
      </c>
      <c r="N3" s="2">
        <v>5</v>
      </c>
      <c r="O3" s="2">
        <f>3/1</f>
        <v>3</v>
      </c>
      <c r="P3" s="2">
        <f>3/1.5</f>
        <v>2</v>
      </c>
      <c r="Q3" s="25">
        <f>8*M3</f>
        <v>22.4</v>
      </c>
      <c r="R3" s="2"/>
      <c r="S3" s="2" t="s">
        <v>19</v>
      </c>
      <c r="T3" s="2" t="s">
        <v>20</v>
      </c>
    </row>
    <row r="4" spans="2:20">
      <c r="B4" s="5" t="s">
        <v>21</v>
      </c>
      <c r="C4" s="6" t="str">
        <f>IF((D4-C3*2)&lt;0,"相交",IF((D4-C3*2)&lt;0=0,"相切","否"))</f>
        <v>相交</v>
      </c>
      <c r="D4" s="5">
        <f>((D6-D7)^2+(E6-E7)^2)^0.5</f>
        <v>3.99644842328786</v>
      </c>
      <c r="E4" s="5"/>
      <c r="G4" s="9"/>
      <c r="H4" s="8" t="s">
        <v>22</v>
      </c>
      <c r="I4" s="23">
        <f>1*1.5+2</f>
        <v>3.5</v>
      </c>
      <c r="L4" s="2" t="s">
        <v>23</v>
      </c>
      <c r="M4" s="2">
        <v>1.5</v>
      </c>
      <c r="N4" s="2">
        <v>8</v>
      </c>
      <c r="O4" s="2">
        <f>3/1</f>
        <v>3</v>
      </c>
      <c r="P4" s="2">
        <f>3/3</f>
        <v>1</v>
      </c>
      <c r="Q4" s="2">
        <v>16</v>
      </c>
      <c r="R4" s="2"/>
      <c r="S4" s="2">
        <v>4.6</v>
      </c>
      <c r="T4" s="2">
        <v>6.2</v>
      </c>
    </row>
    <row r="5" spans="2:18">
      <c r="B5" s="5"/>
      <c r="C5" s="6"/>
      <c r="D5" s="6" t="s">
        <v>24</v>
      </c>
      <c r="E5" s="6" t="s">
        <v>25</v>
      </c>
      <c r="F5" s="2"/>
      <c r="G5" s="3" t="s">
        <v>26</v>
      </c>
      <c r="H5" s="4" t="s">
        <v>27</v>
      </c>
      <c r="I5" s="22">
        <v>0.5</v>
      </c>
      <c r="J5" s="2"/>
      <c r="L5" s="2" t="s">
        <v>28</v>
      </c>
      <c r="M5" s="2">
        <v>1.2</v>
      </c>
      <c r="N5" s="2">
        <v>8</v>
      </c>
      <c r="O5" s="2">
        <f>3/0.75</f>
        <v>4</v>
      </c>
      <c r="P5" s="2">
        <f>3/1</f>
        <v>3</v>
      </c>
      <c r="Q5" s="2">
        <v>20</v>
      </c>
      <c r="R5" s="2"/>
    </row>
    <row r="6" spans="2:18">
      <c r="B6" s="5" t="s">
        <v>29</v>
      </c>
      <c r="C6" s="6" t="s">
        <v>30</v>
      </c>
      <c r="D6" s="6">
        <v>0</v>
      </c>
      <c r="E6" s="6">
        <v>4</v>
      </c>
      <c r="F6" s="2"/>
      <c r="G6" s="10"/>
      <c r="H6" s="1" t="s">
        <v>31</v>
      </c>
      <c r="I6" s="24">
        <v>15</v>
      </c>
      <c r="J6" s="2"/>
      <c r="L6" s="2" t="s">
        <v>32</v>
      </c>
      <c r="M6" s="2">
        <v>1.1</v>
      </c>
      <c r="N6" s="2">
        <v>7</v>
      </c>
      <c r="O6" s="2">
        <f>3/1.25</f>
        <v>2.4</v>
      </c>
      <c r="P6" s="2">
        <f>3/2</f>
        <v>1.5</v>
      </c>
      <c r="Q6" s="2">
        <v>20</v>
      </c>
      <c r="R6" s="2"/>
    </row>
    <row r="7" spans="2:10">
      <c r="B7" s="5" t="s">
        <v>33</v>
      </c>
      <c r="C7" s="6" t="s">
        <v>29</v>
      </c>
      <c r="D7" s="6">
        <f>ROUND(D6*COS(C2/180*PI())-E6*SIN(C2/180*PI()),2)</f>
        <v>-3.46</v>
      </c>
      <c r="E7" s="6">
        <f>ROUND(D6*SIN(C2/180*PI())+E6*COS(C2/180*PI()),2)</f>
        <v>2</v>
      </c>
      <c r="F7" s="2"/>
      <c r="G7" s="10"/>
      <c r="H7" s="1" t="s">
        <v>34</v>
      </c>
      <c r="I7" s="24">
        <f>90-I6</f>
        <v>75</v>
      </c>
      <c r="J7" s="2"/>
    </row>
    <row r="8" spans="2:12">
      <c r="B8" s="5" t="s">
        <v>35</v>
      </c>
      <c r="C8" s="6" t="s">
        <v>36</v>
      </c>
      <c r="D8" s="6">
        <f>ROUND(D6*COS((-1)*C2/180*PI())-E6*SIN((-1)*C2/180*PI()),2)</f>
        <v>3.46</v>
      </c>
      <c r="E8" s="6">
        <f>ROUND(D6*SIN((-1)*C2/180*PI())+E6*COS((-1)*C2/180*PI()),2)</f>
        <v>2</v>
      </c>
      <c r="F8" s="2"/>
      <c r="G8" s="7"/>
      <c r="H8" s="8" t="s">
        <v>37</v>
      </c>
      <c r="I8" s="23">
        <v>90</v>
      </c>
      <c r="J8" s="2"/>
      <c r="L8" s="1"/>
    </row>
    <row r="9" hidden="1" spans="11:23">
      <c r="K9" s="2"/>
      <c r="Q9" s="2" t="s">
        <v>38</v>
      </c>
      <c r="R9" s="2" t="s">
        <v>39</v>
      </c>
      <c r="S9" s="2" t="s">
        <v>40</v>
      </c>
      <c r="T9" s="2" t="s">
        <v>41</v>
      </c>
      <c r="U9" s="2" t="s">
        <v>42</v>
      </c>
      <c r="W9" s="2"/>
    </row>
    <row r="10" hidden="1" spans="2:23">
      <c r="B10" s="2" t="s">
        <v>43</v>
      </c>
      <c r="C10" s="1" t="s">
        <v>44</v>
      </c>
      <c r="D10" s="1" t="s">
        <v>45</v>
      </c>
      <c r="E10" s="1" t="s">
        <v>46</v>
      </c>
      <c r="F10" s="2" t="s">
        <v>47</v>
      </c>
      <c r="H10" s="2"/>
      <c r="I10" s="2"/>
      <c r="K10" s="2"/>
      <c r="O10" s="12"/>
      <c r="Q10" s="2">
        <v>1</v>
      </c>
      <c r="R10" s="2">
        <v>5</v>
      </c>
      <c r="S10" s="2">
        <f>PI()*R10^2-PI()*$S$2^2</f>
        <v>50.2654824574367</v>
      </c>
      <c r="T10" s="2">
        <f>S10/(PI()*$R$2^2)</f>
        <v>64</v>
      </c>
      <c r="U10" s="12">
        <v>0.5</v>
      </c>
      <c r="W10" s="2"/>
    </row>
    <row r="11" hidden="1" spans="1:23">
      <c r="A11" s="1" t="s">
        <v>48</v>
      </c>
      <c r="B11" s="2">
        <v>7</v>
      </c>
      <c r="C11" s="1">
        <f>PI()*(C3+I2)^2</f>
        <v>32.1699087727595</v>
      </c>
      <c r="D11" s="1">
        <f>PI()*(N4^2-S2^2)</f>
        <v>172.787595947439</v>
      </c>
      <c r="E11" s="11">
        <f t="shared" ref="E11:E16" si="0">C11/D11</f>
        <v>0.186181818181818</v>
      </c>
      <c r="F11" s="2">
        <v>6</v>
      </c>
      <c r="G11" s="12"/>
      <c r="H11" s="12"/>
      <c r="I11" s="12"/>
      <c r="K11" s="2"/>
      <c r="O11" s="12"/>
      <c r="Q11" s="2">
        <v>2</v>
      </c>
      <c r="R11" s="2">
        <f t="shared" ref="R11:R18" si="1">R10+0.5</f>
        <v>5.5</v>
      </c>
      <c r="S11" s="2">
        <f>PI()*R11^2-PI()*$S$2^2</f>
        <v>66.7588438887831</v>
      </c>
      <c r="T11" s="2">
        <f>S11/(PI()*$R$2^2)</f>
        <v>85</v>
      </c>
      <c r="U11" s="12">
        <f t="shared" ref="U11:U18" si="2">U10+2%</f>
        <v>0.52</v>
      </c>
      <c r="W11" s="2"/>
    </row>
    <row r="12" hidden="1" spans="1:23">
      <c r="A12" s="1" t="s">
        <v>48</v>
      </c>
      <c r="B12" s="2">
        <v>11</v>
      </c>
      <c r="C12" s="1">
        <f>PI()*(C3+I2)^2</f>
        <v>32.1699087727595</v>
      </c>
      <c r="D12" s="1">
        <f>PI()*(N4^2-S2^2)</f>
        <v>172.787595947439</v>
      </c>
      <c r="E12" s="11">
        <f>C11/D11</f>
        <v>0.186181818181818</v>
      </c>
      <c r="K12" s="2"/>
      <c r="O12" s="12"/>
      <c r="Q12" s="2">
        <v>3</v>
      </c>
      <c r="R12" s="2">
        <f t="shared" si="1"/>
        <v>6</v>
      </c>
      <c r="S12" s="2">
        <f>PI()*R12^2-PI()*$S$2^2</f>
        <v>84.8230016469244</v>
      </c>
      <c r="T12" s="2">
        <f>S12/(PI()*$R$2^2)</f>
        <v>108</v>
      </c>
      <c r="U12" s="12">
        <f t="shared" si="2"/>
        <v>0.54</v>
      </c>
      <c r="W12" s="2"/>
    </row>
    <row r="13" hidden="1" spans="1:23">
      <c r="A13" s="1" t="s">
        <v>48</v>
      </c>
      <c r="B13" s="12">
        <v>0.5</v>
      </c>
      <c r="E13" s="13">
        <f>E12*(1+B13)^F11</f>
        <v>2.12072727272727</v>
      </c>
      <c r="K13" s="2"/>
      <c r="O13" s="12"/>
      <c r="Q13" s="2">
        <v>4</v>
      </c>
      <c r="R13" s="2">
        <f t="shared" si="1"/>
        <v>6.5</v>
      </c>
      <c r="S13" s="2">
        <f>PI()*R13^2-PI()*$S$2^2</f>
        <v>104.457955731861</v>
      </c>
      <c r="T13" s="2">
        <f>S13/(PI()*$R$2^2)</f>
        <v>133</v>
      </c>
      <c r="U13" s="12">
        <f t="shared" si="2"/>
        <v>0.56</v>
      </c>
      <c r="W13" s="2"/>
    </row>
    <row r="14" hidden="1" spans="2:23">
      <c r="B14" s="2" t="s">
        <v>49</v>
      </c>
      <c r="C14" s="1" t="s">
        <v>44</v>
      </c>
      <c r="D14" s="1" t="s">
        <v>45</v>
      </c>
      <c r="E14" s="1" t="s">
        <v>46</v>
      </c>
      <c r="F14" s="2" t="s">
        <v>47</v>
      </c>
      <c r="K14" s="2"/>
      <c r="O14" s="12"/>
      <c r="Q14" s="2">
        <v>5</v>
      </c>
      <c r="R14" s="2">
        <f t="shared" si="1"/>
        <v>7</v>
      </c>
      <c r="S14" s="2">
        <f>PI()*R14^2-PI()*$S$2^2</f>
        <v>125.663706143592</v>
      </c>
      <c r="T14" s="2">
        <f>S14/(PI()*$R$2^2)</f>
        <v>160</v>
      </c>
      <c r="U14" s="12">
        <f t="shared" si="2"/>
        <v>0.58</v>
      </c>
      <c r="W14" s="2"/>
    </row>
    <row r="15" hidden="1" spans="1:23">
      <c r="A15" s="1" t="s">
        <v>50</v>
      </c>
      <c r="B15" s="2">
        <v>7</v>
      </c>
      <c r="C15" s="1">
        <f>PI()*((C3+I4/2)^2+(I3/2)^2)</f>
        <v>60.0829594999048</v>
      </c>
      <c r="D15" s="1">
        <f>PI()*((N3*2)^2-S2^2)</f>
        <v>285.884931476671</v>
      </c>
      <c r="E15" s="11">
        <f t="shared" si="0"/>
        <v>0.210164835164835</v>
      </c>
      <c r="F15" s="2">
        <v>5</v>
      </c>
      <c r="K15" s="2"/>
      <c r="O15" s="12"/>
      <c r="Q15" s="2">
        <v>6</v>
      </c>
      <c r="R15" s="2">
        <f t="shared" si="1"/>
        <v>7.5</v>
      </c>
      <c r="S15" s="2">
        <f>PI()*R15^2-PI()*$S$2^2</f>
        <v>148.440252882118</v>
      </c>
      <c r="T15" s="2">
        <f>S15/(PI()*$R$2^2)</f>
        <v>189</v>
      </c>
      <c r="U15" s="12">
        <f t="shared" si="2"/>
        <v>0.6</v>
      </c>
      <c r="W15" s="2"/>
    </row>
    <row r="16" hidden="1" spans="1:23">
      <c r="A16" s="1" t="s">
        <v>50</v>
      </c>
      <c r="B16" s="2">
        <v>11</v>
      </c>
      <c r="C16" s="1">
        <f>PI()*((C3+I4/2)^2+(I3/2)^2)</f>
        <v>60.0829594999048</v>
      </c>
      <c r="D16" s="1">
        <f>PI()*((N3*2)^2-S2^2)</f>
        <v>285.884931476671</v>
      </c>
      <c r="E16" s="11">
        <f t="shared" si="0"/>
        <v>0.210164835164835</v>
      </c>
      <c r="K16" s="2"/>
      <c r="O16" s="12"/>
      <c r="Q16" s="2">
        <v>7</v>
      </c>
      <c r="R16" s="2">
        <f t="shared" si="1"/>
        <v>8</v>
      </c>
      <c r="S16" s="2">
        <f>PI()*R16^2-PI()*$S$2^2</f>
        <v>172.787595947439</v>
      </c>
      <c r="T16" s="2">
        <f>S16/(PI()*$R$2^2)</f>
        <v>220</v>
      </c>
      <c r="U16" s="12">
        <f t="shared" si="2"/>
        <v>0.62</v>
      </c>
      <c r="W16" s="2"/>
    </row>
    <row r="17" hidden="1" spans="1:23">
      <c r="A17" s="1" t="s">
        <v>50</v>
      </c>
      <c r="B17" s="12">
        <f>B13</f>
        <v>0.5</v>
      </c>
      <c r="E17" s="13">
        <f>E16*(1+B17)^F15</f>
        <v>1.59593921703297</v>
      </c>
      <c r="K17" s="2"/>
      <c r="O17" s="12"/>
      <c r="Q17" s="2">
        <v>8</v>
      </c>
      <c r="R17" s="2">
        <f t="shared" si="1"/>
        <v>8.5</v>
      </c>
      <c r="S17" s="2">
        <f>PI()*R17^2-PI()*$S$2^2</f>
        <v>198.705735339554</v>
      </c>
      <c r="T17" s="2">
        <f>S17/(PI()*$R$2^2)</f>
        <v>253</v>
      </c>
      <c r="U17" s="12">
        <f t="shared" si="2"/>
        <v>0.64</v>
      </c>
      <c r="W17" s="2"/>
    </row>
    <row r="18" hidden="1" spans="2:23">
      <c r="B18" s="2" t="s">
        <v>51</v>
      </c>
      <c r="C18" s="1" t="s">
        <v>52</v>
      </c>
      <c r="D18" s="1" t="s">
        <v>53</v>
      </c>
      <c r="E18" s="1" t="s">
        <v>54</v>
      </c>
      <c r="F18" s="1" t="s">
        <v>55</v>
      </c>
      <c r="G18" s="1" t="s">
        <v>56</v>
      </c>
      <c r="H18" s="1" t="s">
        <v>57</v>
      </c>
      <c r="I18" s="1" t="s">
        <v>58</v>
      </c>
      <c r="K18" s="2"/>
      <c r="O18" s="12"/>
      <c r="Q18" s="2">
        <v>9</v>
      </c>
      <c r="R18" s="2">
        <f t="shared" si="1"/>
        <v>9</v>
      </c>
      <c r="S18" s="2">
        <f>PI()*R18^2-PI()*$S$2^2</f>
        <v>226.194671058465</v>
      </c>
      <c r="T18" s="2">
        <f>S18/(PI()*$R$2^2)</f>
        <v>288</v>
      </c>
      <c r="U18" s="12">
        <f t="shared" si="2"/>
        <v>0.66</v>
      </c>
      <c r="W18" s="2"/>
    </row>
    <row r="19" hidden="1" spans="1:23">
      <c r="A19" s="1" t="s">
        <v>59</v>
      </c>
      <c r="B19" s="2">
        <v>7</v>
      </c>
      <c r="C19" s="1">
        <f>(2*C3^2/(1-COS(I6/180*PI())))^0.5</f>
        <v>15.3225951510808</v>
      </c>
      <c r="D19" s="1">
        <f>COS(I6/2/180*PI())*C19</f>
        <v>15.1915082254503</v>
      </c>
      <c r="E19" s="1">
        <f>2*D19*I5/C19</f>
        <v>0.99144486137381</v>
      </c>
      <c r="F19" s="13">
        <f>($S$2-E19)*TAN($I$6/2/180*PI())*($S$2-E19)</f>
        <v>0.531124847517513</v>
      </c>
      <c r="G19" s="1">
        <f>C3*D19</f>
        <v>30.3830164509006</v>
      </c>
      <c r="H19" s="1">
        <f>($N$2-E19)*TAN($I$6/2/180*PI())*($N$2-E19)</f>
        <v>4.75301521325293</v>
      </c>
      <c r="I19" s="1">
        <f>_xlfn.IFS((D19+E19)&lt;S$2,0,AND(E19&lt;S$2,(D19+E19)&lt;N$2),H19-F19,AND(E19&lt;S$2,(D19+E19)&gt;=N$2),G19-F19,AND(E19&lt;N$2,(D19+E19)&lt;N$2),G19,AND(E19&lt;N$2,(D19+E19)&gt;=N$2),H19,E19&gt;=7,0)</f>
        <v>29.8518916033831</v>
      </c>
      <c r="K19" s="2"/>
      <c r="O19" s="12"/>
      <c r="R19" s="2"/>
      <c r="S19" s="2"/>
      <c r="T19" s="2"/>
      <c r="U19" s="2"/>
      <c r="V19" s="12"/>
      <c r="W19" s="2"/>
    </row>
    <row r="20" hidden="1" spans="1:23">
      <c r="A20" s="1" t="s">
        <v>59</v>
      </c>
      <c r="B20" s="2">
        <v>11</v>
      </c>
      <c r="C20" s="1" t="s">
        <v>52</v>
      </c>
      <c r="D20" s="1" t="s">
        <v>53</v>
      </c>
      <c r="E20" s="1" t="s">
        <v>54</v>
      </c>
      <c r="F20" s="1" t="s">
        <v>55</v>
      </c>
      <c r="G20" s="1" t="s">
        <v>56</v>
      </c>
      <c r="H20" s="1" t="s">
        <v>57</v>
      </c>
      <c r="I20" s="1" t="s">
        <v>60</v>
      </c>
      <c r="K20" s="2"/>
      <c r="O20" s="12"/>
      <c r="Q20" s="1" t="s">
        <v>61</v>
      </c>
      <c r="R20" s="2" t="s">
        <v>62</v>
      </c>
      <c r="S20" s="2" t="s">
        <v>40</v>
      </c>
      <c r="T20" s="2" t="s">
        <v>42</v>
      </c>
      <c r="U20" s="2" t="s">
        <v>63</v>
      </c>
      <c r="V20" s="12"/>
      <c r="W20" s="2"/>
    </row>
    <row r="21" hidden="1" spans="1:23">
      <c r="A21" s="1" t="s">
        <v>59</v>
      </c>
      <c r="B21" s="12">
        <f>B13</f>
        <v>0.5</v>
      </c>
      <c r="C21" s="1">
        <f>(2*C3^2/(1-COS($I$7/180*PI())))^0.5</f>
        <v>3.28535926340916</v>
      </c>
      <c r="D21" s="1">
        <f>COS($I$7/2/180*PI())*C21</f>
        <v>2.60645074568241</v>
      </c>
      <c r="E21" s="1">
        <f>2*D21*I5/C21</f>
        <v>0.793353340291235</v>
      </c>
      <c r="F21" s="13">
        <f>(S2-E21)*TAN(I7/2/180*PI())*(S2-E21)</f>
        <v>3.73633723090285</v>
      </c>
      <c r="G21" s="1">
        <f>C3*D21</f>
        <v>5.21290149136482</v>
      </c>
      <c r="H21" s="1">
        <f>(N2-E21)*TAN(I7/2/180*PI())*(N2-E21)</f>
        <v>29.5593253179915</v>
      </c>
      <c r="I21" s="1">
        <f>_xlfn.IFS((D21+E21)&lt;S$2,0,AND(E21&lt;S$2,(D21+E21)&lt;N$2),H21-F21,AND(E21&lt;S$2,(D21+E21)&gt;=N$2),G21-F21,AND(E21&lt;N$2,(D21+E21)&lt;N$2),G21,AND(E21&lt;N$2,(D21+E21)&gt;=N$2),H21,E21&gt;=7,0)</f>
        <v>25.8229880870886</v>
      </c>
      <c r="K21" s="2"/>
      <c r="O21" s="12"/>
      <c r="R21" s="2">
        <v>1.2</v>
      </c>
      <c r="S21" s="2">
        <f>PI()*R21^2</f>
        <v>4.5238934211693</v>
      </c>
      <c r="T21" s="12">
        <v>0.88</v>
      </c>
      <c r="U21" s="2">
        <f>((R21+0.5)/$R$2)^2*T21</f>
        <v>10.1728</v>
      </c>
      <c r="V21" s="12"/>
      <c r="W21" s="2"/>
    </row>
    <row r="22" hidden="1" spans="2:23">
      <c r="B22" s="2"/>
      <c r="C22" s="1" t="s">
        <v>52</v>
      </c>
      <c r="D22" s="1" t="s">
        <v>53</v>
      </c>
      <c r="E22" s="1" t="s">
        <v>54</v>
      </c>
      <c r="F22" s="1" t="s">
        <v>55</v>
      </c>
      <c r="G22" s="1" t="s">
        <v>56</v>
      </c>
      <c r="H22" s="1" t="s">
        <v>57</v>
      </c>
      <c r="I22" s="1" t="s">
        <v>64</v>
      </c>
      <c r="K22" s="2"/>
      <c r="O22" s="12"/>
      <c r="R22" s="2"/>
      <c r="S22" s="2"/>
      <c r="T22" s="2"/>
      <c r="U22" s="2"/>
      <c r="V22" s="12"/>
      <c r="W22" s="2"/>
    </row>
    <row r="23" hidden="1" spans="2:23">
      <c r="B23" s="2"/>
      <c r="C23" s="1">
        <f>(2*C3^2/(1-COS($I$8/180*PI())))^0.5</f>
        <v>2.82842712474619</v>
      </c>
      <c r="D23" s="1">
        <f>COS($I$8/2/180*PI())*C23</f>
        <v>2</v>
      </c>
      <c r="E23" s="1">
        <f>2*D23*$I$5/C23</f>
        <v>0.707106781186548</v>
      </c>
      <c r="F23" s="13">
        <f>($S$2-E23)*TAN($I$8/2/180*PI())*($S$2-E23)</f>
        <v>5.25735931288071</v>
      </c>
      <c r="G23" s="1">
        <f>C3*D23</f>
        <v>4</v>
      </c>
      <c r="H23" s="1">
        <f>($N$2-E23)*TAN($I$8/2/180*PI())*($N$2-E23)</f>
        <v>39.6005050633883</v>
      </c>
      <c r="I23" s="1">
        <f>_xlfn.IFS((D23+E23)&lt;S$2,0,AND(E23&lt;S$2,(D23+E23)&lt;N$2),H23-F23,AND(E23&lt;S$2,(D23+E23)&gt;=N$2),G23-F23,AND(E23&lt;N$2,(D23+E23)&lt;N$2),G23,AND(E23&lt;N$2,(D23+E23)&gt;=N$2),H23,E23&gt;=7,0)</f>
        <v>0</v>
      </c>
      <c r="K23" s="2"/>
      <c r="O23" s="12"/>
      <c r="Q23" s="1" t="s">
        <v>65</v>
      </c>
      <c r="R23" s="2" t="s">
        <v>66</v>
      </c>
      <c r="S23" s="2" t="s">
        <v>40</v>
      </c>
      <c r="T23" s="2" t="s">
        <v>42</v>
      </c>
      <c r="U23" s="2" t="s">
        <v>63</v>
      </c>
      <c r="V23" s="12"/>
      <c r="W23" s="2"/>
    </row>
    <row r="24" hidden="1" spans="2:23">
      <c r="B24" s="2"/>
      <c r="C24" s="1" t="s">
        <v>67</v>
      </c>
      <c r="D24" s="1" t="s">
        <v>68</v>
      </c>
      <c r="E24" s="1" t="s">
        <v>69</v>
      </c>
      <c r="F24" s="14" t="s">
        <v>70</v>
      </c>
      <c r="G24" s="15" t="s">
        <v>71</v>
      </c>
      <c r="H24" s="2" t="s">
        <v>47</v>
      </c>
      <c r="I24" s="2" t="s">
        <v>72</v>
      </c>
      <c r="K24" s="2"/>
      <c r="O24" s="12"/>
      <c r="R24" s="2" t="s">
        <v>73</v>
      </c>
      <c r="S24" s="2">
        <f>4*2</f>
        <v>8</v>
      </c>
      <c r="T24" s="12">
        <v>0.88</v>
      </c>
      <c r="U24" s="2">
        <f>S24/(PI()*$R$2^2)*T24</f>
        <v>8.96360639493555</v>
      </c>
      <c r="V24" s="27">
        <f>U24/U21</f>
        <v>0.881134633034715</v>
      </c>
      <c r="W24" s="2"/>
    </row>
    <row r="25" hidden="1" spans="2:22">
      <c r="B25" s="2"/>
      <c r="C25" s="1">
        <f>($I$5+C3*2)*($N$2-$S$2)</f>
        <v>18</v>
      </c>
      <c r="D25" s="1">
        <f>PI()*($N$2^2-$S$2^2)</f>
        <v>125.663706143592</v>
      </c>
      <c r="E25" s="11">
        <f t="shared" ref="E25:E28" si="3">C25/D25</f>
        <v>0.143239448782706</v>
      </c>
      <c r="F25" s="16">
        <f>SUM(I19,I21,I23,C25*3)/D25</f>
        <v>0.872764961787375</v>
      </c>
      <c r="G25" s="16">
        <f>E25*3</f>
        <v>0.429718346348117</v>
      </c>
      <c r="H25" s="2">
        <v>6</v>
      </c>
      <c r="I25" s="1">
        <f>E25*(1+B21)^H25</f>
        <v>1.63158684629051</v>
      </c>
      <c r="R25" s="2"/>
      <c r="S25" s="2"/>
      <c r="T25" s="12"/>
      <c r="U25" s="2"/>
      <c r="V25" s="27"/>
    </row>
    <row r="26" hidden="1" spans="2:22">
      <c r="B26" s="2" t="s">
        <v>43</v>
      </c>
      <c r="C26" s="1" t="s">
        <v>44</v>
      </c>
      <c r="D26" s="1" t="s">
        <v>45</v>
      </c>
      <c r="E26" s="1" t="s">
        <v>46</v>
      </c>
      <c r="F26" s="2" t="s">
        <v>47</v>
      </c>
      <c r="K26" s="2"/>
      <c r="Q26" s="1" t="s">
        <v>74</v>
      </c>
      <c r="R26" s="2" t="s">
        <v>66</v>
      </c>
      <c r="S26" s="2" t="s">
        <v>40</v>
      </c>
      <c r="T26" s="2" t="s">
        <v>42</v>
      </c>
      <c r="U26" s="2" t="s">
        <v>63</v>
      </c>
      <c r="V26" s="2"/>
    </row>
    <row r="27" hidden="1" spans="1:22">
      <c r="A27" s="1" t="s">
        <v>75</v>
      </c>
      <c r="B27" s="2">
        <v>0.5</v>
      </c>
      <c r="C27" s="1">
        <f>PI()*(B27+I2)^2</f>
        <v>9.0792027688745</v>
      </c>
      <c r="D27" s="1">
        <f>PI()*(N4^2-S2^2)</f>
        <v>172.787595947439</v>
      </c>
      <c r="E27" s="11">
        <f t="shared" si="3"/>
        <v>0.0525454545454545</v>
      </c>
      <c r="F27" s="2">
        <v>4</v>
      </c>
      <c r="K27" s="2"/>
      <c r="P27" s="12"/>
      <c r="Q27" s="2"/>
      <c r="R27" s="2" t="s">
        <v>76</v>
      </c>
      <c r="S27" s="2">
        <f>6.5*1.5</f>
        <v>9.75</v>
      </c>
      <c r="T27" s="12">
        <v>0.85</v>
      </c>
      <c r="U27" s="2">
        <f>S27/(PI()*$R$2^2)*T27</f>
        <v>10.5519727269927</v>
      </c>
      <c r="V27" s="2">
        <f>U27/U21</f>
        <v>1.0372731919425</v>
      </c>
    </row>
    <row r="28" hidden="1" spans="1:19">
      <c r="A28" s="1" t="s">
        <v>75</v>
      </c>
      <c r="B28" s="2">
        <v>0.9</v>
      </c>
      <c r="C28" s="1">
        <f>PI()*(B28+I2)^2</f>
        <v>13.854423602331</v>
      </c>
      <c r="D28" s="1">
        <f>PI()*(N4^2-S2^2)</f>
        <v>172.787595947439</v>
      </c>
      <c r="E28" s="11">
        <f t="shared" si="3"/>
        <v>0.0801818181818182</v>
      </c>
      <c r="K28" s="2"/>
      <c r="P28" s="12"/>
      <c r="Q28" s="2"/>
      <c r="R28" s="2"/>
      <c r="S28" s="2"/>
    </row>
    <row r="29" hidden="1" spans="1:19">
      <c r="A29" s="1" t="s">
        <v>75</v>
      </c>
      <c r="B29" s="12">
        <f>B13</f>
        <v>0.5</v>
      </c>
      <c r="E29" s="13">
        <f>(1-(1-E28)^((1+B29)*0.5))*3</f>
        <v>0.18228056726074</v>
      </c>
      <c r="K29" s="2"/>
      <c r="P29" s="12"/>
      <c r="Q29" s="2"/>
      <c r="R29" s="2"/>
      <c r="S29" s="2"/>
    </row>
    <row r="30" hidden="1" spans="2:17">
      <c r="B30" s="2" t="s">
        <v>49</v>
      </c>
      <c r="C30" s="1" t="s">
        <v>44</v>
      </c>
      <c r="D30" s="1" t="s">
        <v>45</v>
      </c>
      <c r="E30" s="1" t="s">
        <v>46</v>
      </c>
      <c r="F30" s="2" t="s">
        <v>47</v>
      </c>
      <c r="K30" s="2"/>
      <c r="P30" s="12"/>
      <c r="Q30" s="2"/>
    </row>
    <row r="31" hidden="1" spans="1:17">
      <c r="A31" s="1" t="s">
        <v>77</v>
      </c>
      <c r="B31" s="2">
        <f t="shared" ref="B31:B33" si="4">B27</f>
        <v>0.5</v>
      </c>
      <c r="C31" s="1">
        <f>PI()*((B31+I4/2)^2+(I3/2)^2)</f>
        <v>31.8086256175967</v>
      </c>
      <c r="D31" s="1">
        <f>PI()*((N3*2)^2-S2^2)</f>
        <v>285.884931476671</v>
      </c>
      <c r="E31" s="11">
        <f>C31/D31</f>
        <v>0.111263736263736</v>
      </c>
      <c r="F31" s="2">
        <v>3</v>
      </c>
      <c r="K31" s="2"/>
      <c r="P31" s="12"/>
      <c r="Q31" s="2"/>
    </row>
    <row r="32" hidden="1" spans="1:17">
      <c r="A32" s="1" t="s">
        <v>77</v>
      </c>
      <c r="B32" s="2">
        <f t="shared" si="4"/>
        <v>0.9</v>
      </c>
      <c r="C32" s="1">
        <f>PI()*((B32+I4/2)^2+(I3/2)^2)</f>
        <v>37.9661472186326</v>
      </c>
      <c r="D32" s="1">
        <f>PI()*((N3*2)^2-S2^2)</f>
        <v>285.884931476671</v>
      </c>
      <c r="E32" s="11">
        <f>C32/D32</f>
        <v>0.132802197802198</v>
      </c>
      <c r="K32" s="2"/>
      <c r="P32" s="12"/>
      <c r="Q32" s="2"/>
    </row>
    <row r="33" hidden="1" spans="1:17">
      <c r="A33" s="1" t="s">
        <v>77</v>
      </c>
      <c r="B33" s="12">
        <f t="shared" si="4"/>
        <v>0.5</v>
      </c>
      <c r="E33" s="13">
        <f>(1-(1-E32)^((1+B33)*0.5))*3</f>
        <v>0.304062118848676</v>
      </c>
      <c r="K33" s="2"/>
      <c r="P33" s="12"/>
      <c r="Q33" s="2"/>
    </row>
    <row r="34" hidden="1" spans="2:17">
      <c r="B34" s="2" t="s">
        <v>78</v>
      </c>
      <c r="C34" s="1" t="s">
        <v>52</v>
      </c>
      <c r="D34" s="1" t="s">
        <v>53</v>
      </c>
      <c r="E34" s="1" t="s">
        <v>54</v>
      </c>
      <c r="F34" s="1" t="s">
        <v>55</v>
      </c>
      <c r="G34" s="1" t="s">
        <v>56</v>
      </c>
      <c r="H34" s="1" t="s">
        <v>57</v>
      </c>
      <c r="I34" s="1" t="s">
        <v>58</v>
      </c>
      <c r="K34" s="2"/>
      <c r="P34" s="12"/>
      <c r="Q34" s="2"/>
    </row>
    <row r="35" hidden="1" spans="1:17">
      <c r="A35" s="1" t="s">
        <v>79</v>
      </c>
      <c r="B35" s="2">
        <f t="shared" ref="B35:B37" si="5">B31</f>
        <v>0.5</v>
      </c>
      <c r="C35" s="1">
        <f>(2*B35^2/(1-COS($I$6/180*PI())))^0.5</f>
        <v>3.8306487877702</v>
      </c>
      <c r="D35" s="1">
        <f>COS($I$6/2/180*PI())*C35</f>
        <v>3.79787705636258</v>
      </c>
      <c r="E35" s="1">
        <f>2*D35*$I$5/C35</f>
        <v>0.99144486137381</v>
      </c>
      <c r="F35" s="13">
        <f>($S$2-E35)*TAN($I$6/2/180*PI())*($S$2-E35)</f>
        <v>0.531124847517513</v>
      </c>
      <c r="G35" s="1">
        <f>B35*D35</f>
        <v>1.89893852818129</v>
      </c>
      <c r="H35" s="1">
        <f>($N$2-E35)*TAN($I$6/2/180*PI())*($N$2-E35)</f>
        <v>4.75301521325293</v>
      </c>
      <c r="I35" s="1">
        <f>_xlfn.IFS((D35+E35)&lt;S$2,0,AND(E35&lt;S$2,(D35+E35)&lt;N$2),H35-F35,AND(E35&lt;S$2,(D35+E35)&gt;=N$2),G35-F35,AND(E35&lt;N$2,(D35+E35)&lt;N$2),G35,AND(E35&lt;N$2,(D35+E35)&gt;=N$2),H35,E35&gt;=7,0)</f>
        <v>4.22189036573542</v>
      </c>
      <c r="K35" s="2"/>
      <c r="P35" s="12"/>
      <c r="Q35" s="2"/>
    </row>
    <row r="36" hidden="1" spans="1:17">
      <c r="A36" s="1" t="s">
        <v>79</v>
      </c>
      <c r="B36" s="2">
        <f t="shared" si="5"/>
        <v>0.9</v>
      </c>
      <c r="C36" s="1" t="s">
        <v>52</v>
      </c>
      <c r="D36" s="1" t="s">
        <v>53</v>
      </c>
      <c r="E36" s="1" t="s">
        <v>54</v>
      </c>
      <c r="F36" s="1" t="s">
        <v>55</v>
      </c>
      <c r="G36" s="1" t="s">
        <v>56</v>
      </c>
      <c r="H36" s="1" t="s">
        <v>57</v>
      </c>
      <c r="I36" s="1" t="s">
        <v>60</v>
      </c>
      <c r="K36" s="2"/>
      <c r="P36" s="12"/>
      <c r="Q36" s="2"/>
    </row>
    <row r="37" hidden="1" spans="1:17">
      <c r="A37" s="1" t="s">
        <v>79</v>
      </c>
      <c r="B37" s="12">
        <f t="shared" si="5"/>
        <v>0.5</v>
      </c>
      <c r="C37" s="1">
        <f>(2*B35^2/(1-COS($I$7/180*PI())))^0.5</f>
        <v>0.821339815852291</v>
      </c>
      <c r="D37" s="1">
        <f>COS($I$7/2/180*PI())*C37</f>
        <v>0.651612686420603</v>
      </c>
      <c r="E37" s="1">
        <f>2*D37*$I$5/C37</f>
        <v>0.793353340291235</v>
      </c>
      <c r="F37" s="13">
        <f>($S$2-E37)*TAN($I$6/2/180*PI())*($S$2-E37)</f>
        <v>0.641054121623861</v>
      </c>
      <c r="G37" s="1">
        <f>B35*D37</f>
        <v>0.325806343210301</v>
      </c>
      <c r="H37" s="1">
        <f>($N$2-E37)*TAN($I$6/2/180*PI())*($N$2-E37)</f>
        <v>5.07157843537054</v>
      </c>
      <c r="I37" s="1">
        <f>_xlfn.IFS((D37+E37)&lt;S$2,0,AND(E37&lt;S$2,(D37+E37)&lt;N$2),H37-F37,AND(E37&lt;S$2,(D37+E37)&gt;=N$2),G37-F37,AND(E37&lt;N$2,(D37+E37)&lt;N$2),G37,AND(E37&lt;N$2,(D37+E37)&gt;=N$2),H37,E37&gt;=7,0)</f>
        <v>0</v>
      </c>
      <c r="K37" s="2"/>
      <c r="P37" s="12"/>
      <c r="Q37" s="2"/>
    </row>
    <row r="38" hidden="1" spans="2:17">
      <c r="B38" s="2"/>
      <c r="C38" s="1" t="s">
        <v>52</v>
      </c>
      <c r="D38" s="1" t="s">
        <v>53</v>
      </c>
      <c r="E38" s="1" t="s">
        <v>54</v>
      </c>
      <c r="F38" s="1" t="s">
        <v>55</v>
      </c>
      <c r="G38" s="1" t="s">
        <v>56</v>
      </c>
      <c r="H38" s="1" t="s">
        <v>57</v>
      </c>
      <c r="I38" s="1" t="s">
        <v>64</v>
      </c>
      <c r="K38" s="2"/>
      <c r="P38" s="12"/>
      <c r="Q38" s="2"/>
    </row>
    <row r="39" hidden="1" spans="2:17">
      <c r="B39" s="2"/>
      <c r="C39" s="1">
        <f>(2*B35^2/(1-COS($I$8/180*PI())))^0.5</f>
        <v>0.707106781186548</v>
      </c>
      <c r="D39" s="1">
        <f>COS($I$8/2/180*PI())*C39</f>
        <v>0.5</v>
      </c>
      <c r="E39" s="1">
        <f>2*D39*$I$5/C39</f>
        <v>0.707106781186548</v>
      </c>
      <c r="F39" s="13">
        <f>($S$2-E39)*TAN($I$8/2/180*PI())*($S$2-E39)</f>
        <v>5.25735931288071</v>
      </c>
      <c r="G39" s="1">
        <f>B35*D39</f>
        <v>0.25</v>
      </c>
      <c r="H39" s="1">
        <f>($N$2-E39)*TAN($I$8/2/180*PI())*($N$2-E39)</f>
        <v>39.6005050633883</v>
      </c>
      <c r="I39" s="1">
        <f>_xlfn.IFS((D39+E39)&lt;S$2,0,AND(E39&lt;S$2,(D39+E39)&lt;N$2),H39-F39,AND(E39&lt;S$2,(D39+E39)&gt;=N$2),G39-F39,AND(E39&lt;N$2,(D39+E39)&lt;N$2),G39,AND(E39&lt;N$2,(D39+E39)&gt;=N$2),H39,E39&gt;=7,0)</f>
        <v>0</v>
      </c>
      <c r="K39" s="2"/>
      <c r="P39" s="12"/>
      <c r="Q39" s="2"/>
    </row>
    <row r="40" hidden="1" spans="2:17">
      <c r="B40" s="2"/>
      <c r="C40" s="1" t="s">
        <v>67</v>
      </c>
      <c r="D40" s="1" t="s">
        <v>68</v>
      </c>
      <c r="E40" s="1" t="s">
        <v>69</v>
      </c>
      <c r="F40" s="17" t="s">
        <v>80</v>
      </c>
      <c r="G40" s="5" t="s">
        <v>81</v>
      </c>
      <c r="K40" s="2"/>
      <c r="P40" s="12"/>
      <c r="Q40" s="2"/>
    </row>
    <row r="41" hidden="1" spans="3:17">
      <c r="C41" s="1">
        <f>($I$5+B35*2)*($N$2-$S$2)</f>
        <v>6</v>
      </c>
      <c r="D41" s="1">
        <f>PI()*($N$5^2-$S$2^2)</f>
        <v>172.787595947439</v>
      </c>
      <c r="E41" s="11">
        <f>C41/D41</f>
        <v>0.0347247148564135</v>
      </c>
      <c r="F41" s="18">
        <f>SUM(I35,I37,I39,C41*6)/D41</f>
        <v>0.232782278989348</v>
      </c>
      <c r="G41" s="17">
        <f>9*F41</f>
        <v>2.09504051090413</v>
      </c>
      <c r="K41" s="2"/>
      <c r="P41" s="12"/>
      <c r="Q41" s="2"/>
    </row>
    <row r="42" hidden="1" spans="3:18">
      <c r="C42" s="1" t="s">
        <v>52</v>
      </c>
      <c r="D42" s="1" t="s">
        <v>53</v>
      </c>
      <c r="E42" s="1" t="s">
        <v>54</v>
      </c>
      <c r="F42" s="1" t="s">
        <v>55</v>
      </c>
      <c r="G42" s="1" t="s">
        <v>56</v>
      </c>
      <c r="H42" s="1" t="s">
        <v>57</v>
      </c>
      <c r="I42" s="1" t="s">
        <v>58</v>
      </c>
      <c r="M42" s="1"/>
      <c r="Q42" s="2"/>
      <c r="R42" s="2"/>
    </row>
    <row r="43" hidden="1" spans="3:17">
      <c r="C43" s="1">
        <f>(2*B36^2/(1-COS($I$6/180*PI())))^0.5</f>
        <v>6.89516781798635</v>
      </c>
      <c r="D43" s="1">
        <f>COS($I$6/2/180*PI())*C43</f>
        <v>6.83617870145264</v>
      </c>
      <c r="E43" s="1">
        <f>2*D43*$I$5/C43</f>
        <v>0.99144486137381</v>
      </c>
      <c r="F43" s="13">
        <f>($S$2-E43)*TAN($I$6/2/180*PI())*($S$2-E43)</f>
        <v>0.531124847517513</v>
      </c>
      <c r="G43" s="1">
        <f>B36*D43</f>
        <v>6.15256083130737</v>
      </c>
      <c r="H43" s="1">
        <f>($N$2-E43)*TAN($I$6/2/180*PI())*($N$2-E43)</f>
        <v>4.75301521325293</v>
      </c>
      <c r="I43" s="1">
        <f>_xlfn.IFS((D43+E43)&lt;S$2,0,AND(E43&lt;S$2,(D43+E43)&lt;N$2),H43-F43,AND(E43&lt;S$2,(D43+E43)&gt;=N$2),G43-F43,AND(E43&lt;N$2,(D43+E43)&lt;N$2),G43,AND(E43&lt;N$2,(D43+E43)&gt;=N$2),H43,E43&gt;=7,0)</f>
        <v>5.62143598378986</v>
      </c>
      <c r="M43" s="1"/>
      <c r="N43" s="1"/>
      <c r="O43" s="1"/>
      <c r="Q43" s="2"/>
    </row>
    <row r="44" hidden="1" spans="3:17">
      <c r="C44" s="1" t="s">
        <v>52</v>
      </c>
      <c r="D44" s="1" t="s">
        <v>53</v>
      </c>
      <c r="E44" s="1" t="s">
        <v>54</v>
      </c>
      <c r="F44" s="1" t="s">
        <v>55</v>
      </c>
      <c r="G44" s="1" t="s">
        <v>56</v>
      </c>
      <c r="H44" s="1" t="s">
        <v>57</v>
      </c>
      <c r="I44" s="1" t="s">
        <v>60</v>
      </c>
      <c r="M44" s="1"/>
      <c r="N44" s="1"/>
      <c r="O44" s="1"/>
      <c r="Q44" s="2"/>
    </row>
    <row r="45" hidden="1" spans="3:17">
      <c r="C45" s="1">
        <f>(2*B36^2/(1-COS($I$7/180*PI())))^0.5</f>
        <v>1.47841166853412</v>
      </c>
      <c r="D45" s="1">
        <f>COS($I$7/2/180*PI())*C45</f>
        <v>1.17290283555709</v>
      </c>
      <c r="E45" s="1">
        <f>2*D45*$I$5/C45</f>
        <v>0.793353340291235</v>
      </c>
      <c r="F45" s="13">
        <f>($S$2-E45)*TAN($I$6/2/180*PI())*($S$2-E45)</f>
        <v>0.641054121623861</v>
      </c>
      <c r="G45" s="1">
        <f>B36*D45</f>
        <v>1.05561255200138</v>
      </c>
      <c r="H45" s="1">
        <f>($N$2-E45)*TAN($I$6/2/180*PI())*($N$2-E45)</f>
        <v>5.07157843537054</v>
      </c>
      <c r="I45" s="1">
        <f>_xlfn.IFS((D45+E45)&lt;S$2,0,AND(E45&lt;S$2,(D45+E45)&lt;N$2),H45-F45,AND(E45&lt;S$2,(D45+E45)&gt;=N$2),G45-F45,AND(E45&lt;N$2,(D45+E45)&lt;N$2),G45,AND(E45&lt;N$2,(D45+E45)&gt;=N$2),H45,E45&gt;=7,0)</f>
        <v>0</v>
      </c>
      <c r="M45" s="1"/>
      <c r="N45" s="1"/>
      <c r="O45" s="1"/>
      <c r="Q45" s="2"/>
    </row>
    <row r="46" hidden="1" spans="3:17">
      <c r="C46" s="1" t="s">
        <v>52</v>
      </c>
      <c r="D46" s="1" t="s">
        <v>53</v>
      </c>
      <c r="E46" s="1" t="s">
        <v>54</v>
      </c>
      <c r="F46" s="1" t="s">
        <v>55</v>
      </c>
      <c r="G46" s="1" t="s">
        <v>56</v>
      </c>
      <c r="H46" s="1" t="s">
        <v>57</v>
      </c>
      <c r="I46" s="1" t="s">
        <v>64</v>
      </c>
      <c r="M46" s="1"/>
      <c r="N46" s="1"/>
      <c r="O46" s="1"/>
      <c r="Q46" s="2"/>
    </row>
    <row r="47" hidden="1" spans="3:17">
      <c r="C47" s="1">
        <f>(2*B36^2/(1-COS($I$8/180*PI())))^0.5</f>
        <v>1.27279220613579</v>
      </c>
      <c r="D47" s="1">
        <f>COS($I$8/2/180*PI())*C47</f>
        <v>0.9</v>
      </c>
      <c r="E47" s="1">
        <f>2*D47*$I$5/C47</f>
        <v>0.707106781186548</v>
      </c>
      <c r="F47" s="13">
        <f>($S$2-E47)*TAN($I$8/2/180*PI())*($S$2-E47)</f>
        <v>5.25735931288071</v>
      </c>
      <c r="G47" s="1">
        <f>B36*D47</f>
        <v>0.81</v>
      </c>
      <c r="H47" s="1">
        <f>($N$2-E47)*TAN($I$8/2/180*PI())*($N$2-E47)</f>
        <v>39.6005050633883</v>
      </c>
      <c r="I47" s="1">
        <f>_xlfn.IFS((D47+E47)&lt;S$2,0,AND(E47&lt;S$2,(D47+E47)&lt;N$2),H47-F47,AND(E47&lt;S$2,(D47+E47)&gt;=N$2),G47-F47,AND(E47&lt;N$2,(D47+E47)&lt;N$2),G47,AND(E47&lt;N$2,(D47+E47)&gt;=N$2),H47,E47&gt;=7,0)</f>
        <v>0</v>
      </c>
      <c r="M47" s="1"/>
      <c r="N47" s="1"/>
      <c r="O47" s="1"/>
      <c r="Q47" s="2"/>
    </row>
    <row r="48" hidden="1" spans="3:16">
      <c r="C48" s="1" t="s">
        <v>67</v>
      </c>
      <c r="D48" s="1" t="s">
        <v>68</v>
      </c>
      <c r="E48" s="1" t="s">
        <v>69</v>
      </c>
      <c r="F48" s="14" t="s">
        <v>80</v>
      </c>
      <c r="G48" s="15" t="s">
        <v>82</v>
      </c>
      <c r="H48" s="2" t="s">
        <v>47</v>
      </c>
      <c r="I48" s="2" t="s">
        <v>72</v>
      </c>
      <c r="M48" s="1"/>
      <c r="N48" s="1"/>
      <c r="O48" s="1"/>
      <c r="P48" s="1"/>
    </row>
    <row r="49" hidden="1" spans="3:18">
      <c r="C49" s="1">
        <f>($I$5+B36*2)*($N$2-$S$2)</f>
        <v>9.2</v>
      </c>
      <c r="D49" s="1">
        <f>PI()*($N$5^2-$S$2^2)</f>
        <v>172.787595947439</v>
      </c>
      <c r="E49" s="11">
        <f>C49/D49</f>
        <v>0.0532445627798341</v>
      </c>
      <c r="F49" s="16">
        <f>SUM(I43,I45,I47,C49*6)/D49</f>
        <v>0.352001170282452</v>
      </c>
      <c r="G49" s="16">
        <f>E49*3</f>
        <v>0.159733688339502</v>
      </c>
      <c r="H49" s="2">
        <v>6</v>
      </c>
      <c r="I49" s="13">
        <f>(1-(1-E49)^((1+B37)*0.5))*3</f>
        <v>0.120615843356463</v>
      </c>
      <c r="M49" s="1"/>
      <c r="N49" s="26"/>
      <c r="O49" s="26"/>
      <c r="P49" s="26"/>
      <c r="Q49" s="26"/>
      <c r="R49" s="26"/>
    </row>
    <row r="50" hidden="1" spans="11:18">
      <c r="K50" s="1">
        <f>K56/K65</f>
        <v>0.557407407407407</v>
      </c>
      <c r="L50" s="2">
        <f>L56/L65</f>
        <v>0.798057465388839</v>
      </c>
      <c r="M50" s="1"/>
      <c r="Q50" s="2"/>
      <c r="R50" s="2"/>
    </row>
    <row r="51" hidden="1" spans="1:18">
      <c r="A51" s="1" t="s">
        <v>83</v>
      </c>
      <c r="B51" s="1" t="s">
        <v>84</v>
      </c>
      <c r="C51" s="1" t="s">
        <v>85</v>
      </c>
      <c r="D51" s="1" t="s">
        <v>86</v>
      </c>
      <c r="E51" s="1" t="s">
        <v>87</v>
      </c>
      <c r="F51" s="2" t="s">
        <v>88</v>
      </c>
      <c r="G51" s="2" t="s">
        <v>89</v>
      </c>
      <c r="H51" s="1" t="s">
        <v>90</v>
      </c>
      <c r="I51" s="1" t="s">
        <v>91</v>
      </c>
      <c r="J51" s="1" t="s">
        <v>92</v>
      </c>
      <c r="K51" s="1" t="s">
        <v>93</v>
      </c>
      <c r="L51" s="1" t="s">
        <v>94</v>
      </c>
      <c r="M51" s="1"/>
      <c r="Q51" s="2"/>
      <c r="R51" s="2"/>
    </row>
    <row r="52" hidden="1" spans="1:17">
      <c r="A52" s="1" t="s">
        <v>95</v>
      </c>
      <c r="B52" s="1">
        <v>3</v>
      </c>
      <c r="C52" s="1">
        <v>13</v>
      </c>
      <c r="D52" s="1">
        <f>B52*F52/$M$4*(ROUNDDOWN($Q$4/$M$4,0)/(ROUNDDOWN($Q$4/$M$4,0)+1))</f>
        <v>0</v>
      </c>
      <c r="E52" s="1">
        <f>C52*G52/$M$4*(1/(ROUNDDOWN($Q$4/$M$4,0)+1))</f>
        <v>0</v>
      </c>
      <c r="F52" s="19">
        <v>0</v>
      </c>
      <c r="G52" s="19">
        <v>0</v>
      </c>
      <c r="H52" s="20">
        <f t="shared" ref="H52:H66" si="6">E52+D52</f>
        <v>0</v>
      </c>
      <c r="I52" s="1">
        <v>1</v>
      </c>
      <c r="J52" s="1">
        <f t="shared" ref="J52:J66" si="7">H52*$U$21*I52</f>
        <v>0</v>
      </c>
      <c r="K52" s="1">
        <f t="shared" ref="K52:K66" si="8">H52*$E$13*$B$12/20</f>
        <v>0</v>
      </c>
      <c r="L52" s="1">
        <f t="shared" ref="L52:L66" si="9">MIN(H52*$E$29*12/20*(1+$B$29)^$F$27,6*(1+$B$29)^4/20/4)</f>
        <v>0</v>
      </c>
      <c r="M52" s="1"/>
      <c r="N52" s="1"/>
      <c r="O52" s="1"/>
      <c r="Q52" s="2"/>
    </row>
    <row r="53" hidden="1" spans="1:17">
      <c r="A53" s="21" t="s">
        <v>96</v>
      </c>
      <c r="B53" s="1">
        <v>3</v>
      </c>
      <c r="C53" s="1">
        <v>13</v>
      </c>
      <c r="D53" s="1">
        <f>B53*F53/$M$4*(ROUNDDOWN($Q$4/$M$4,0)/(ROUNDDOWN($Q$4/$M$4,0)+1))</f>
        <v>0.381818181818182</v>
      </c>
      <c r="E53" s="1">
        <f>C53*G53/$M$4*(1/(ROUNDDOWN($Q$4/$M$4,0)+1))</f>
        <v>0</v>
      </c>
      <c r="F53" s="19">
        <v>0.21</v>
      </c>
      <c r="G53" s="19">
        <v>0</v>
      </c>
      <c r="H53" s="20">
        <f t="shared" si="6"/>
        <v>0.381818181818182</v>
      </c>
      <c r="I53" s="1">
        <f t="shared" ref="I53:I66" si="10">$I$52</f>
        <v>1</v>
      </c>
      <c r="J53" s="1">
        <f t="shared" si="7"/>
        <v>3.88416</v>
      </c>
      <c r="K53" s="1">
        <f t="shared" si="8"/>
        <v>0.445352727272727</v>
      </c>
      <c r="L53" s="1">
        <f t="shared" si="9"/>
        <v>0.211404030620808</v>
      </c>
      <c r="M53" s="1"/>
      <c r="N53" s="1"/>
      <c r="O53" s="1"/>
      <c r="Q53" s="2"/>
    </row>
    <row r="54" hidden="1" spans="1:17">
      <c r="A54" s="1" t="s">
        <v>97</v>
      </c>
      <c r="B54" s="1">
        <v>3</v>
      </c>
      <c r="C54" s="1">
        <v>13</v>
      </c>
      <c r="D54" s="1">
        <f>B54*F54/$M$4*(ROUNDDOWN($Q$4/$M$4,0)/(ROUNDDOWN($Q$4/$M$4,0)+1))</f>
        <v>0.381818181818182</v>
      </c>
      <c r="E54" s="1">
        <f>C54*G54/$M$4*(1/(ROUNDDOWN($Q$4/$M$4,0)+1))</f>
        <v>0</v>
      </c>
      <c r="F54" s="19">
        <v>0.21</v>
      </c>
      <c r="G54" s="19">
        <v>0</v>
      </c>
      <c r="H54" s="20">
        <f t="shared" si="6"/>
        <v>0.381818181818182</v>
      </c>
      <c r="I54" s="1">
        <f t="shared" si="10"/>
        <v>1</v>
      </c>
      <c r="J54" s="1">
        <f t="shared" si="7"/>
        <v>3.88416</v>
      </c>
      <c r="K54" s="1">
        <f t="shared" si="8"/>
        <v>0.445352727272727</v>
      </c>
      <c r="L54" s="1">
        <f t="shared" si="9"/>
        <v>0.211404030620808</v>
      </c>
      <c r="M54" s="1"/>
      <c r="N54" s="1"/>
      <c r="O54" s="1"/>
      <c r="Q54" s="2"/>
    </row>
    <row r="55" hidden="1" spans="1:18">
      <c r="A55" s="21" t="s">
        <v>98</v>
      </c>
      <c r="B55" s="1">
        <v>3</v>
      </c>
      <c r="C55" s="1">
        <v>13</v>
      </c>
      <c r="D55" s="1">
        <f>B55*F55/$M$4*(ROUNDDOWN($Q$4/$M$4,0)/(ROUNDDOWN($Q$4/$M$4,0)+1))</f>
        <v>0.381818181818182</v>
      </c>
      <c r="E55" s="1">
        <f>C55*G55/$M$4*(1/(ROUNDDOWN($Q$4/$M$4,0)+1))</f>
        <v>0.165454545454545</v>
      </c>
      <c r="F55" s="19">
        <v>0.21</v>
      </c>
      <c r="G55" s="19">
        <v>0.21</v>
      </c>
      <c r="H55" s="20">
        <f t="shared" si="6"/>
        <v>0.547272727272727</v>
      </c>
      <c r="I55" s="1">
        <f t="shared" si="10"/>
        <v>1</v>
      </c>
      <c r="J55" s="1">
        <f t="shared" si="7"/>
        <v>5.567296</v>
      </c>
      <c r="K55" s="1">
        <f t="shared" si="8"/>
        <v>0.638338909090909</v>
      </c>
      <c r="L55" s="1">
        <f t="shared" si="9"/>
        <v>0.303012443889825</v>
      </c>
      <c r="M55" s="1"/>
      <c r="Q55" s="2"/>
      <c r="R55" s="2"/>
    </row>
    <row r="56" hidden="1" spans="1:22">
      <c r="A56" s="1" t="s">
        <v>150</v>
      </c>
      <c r="B56" s="1">
        <v>3</v>
      </c>
      <c r="C56" s="1">
        <v>13</v>
      </c>
      <c r="D56" s="1">
        <f>B56*F56/$M$4*(ROUNDDOWN($Q$4/$M$4,0)/(ROUNDDOWN($Q$4/$M$4,0)+1))</f>
        <v>0.381818181818182</v>
      </c>
      <c r="E56" s="1">
        <f>C56*G56/$M$4*(1/(ROUNDDOWN($Q$4/$M$4,0)+1))</f>
        <v>0.165454545454545</v>
      </c>
      <c r="F56" s="19">
        <v>0.21</v>
      </c>
      <c r="G56" s="19">
        <v>0.21</v>
      </c>
      <c r="H56" s="20">
        <f t="shared" si="6"/>
        <v>0.547272727272727</v>
      </c>
      <c r="I56" s="1">
        <f t="shared" si="10"/>
        <v>1</v>
      </c>
      <c r="J56" s="1">
        <f t="shared" si="7"/>
        <v>5.567296</v>
      </c>
      <c r="K56" s="1">
        <f t="shared" si="8"/>
        <v>0.638338909090909</v>
      </c>
      <c r="L56" s="1">
        <f t="shared" si="9"/>
        <v>0.303012443889825</v>
      </c>
      <c r="O56" s="1"/>
      <c r="Q56" s="2"/>
      <c r="R56" s="2"/>
      <c r="S56" s="2"/>
      <c r="T56" s="2"/>
      <c r="U56" s="2"/>
      <c r="V56" s="2"/>
    </row>
    <row r="57" hidden="1" spans="1:20">
      <c r="A57" s="1" t="s">
        <v>151</v>
      </c>
      <c r="B57" s="1">
        <v>3</v>
      </c>
      <c r="C57" s="1">
        <v>13</v>
      </c>
      <c r="D57" s="1">
        <f>B57*F57/$M$4*(ROUNDDOWN($Q$4/$M$4,0)/(ROUNDDOWN($Q$4/$M$4,0)+1))</f>
        <v>0.381818181818182</v>
      </c>
      <c r="E57" s="1">
        <f>C57*G57/$M$4*(1/(ROUNDDOWN($Q$4/$M$4,0)+1))</f>
        <v>0.165454545454545</v>
      </c>
      <c r="F57" s="19">
        <v>0.21</v>
      </c>
      <c r="G57" s="19">
        <v>0.21</v>
      </c>
      <c r="H57" s="20">
        <f t="shared" si="6"/>
        <v>0.547272727272727</v>
      </c>
      <c r="I57" s="1">
        <f t="shared" si="10"/>
        <v>1</v>
      </c>
      <c r="J57" s="1">
        <f t="shared" si="7"/>
        <v>5.567296</v>
      </c>
      <c r="K57" s="1">
        <f t="shared" si="8"/>
        <v>0.638338909090909</v>
      </c>
      <c r="L57" s="1">
        <f t="shared" si="9"/>
        <v>0.303012443889825</v>
      </c>
      <c r="O57" s="1"/>
      <c r="Q57" s="2"/>
      <c r="R57" s="2"/>
      <c r="S57" s="2"/>
      <c r="T57" s="2"/>
    </row>
    <row r="58" hidden="1" spans="1:20">
      <c r="A58" s="21" t="s">
        <v>99</v>
      </c>
      <c r="B58" s="1">
        <v>3</v>
      </c>
      <c r="C58" s="1">
        <v>26</v>
      </c>
      <c r="D58" s="1">
        <f>B58*F58/$M$4*(ROUNDDOWN($Q$4/$M$4,0)/(ROUNDDOWN($Q$4/$M$4,0)+1))</f>
        <v>0.381818181818182</v>
      </c>
      <c r="E58" s="1">
        <f>C58*G58/$M$4*(1/(ROUNDDOWN($Q$4/$M$4,0)+1))</f>
        <v>0.330909090909091</v>
      </c>
      <c r="F58" s="19">
        <v>0.21</v>
      </c>
      <c r="G58" s="19">
        <v>0.21</v>
      </c>
      <c r="H58" s="20">
        <f t="shared" si="6"/>
        <v>0.712727272727273</v>
      </c>
      <c r="I58" s="1">
        <f t="shared" si="10"/>
        <v>1</v>
      </c>
      <c r="J58" s="1">
        <f t="shared" si="7"/>
        <v>7.250432</v>
      </c>
      <c r="K58" s="1">
        <f t="shared" si="8"/>
        <v>0.831325090909091</v>
      </c>
      <c r="L58" s="1">
        <f t="shared" si="9"/>
        <v>0.3796875</v>
      </c>
      <c r="O58" s="1"/>
      <c r="Q58" s="2"/>
      <c r="R58" s="2"/>
      <c r="S58" s="2"/>
      <c r="T58" s="2"/>
    </row>
    <row r="59" hidden="1" spans="1:20">
      <c r="A59" s="21" t="s">
        <v>152</v>
      </c>
      <c r="B59" s="1">
        <v>3</v>
      </c>
      <c r="C59" s="1">
        <v>26</v>
      </c>
      <c r="D59" s="1">
        <f>B59*F59/$M$4*(ROUNDDOWN($Q$4/$M$4,0)/(ROUNDDOWN($Q$4/$M$4,0)+1))</f>
        <v>0.490909090909091</v>
      </c>
      <c r="E59" s="1">
        <f>C59*G59/$M$4*(1/(ROUNDDOWN($Q$4/$M$4,0)+1))</f>
        <v>0.425454545454546</v>
      </c>
      <c r="F59" s="19">
        <v>0.27</v>
      </c>
      <c r="G59" s="19">
        <v>0.27</v>
      </c>
      <c r="H59" s="20">
        <f t="shared" si="6"/>
        <v>0.916363636363636</v>
      </c>
      <c r="I59" s="1">
        <f t="shared" si="10"/>
        <v>1</v>
      </c>
      <c r="J59" s="1">
        <f t="shared" si="7"/>
        <v>9.321984</v>
      </c>
      <c r="K59" s="1">
        <f t="shared" si="8"/>
        <v>1.06884654545455</v>
      </c>
      <c r="L59" s="1">
        <f t="shared" si="9"/>
        <v>0.3796875</v>
      </c>
      <c r="O59" s="1"/>
      <c r="Q59" s="2"/>
      <c r="R59" s="2"/>
      <c r="S59" s="2"/>
      <c r="T59" s="2"/>
    </row>
    <row r="60" hidden="1" spans="1:20">
      <c r="A60" s="1" t="s">
        <v>153</v>
      </c>
      <c r="B60" s="1">
        <v>3</v>
      </c>
      <c r="C60" s="1">
        <v>26</v>
      </c>
      <c r="D60" s="1">
        <f>B60*F60/$M$4*(ROUNDDOWN($Q$4/$M$4,0)/(ROUNDDOWN($Q$4/$M$4,0)+1))</f>
        <v>0.490909090909091</v>
      </c>
      <c r="E60" s="1">
        <f>C60*G60/$M$4*(1/(ROUNDDOWN($Q$4/$M$4,0)+1))</f>
        <v>0.425454545454546</v>
      </c>
      <c r="F60" s="19">
        <v>0.27</v>
      </c>
      <c r="G60" s="19">
        <v>0.27</v>
      </c>
      <c r="H60" s="20">
        <f t="shared" si="6"/>
        <v>0.916363636363636</v>
      </c>
      <c r="I60" s="1">
        <f t="shared" si="10"/>
        <v>1</v>
      </c>
      <c r="J60" s="1">
        <f t="shared" si="7"/>
        <v>9.321984</v>
      </c>
      <c r="K60" s="1">
        <f t="shared" si="8"/>
        <v>1.06884654545455</v>
      </c>
      <c r="L60" s="1">
        <f t="shared" si="9"/>
        <v>0.3796875</v>
      </c>
      <c r="O60" s="1"/>
      <c r="Q60" s="2"/>
      <c r="R60" s="2"/>
      <c r="S60" s="2"/>
      <c r="T60" s="2"/>
    </row>
    <row r="61" hidden="1" spans="1:20">
      <c r="A61" s="1" t="s">
        <v>154</v>
      </c>
      <c r="B61" s="1">
        <v>3</v>
      </c>
      <c r="C61" s="1">
        <v>30</v>
      </c>
      <c r="D61" s="1">
        <f>B61*F61/$M$4*(ROUNDDOWN($Q$4/$M$4,0)/(ROUNDDOWN($Q$4/$M$4,0)+1))</f>
        <v>0.490909090909091</v>
      </c>
      <c r="E61" s="1">
        <f>C61*G61/$M$4*(1/(ROUNDDOWN($Q$4/$M$4,0)+1))</f>
        <v>0.490909090909091</v>
      </c>
      <c r="F61" s="19">
        <v>0.27</v>
      </c>
      <c r="G61" s="19">
        <v>0.27</v>
      </c>
      <c r="H61" s="20">
        <f t="shared" si="6"/>
        <v>0.981818181818182</v>
      </c>
      <c r="I61" s="1">
        <f t="shared" si="10"/>
        <v>1</v>
      </c>
      <c r="J61" s="1">
        <f t="shared" si="7"/>
        <v>9.98784</v>
      </c>
      <c r="K61" s="1">
        <f t="shared" si="8"/>
        <v>1.14519272727273</v>
      </c>
      <c r="L61" s="1">
        <f t="shared" si="9"/>
        <v>0.3796875</v>
      </c>
      <c r="O61" s="1"/>
      <c r="Q61" s="2"/>
      <c r="R61" s="2"/>
      <c r="S61" s="2"/>
      <c r="T61" s="2"/>
    </row>
    <row r="62" hidden="1" spans="1:20">
      <c r="A62" s="1" t="s">
        <v>100</v>
      </c>
      <c r="B62" s="1">
        <v>3</v>
      </c>
      <c r="C62" s="1">
        <v>30</v>
      </c>
      <c r="D62" s="1">
        <f>B62*F62/$M$4*(ROUNDDOWN($Q$4/$M$4,0)/(ROUNDDOWN($Q$4/$M$4,0)+1))</f>
        <v>0.490909090909091</v>
      </c>
      <c r="E62" s="1">
        <f>C62*G62/$M$4*(1/(ROUNDDOWN($Q$4/$M$4,0)+1))</f>
        <v>0.490909090909091</v>
      </c>
      <c r="F62" s="19">
        <v>0.27</v>
      </c>
      <c r="G62" s="19">
        <v>0.27</v>
      </c>
      <c r="H62" s="20">
        <f t="shared" si="6"/>
        <v>0.981818181818182</v>
      </c>
      <c r="I62" s="1">
        <f t="shared" si="10"/>
        <v>1</v>
      </c>
      <c r="J62" s="1">
        <f t="shared" si="7"/>
        <v>9.98784</v>
      </c>
      <c r="K62" s="1">
        <f t="shared" si="8"/>
        <v>1.14519272727273</v>
      </c>
      <c r="L62" s="1">
        <f t="shared" si="9"/>
        <v>0.3796875</v>
      </c>
      <c r="O62" s="1"/>
      <c r="Q62" s="2"/>
      <c r="R62" s="2"/>
      <c r="S62" s="2"/>
      <c r="T62" s="2"/>
    </row>
    <row r="63" hidden="1" spans="1:20">
      <c r="A63" s="21" t="s">
        <v>155</v>
      </c>
      <c r="B63" s="1">
        <v>3</v>
      </c>
      <c r="C63" s="1">
        <v>30</v>
      </c>
      <c r="D63" s="1">
        <f>B63*F63/$M$4*(ROUNDDOWN($Q$4/$M$4,0)/(ROUNDDOWN($Q$4/$M$4,0)+1))</f>
        <v>0.490909090909091</v>
      </c>
      <c r="E63" s="1">
        <f>C63*G63/$M$4*(1/(ROUNDDOWN($Q$4/$M$4,0)+1))</f>
        <v>0.490909090909091</v>
      </c>
      <c r="F63" s="19">
        <v>0.27</v>
      </c>
      <c r="G63" s="19">
        <v>0.27</v>
      </c>
      <c r="H63" s="20">
        <f t="shared" si="6"/>
        <v>0.981818181818182</v>
      </c>
      <c r="I63" s="1">
        <f t="shared" si="10"/>
        <v>1</v>
      </c>
      <c r="J63" s="1">
        <f t="shared" si="7"/>
        <v>9.98784</v>
      </c>
      <c r="K63" s="1">
        <f t="shared" si="8"/>
        <v>1.14519272727273</v>
      </c>
      <c r="L63" s="1">
        <f t="shared" si="9"/>
        <v>0.3796875</v>
      </c>
      <c r="O63" s="1"/>
      <c r="Q63" s="2"/>
      <c r="R63" s="2"/>
      <c r="S63" s="2"/>
      <c r="T63" s="2"/>
    </row>
    <row r="64" hidden="1" spans="1:20">
      <c r="A64" s="1" t="s">
        <v>156</v>
      </c>
      <c r="B64" s="1">
        <v>3</v>
      </c>
      <c r="C64" s="1">
        <v>30</v>
      </c>
      <c r="D64" s="1">
        <f>B64*F64/$M$4*(ROUNDDOWN($Q$4/$M$4,0)/(ROUNDDOWN($Q$4/$M$4,0)+1))</f>
        <v>0.490909090909091</v>
      </c>
      <c r="E64" s="1">
        <f>C64*G64/$M$4*(1/(ROUNDDOWN($Q$4/$M$4,0)+1))</f>
        <v>0.490909090909091</v>
      </c>
      <c r="F64" s="19">
        <v>0.27</v>
      </c>
      <c r="G64" s="19">
        <v>0.27</v>
      </c>
      <c r="H64" s="20">
        <f t="shared" si="6"/>
        <v>0.981818181818182</v>
      </c>
      <c r="I64" s="1">
        <f t="shared" si="10"/>
        <v>1</v>
      </c>
      <c r="J64" s="1">
        <f t="shared" si="7"/>
        <v>9.98784</v>
      </c>
      <c r="K64" s="1">
        <f t="shared" si="8"/>
        <v>1.14519272727273</v>
      </c>
      <c r="L64" s="1">
        <f t="shared" si="9"/>
        <v>0.3796875</v>
      </c>
      <c r="O64" s="1"/>
      <c r="Q64" s="2"/>
      <c r="R64" s="2"/>
      <c r="S64" s="2"/>
      <c r="T64" s="2"/>
    </row>
    <row r="65" hidden="1" spans="1:20">
      <c r="A65" s="1" t="s">
        <v>157</v>
      </c>
      <c r="B65" s="1">
        <v>3</v>
      </c>
      <c r="C65" s="1">
        <v>30</v>
      </c>
      <c r="D65" s="1">
        <f>B65*F65/$M$4*(ROUNDDOWN($Q$4/$M$4,0)/(ROUNDDOWN($Q$4/$M$4,0)+1))</f>
        <v>0.490909090909091</v>
      </c>
      <c r="E65" s="1">
        <f>C65*G65/$M$4*(1/(ROUNDDOWN($Q$4/$M$4,0)+1))</f>
        <v>0.490909090909091</v>
      </c>
      <c r="F65" s="19">
        <v>0.27</v>
      </c>
      <c r="G65" s="19">
        <v>0.27</v>
      </c>
      <c r="H65" s="20">
        <f t="shared" si="6"/>
        <v>0.981818181818182</v>
      </c>
      <c r="I65" s="1">
        <f t="shared" si="10"/>
        <v>1</v>
      </c>
      <c r="J65" s="1">
        <f t="shared" si="7"/>
        <v>9.98784</v>
      </c>
      <c r="K65" s="1">
        <f t="shared" si="8"/>
        <v>1.14519272727273</v>
      </c>
      <c r="L65" s="1">
        <f t="shared" si="9"/>
        <v>0.3796875</v>
      </c>
      <c r="O65" s="1"/>
      <c r="Q65" s="2"/>
      <c r="R65" s="2"/>
      <c r="S65" s="2"/>
      <c r="T65" s="2"/>
    </row>
    <row r="66" hidden="1" spans="1:20">
      <c r="A66" s="1" t="s">
        <v>101</v>
      </c>
      <c r="B66" s="1">
        <v>3</v>
      </c>
      <c r="C66" s="1">
        <v>30</v>
      </c>
      <c r="D66" s="1">
        <f>B66*F66/$M$4*(ROUNDDOWN($Q$4/$M$4,0)/(ROUNDDOWN($Q$4/$M$4,0)+1))</f>
        <v>0.490909090909091</v>
      </c>
      <c r="E66" s="1">
        <f>C66*G66/$M$4*(1/(ROUNDDOWN($Q$4/$M$4,0)+1))</f>
        <v>0.490909090909091</v>
      </c>
      <c r="F66" s="19">
        <v>0.27</v>
      </c>
      <c r="G66" s="19">
        <v>0.27</v>
      </c>
      <c r="H66" s="20">
        <f t="shared" si="6"/>
        <v>0.981818181818182</v>
      </c>
      <c r="I66" s="1">
        <f t="shared" si="10"/>
        <v>1</v>
      </c>
      <c r="J66" s="1">
        <f t="shared" si="7"/>
        <v>9.98784</v>
      </c>
      <c r="K66" s="1">
        <f t="shared" si="8"/>
        <v>1.14519272727273</v>
      </c>
      <c r="L66" s="1">
        <f t="shared" si="9"/>
        <v>0.3796875</v>
      </c>
      <c r="O66" s="1"/>
      <c r="Q66" s="2"/>
      <c r="R66" s="2"/>
      <c r="S66" s="2"/>
      <c r="T66" s="2"/>
    </row>
    <row r="67" spans="12:20">
      <c r="L67" s="2">
        <f>L73/L82</f>
        <v>0.55545491306106</v>
      </c>
      <c r="M67" s="2">
        <f>M73/M83</f>
        <v>0.803601517913026</v>
      </c>
      <c r="O67" s="1"/>
      <c r="Q67" s="2"/>
      <c r="R67" s="2"/>
      <c r="S67" s="2"/>
      <c r="T67" s="2"/>
    </row>
    <row r="68" spans="1:20">
      <c r="A68" s="1" t="s">
        <v>65</v>
      </c>
      <c r="B68" s="1" t="s">
        <v>110</v>
      </c>
      <c r="C68" s="1" t="s">
        <v>85</v>
      </c>
      <c r="D68" s="1" t="s">
        <v>86</v>
      </c>
      <c r="E68" s="1" t="s">
        <v>87</v>
      </c>
      <c r="F68" s="2" t="s">
        <v>88</v>
      </c>
      <c r="G68" s="2" t="s">
        <v>89</v>
      </c>
      <c r="H68" s="1" t="s">
        <v>111</v>
      </c>
      <c r="I68" s="1" t="s">
        <v>112</v>
      </c>
      <c r="J68" s="1" t="s">
        <v>91</v>
      </c>
      <c r="K68" s="1" t="s">
        <v>92</v>
      </c>
      <c r="L68" s="1" t="s">
        <v>93</v>
      </c>
      <c r="M68" s="1" t="s">
        <v>94</v>
      </c>
      <c r="O68" s="1"/>
      <c r="Q68" s="2"/>
      <c r="R68" s="2"/>
      <c r="S68" s="2"/>
      <c r="T68" s="2"/>
    </row>
    <row r="69" spans="1:20">
      <c r="A69" s="1" t="s">
        <v>113</v>
      </c>
      <c r="B69" s="28">
        <v>3</v>
      </c>
      <c r="C69" s="28">
        <v>15</v>
      </c>
      <c r="D69" s="1">
        <f>(B69*F69/$M$3*(ROUNDDOWN($Q$3/$M$3,0)/(ROUNDDOWN($Q$3/$M$3,0)+1)))</f>
        <v>0</v>
      </c>
      <c r="E69" s="1">
        <f>C69*G69/$M$4*(1/(ROUNDDOWN($Q$4/$M$4,0)+1))</f>
        <v>0</v>
      </c>
      <c r="F69" s="29">
        <v>0</v>
      </c>
      <c r="G69" s="29">
        <v>0</v>
      </c>
      <c r="H69" s="1" t="e">
        <f t="shared" ref="H69:H83" si="11">H52/SUM(D69,E69)</f>
        <v>#DIV/0!</v>
      </c>
      <c r="I69" s="1" t="e">
        <f t="shared" ref="I69:I83" si="12">H69/$V$24</f>
        <v>#DIV/0!</v>
      </c>
      <c r="J69" s="1">
        <v>1.25</v>
      </c>
      <c r="K69" s="1">
        <f t="shared" ref="K69:K83" si="13">SUM(D69,E69)*$U$24*J69</f>
        <v>0</v>
      </c>
      <c r="L69" s="31">
        <f t="shared" ref="L69:L83" si="14">SUM(D69,E69)*$E$17*$B$16/20</f>
        <v>0</v>
      </c>
      <c r="M69" s="31">
        <f t="shared" ref="M69:M83" si="15">MIN(SUM(D69:E69)*$E$33*12/20*(1+$B$33)^$F$31,6*(1+$B$33)^4/20/4)</f>
        <v>0</v>
      </c>
      <c r="O69" s="1"/>
      <c r="Q69" s="2"/>
      <c r="R69" s="2"/>
      <c r="S69" s="2"/>
      <c r="T69" s="2"/>
    </row>
    <row r="70" spans="1:20">
      <c r="A70" s="1" t="s">
        <v>114</v>
      </c>
      <c r="B70" s="28">
        <v>3</v>
      </c>
      <c r="C70" s="28">
        <v>15</v>
      </c>
      <c r="D70" s="1">
        <f>(B70*F70/$M$3*(ROUNDDOWN($Q$3/$M$3,0)/(ROUNDDOWN($Q$3/$M$3,0)+1)))</f>
        <v>0.261904761904762</v>
      </c>
      <c r="E70" s="1">
        <f>C70*G70/$M$4*(1/(ROUNDDOWN($Q$4/$M$4,0)+1))</f>
        <v>0</v>
      </c>
      <c r="F70" s="29">
        <v>0.275</v>
      </c>
      <c r="G70" s="29">
        <v>0</v>
      </c>
      <c r="H70" s="1">
        <f t="shared" si="11"/>
        <v>1.45785123966942</v>
      </c>
      <c r="I70" s="1">
        <f t="shared" si="12"/>
        <v>1.65451587647672</v>
      </c>
      <c r="J70" s="1">
        <f t="shared" ref="J70:J83" si="16">$J$69</f>
        <v>1.25</v>
      </c>
      <c r="K70" s="1">
        <f t="shared" si="13"/>
        <v>2.934513998342</v>
      </c>
      <c r="L70" s="31">
        <f t="shared" si="14"/>
        <v>0.229891244358321</v>
      </c>
      <c r="M70" s="31">
        <f t="shared" si="15"/>
        <v>0.161261516603673</v>
      </c>
      <c r="O70" s="1"/>
      <c r="Q70" s="2"/>
      <c r="R70" s="2"/>
      <c r="S70" s="2"/>
      <c r="T70" s="2"/>
    </row>
    <row r="71" spans="1:20">
      <c r="A71" s="1" t="s">
        <v>115</v>
      </c>
      <c r="B71" s="28">
        <v>3</v>
      </c>
      <c r="C71" s="28">
        <v>15</v>
      </c>
      <c r="D71" s="1">
        <f>(B71*F71/$M$3*(ROUNDDOWN($Q$3/$M$3,0)/(ROUNDDOWN($Q$3/$M$3,0)+1)))</f>
        <v>0.261904761904762</v>
      </c>
      <c r="E71" s="1">
        <f>C71*G71/$M$4*(1/(ROUNDDOWN($Q$4/$M$4,0)+1))</f>
        <v>0</v>
      </c>
      <c r="F71" s="29">
        <v>0.275</v>
      </c>
      <c r="G71" s="29">
        <v>0</v>
      </c>
      <c r="H71" s="1">
        <f t="shared" si="11"/>
        <v>1.45785123966942</v>
      </c>
      <c r="I71" s="1">
        <f t="shared" si="12"/>
        <v>1.65451587647672</v>
      </c>
      <c r="J71" s="1">
        <f t="shared" si="16"/>
        <v>1.25</v>
      </c>
      <c r="K71" s="1">
        <f t="shared" si="13"/>
        <v>2.934513998342</v>
      </c>
      <c r="L71" s="31">
        <f t="shared" si="14"/>
        <v>0.229891244358321</v>
      </c>
      <c r="M71" s="31">
        <f t="shared" si="15"/>
        <v>0.161261516603673</v>
      </c>
      <c r="O71" s="1"/>
      <c r="Q71" s="2"/>
      <c r="R71" s="2"/>
      <c r="S71" s="2"/>
      <c r="T71" s="2"/>
    </row>
    <row r="72" spans="1:20">
      <c r="A72" s="1" t="s">
        <v>116</v>
      </c>
      <c r="B72" s="28">
        <v>3</v>
      </c>
      <c r="C72" s="28">
        <v>15</v>
      </c>
      <c r="D72" s="1">
        <f>(B72*F72/$M$3*(ROUNDDOWN($Q$3/$M$3,0)/(ROUNDDOWN($Q$3/$M$3,0)+1)))</f>
        <v>0.261904761904762</v>
      </c>
      <c r="E72" s="1">
        <f>C72*G72/$M$4*(1/(ROUNDDOWN($Q$4/$M$4,0)+1))</f>
        <v>0.233636363636364</v>
      </c>
      <c r="F72" s="29">
        <v>0.275</v>
      </c>
      <c r="G72" s="29">
        <v>0.257</v>
      </c>
      <c r="H72" s="1">
        <f t="shared" si="11"/>
        <v>1.10439416440989</v>
      </c>
      <c r="I72" s="1">
        <f t="shared" si="12"/>
        <v>1.25337731942989</v>
      </c>
      <c r="J72" s="1">
        <f t="shared" si="16"/>
        <v>1.25</v>
      </c>
      <c r="K72" s="1">
        <f t="shared" si="13"/>
        <v>5.55229450231749</v>
      </c>
      <c r="L72" s="31">
        <f t="shared" si="14"/>
        <v>0.434969433747057</v>
      </c>
      <c r="M72" s="31">
        <f t="shared" si="15"/>
        <v>0.305117451332602</v>
      </c>
      <c r="O72" s="1"/>
      <c r="Q72" s="2"/>
      <c r="R72" s="2"/>
      <c r="S72" s="2"/>
      <c r="T72" s="2"/>
    </row>
    <row r="73" spans="1:22">
      <c r="A73" s="1" t="s">
        <v>158</v>
      </c>
      <c r="B73" s="28">
        <v>3</v>
      </c>
      <c r="C73" s="28">
        <v>15</v>
      </c>
      <c r="D73" s="1">
        <f>(B73*F73/$M$3*(ROUNDDOWN($Q$3/$M$3,0)/(ROUNDDOWN($Q$3/$M$3,0)+1)))</f>
        <v>0.261904761904762</v>
      </c>
      <c r="E73" s="1">
        <f>C73*G73/$M$4*(1/(ROUNDDOWN($Q$4/$M$4,0)+1))</f>
        <v>0.233636363636364</v>
      </c>
      <c r="F73" s="29">
        <v>0.275</v>
      </c>
      <c r="G73" s="29">
        <v>0.257</v>
      </c>
      <c r="H73" s="1">
        <f t="shared" si="11"/>
        <v>1.10439416440989</v>
      </c>
      <c r="I73" s="1">
        <f t="shared" si="12"/>
        <v>1.25337731942989</v>
      </c>
      <c r="J73" s="1">
        <f t="shared" si="16"/>
        <v>1.25</v>
      </c>
      <c r="K73" s="1">
        <f t="shared" si="13"/>
        <v>5.55229450231749</v>
      </c>
      <c r="L73" s="31">
        <f t="shared" si="14"/>
        <v>0.434969433747057</v>
      </c>
      <c r="M73" s="31">
        <f t="shared" si="15"/>
        <v>0.305117451332602</v>
      </c>
      <c r="Q73" s="2"/>
      <c r="R73" s="2"/>
      <c r="S73" s="30"/>
      <c r="T73" s="2"/>
      <c r="V73" s="2"/>
    </row>
    <row r="74" spans="1:22">
      <c r="A74" s="1" t="s">
        <v>159</v>
      </c>
      <c r="B74" s="28">
        <v>3</v>
      </c>
      <c r="C74" s="28">
        <v>15</v>
      </c>
      <c r="D74" s="1">
        <f>(B74*F74/$M$3*(ROUNDDOWN($Q$3/$M$3,0)/(ROUNDDOWN($Q$3/$M$3,0)+1)))</f>
        <v>0.261904761904762</v>
      </c>
      <c r="E74" s="1">
        <f>C74*G74/$M$4*(1/(ROUNDDOWN($Q$4/$M$4,0)+1))</f>
        <v>0.233636363636364</v>
      </c>
      <c r="F74" s="29">
        <v>0.275</v>
      </c>
      <c r="G74" s="29">
        <v>0.257</v>
      </c>
      <c r="H74" s="1">
        <f t="shared" si="11"/>
        <v>1.10439416440989</v>
      </c>
      <c r="I74" s="1">
        <f t="shared" si="12"/>
        <v>1.25337731942989</v>
      </c>
      <c r="J74" s="1">
        <f t="shared" si="16"/>
        <v>1.25</v>
      </c>
      <c r="K74" s="1">
        <f t="shared" si="13"/>
        <v>5.55229450231749</v>
      </c>
      <c r="L74" s="31">
        <f t="shared" si="14"/>
        <v>0.434969433747057</v>
      </c>
      <c r="M74" s="31">
        <f t="shared" si="15"/>
        <v>0.305117451332602</v>
      </c>
      <c r="O74" s="1"/>
      <c r="Q74" s="2"/>
      <c r="R74" s="2"/>
      <c r="S74" s="2"/>
      <c r="T74" s="2"/>
      <c r="U74" s="2"/>
      <c r="V74" s="2"/>
    </row>
    <row r="75" spans="1:22">
      <c r="A75" s="1" t="s">
        <v>117</v>
      </c>
      <c r="B75" s="28">
        <v>4</v>
      </c>
      <c r="C75" s="28">
        <v>15</v>
      </c>
      <c r="D75" s="1">
        <f>(B75*F75/$M$3*(ROUNDDOWN($Q$3/$M$3,0)/(ROUNDDOWN($Q$3/$M$3,0)+1)))</f>
        <v>0.349206349206349</v>
      </c>
      <c r="E75" s="1">
        <f>C75*G75/$M$4*(1/(ROUNDDOWN($Q$4/$M$4,0)+1))</f>
        <v>0.233636363636364</v>
      </c>
      <c r="F75" s="29">
        <v>0.275</v>
      </c>
      <c r="G75" s="29">
        <v>0.257</v>
      </c>
      <c r="H75" s="1">
        <f t="shared" si="11"/>
        <v>1.22284667376396</v>
      </c>
      <c r="I75" s="1">
        <f t="shared" si="12"/>
        <v>1.38780911329334</v>
      </c>
      <c r="J75" s="1">
        <f t="shared" si="16"/>
        <v>1.25</v>
      </c>
      <c r="K75" s="1">
        <f t="shared" si="13"/>
        <v>6.53046583509816</v>
      </c>
      <c r="L75" s="31">
        <f t="shared" si="14"/>
        <v>0.511599848533164</v>
      </c>
      <c r="M75" s="31">
        <f t="shared" si="15"/>
        <v>0.358871290200493</v>
      </c>
      <c r="O75" s="1"/>
      <c r="Q75" s="2"/>
      <c r="R75" s="2"/>
      <c r="S75" s="2"/>
      <c r="T75" s="2"/>
      <c r="V75" s="2"/>
    </row>
    <row r="76" spans="1:22">
      <c r="A76" s="1" t="s">
        <v>160</v>
      </c>
      <c r="B76" s="28">
        <v>4</v>
      </c>
      <c r="C76" s="28">
        <v>15</v>
      </c>
      <c r="D76" s="1">
        <f>(B76*F76/$M$3*(ROUNDDOWN($Q$3/$M$3,0)/(ROUNDDOWN($Q$3/$M$3,0)+1)))</f>
        <v>0.58031746031746</v>
      </c>
      <c r="E76" s="1">
        <f>C76*G76/$M$4*(1/(ROUNDDOWN($Q$4/$M$4,0)+1))</f>
        <v>0.311818181818182</v>
      </c>
      <c r="F76" s="29">
        <v>0.457</v>
      </c>
      <c r="G76" s="29">
        <v>0.343</v>
      </c>
      <c r="H76" s="1">
        <f t="shared" si="11"/>
        <v>1.02715729882733</v>
      </c>
      <c r="I76" s="1">
        <f t="shared" si="12"/>
        <v>1.16572117394785</v>
      </c>
      <c r="J76" s="1">
        <f t="shared" si="16"/>
        <v>1.25</v>
      </c>
      <c r="K76" s="1">
        <f t="shared" si="13"/>
        <v>9.99594093374622</v>
      </c>
      <c r="L76" s="31">
        <f t="shared" si="14"/>
        <v>0.783086842008439</v>
      </c>
      <c r="M76" s="31">
        <f t="shared" si="15"/>
        <v>0.3796875</v>
      </c>
      <c r="O76" s="1"/>
      <c r="Q76" s="2"/>
      <c r="R76" s="2"/>
      <c r="S76" s="2"/>
      <c r="T76" s="2"/>
      <c r="V76" s="2"/>
    </row>
    <row r="77" spans="1:22">
      <c r="A77" s="1" t="s">
        <v>161</v>
      </c>
      <c r="B77" s="28">
        <v>4</v>
      </c>
      <c r="C77" s="28">
        <v>15</v>
      </c>
      <c r="D77" s="1">
        <f>(B77*F77/$M$3*(ROUNDDOWN($Q$3/$M$3,0)/(ROUNDDOWN($Q$3/$M$3,0)+1)))</f>
        <v>0.58031746031746</v>
      </c>
      <c r="E77" s="1">
        <f>C77*G77/$M$4*(1/(ROUNDDOWN($Q$4/$M$4,0)+1))</f>
        <v>0.311818181818182</v>
      </c>
      <c r="F77" s="29">
        <v>0.457</v>
      </c>
      <c r="G77" s="29">
        <v>0.343</v>
      </c>
      <c r="H77" s="1">
        <f t="shared" si="11"/>
        <v>1.02715729882733</v>
      </c>
      <c r="I77" s="1">
        <f t="shared" si="12"/>
        <v>1.16572117394785</v>
      </c>
      <c r="J77" s="1">
        <f t="shared" si="16"/>
        <v>1.25</v>
      </c>
      <c r="K77" s="1">
        <f t="shared" si="13"/>
        <v>9.99594093374622</v>
      </c>
      <c r="L77" s="31">
        <f t="shared" si="14"/>
        <v>0.783086842008439</v>
      </c>
      <c r="M77" s="31">
        <f t="shared" si="15"/>
        <v>0.3796875</v>
      </c>
      <c r="O77" s="1"/>
      <c r="Q77" s="2"/>
      <c r="R77" s="2"/>
      <c r="S77" s="2"/>
      <c r="T77" s="2"/>
      <c r="V77" s="2"/>
    </row>
    <row r="78" spans="1:22">
      <c r="A78" s="1" t="s">
        <v>162</v>
      </c>
      <c r="B78" s="28">
        <v>4</v>
      </c>
      <c r="C78" s="28">
        <v>15</v>
      </c>
      <c r="D78" s="1">
        <f>(B78*F78/$M$3*(ROUNDDOWN($Q$3/$M$3,0)/(ROUNDDOWN($Q$3/$M$3,0)+1)))</f>
        <v>0.58031746031746</v>
      </c>
      <c r="E78" s="1">
        <f>C78*G78/$M$4*(1/(ROUNDDOWN($Q$4/$M$4,0)+1))</f>
        <v>0.311818181818182</v>
      </c>
      <c r="F78" s="29">
        <v>0.457</v>
      </c>
      <c r="G78" s="29">
        <v>0.343</v>
      </c>
      <c r="H78" s="1">
        <f t="shared" si="11"/>
        <v>1.100525677315</v>
      </c>
      <c r="I78" s="1">
        <f t="shared" si="12"/>
        <v>1.24898697208698</v>
      </c>
      <c r="J78" s="1">
        <f t="shared" si="16"/>
        <v>1.25</v>
      </c>
      <c r="K78" s="1">
        <f t="shared" si="13"/>
        <v>9.99594093374622</v>
      </c>
      <c r="L78" s="31">
        <f t="shared" si="14"/>
        <v>0.783086842008439</v>
      </c>
      <c r="M78" s="31">
        <f t="shared" si="15"/>
        <v>0.3796875</v>
      </c>
      <c r="O78" s="1"/>
      <c r="Q78" s="2"/>
      <c r="R78" s="2"/>
      <c r="S78" s="2"/>
      <c r="T78" s="2"/>
      <c r="V78" s="2"/>
    </row>
    <row r="79" spans="1:22">
      <c r="A79" s="1" t="s">
        <v>118</v>
      </c>
      <c r="B79" s="28">
        <v>4</v>
      </c>
      <c r="C79" s="28">
        <v>15</v>
      </c>
      <c r="D79" s="1">
        <f>(B79*F79/$M$3*(ROUNDDOWN($Q$3/$M$3,0)/(ROUNDDOWN($Q$3/$M$3,0)+1)))</f>
        <v>0.58031746031746</v>
      </c>
      <c r="E79" s="1">
        <f>C79*G79/$M$4*(1/(ROUNDDOWN($Q$4/$M$4,0)+1))</f>
        <v>0.311818181818182</v>
      </c>
      <c r="F79" s="29">
        <v>0.457</v>
      </c>
      <c r="G79" s="29">
        <v>0.343</v>
      </c>
      <c r="H79" s="1">
        <f t="shared" si="11"/>
        <v>1.100525677315</v>
      </c>
      <c r="I79" s="1">
        <f t="shared" si="12"/>
        <v>1.24898697208698</v>
      </c>
      <c r="J79" s="1">
        <f t="shared" si="16"/>
        <v>1.25</v>
      </c>
      <c r="K79" s="1">
        <f t="shared" si="13"/>
        <v>9.99594093374622</v>
      </c>
      <c r="L79" s="31">
        <f t="shared" si="14"/>
        <v>0.783086842008439</v>
      </c>
      <c r="M79" s="31">
        <f t="shared" si="15"/>
        <v>0.3796875</v>
      </c>
      <c r="O79" s="1"/>
      <c r="Q79" s="2"/>
      <c r="R79" s="2"/>
      <c r="S79" s="2"/>
      <c r="T79" s="2"/>
      <c r="V79" s="2"/>
    </row>
    <row r="80" spans="1:22">
      <c r="A80" s="1" t="s">
        <v>163</v>
      </c>
      <c r="B80" s="28">
        <v>4</v>
      </c>
      <c r="C80" s="28">
        <v>15</v>
      </c>
      <c r="D80" s="1">
        <f>(B80*F80/$M$3*(ROUNDDOWN($Q$3/$M$3,0)/(ROUNDDOWN($Q$3/$M$3,0)+1)))</f>
        <v>0.58031746031746</v>
      </c>
      <c r="E80" s="1">
        <f>C80*G80/$M$4*(1/(ROUNDDOWN($Q$4/$M$4,0)+1))</f>
        <v>0.311818181818182</v>
      </c>
      <c r="F80" s="29">
        <v>0.457</v>
      </c>
      <c r="G80" s="29">
        <v>0.343</v>
      </c>
      <c r="H80" s="1">
        <f t="shared" si="11"/>
        <v>1.100525677315</v>
      </c>
      <c r="I80" s="1">
        <f t="shared" si="12"/>
        <v>1.24898697208698</v>
      </c>
      <c r="J80" s="1">
        <f t="shared" si="16"/>
        <v>1.25</v>
      </c>
      <c r="K80" s="1">
        <f t="shared" si="13"/>
        <v>9.99594093374622</v>
      </c>
      <c r="L80" s="31">
        <f t="shared" si="14"/>
        <v>0.783086842008439</v>
      </c>
      <c r="M80" s="31">
        <f t="shared" si="15"/>
        <v>0.3796875</v>
      </c>
      <c r="O80" s="1"/>
      <c r="Q80" s="2"/>
      <c r="R80" s="2"/>
      <c r="S80" s="2"/>
      <c r="T80" s="2"/>
      <c r="V80" s="2"/>
    </row>
    <row r="81" spans="1:22">
      <c r="A81" s="1" t="s">
        <v>164</v>
      </c>
      <c r="B81" s="28">
        <v>4</v>
      </c>
      <c r="C81" s="28">
        <v>15</v>
      </c>
      <c r="D81" s="1">
        <f>(B81*F81/$M$3*(ROUNDDOWN($Q$3/$M$3,0)/(ROUNDDOWN($Q$3/$M$3,0)+1)))</f>
        <v>0.58031746031746</v>
      </c>
      <c r="E81" s="1">
        <f>C81*G81/$M$4*(1/(ROUNDDOWN($Q$4/$M$4,0)+1))</f>
        <v>0.311818181818182</v>
      </c>
      <c r="F81" s="29">
        <v>0.457</v>
      </c>
      <c r="G81" s="29">
        <v>0.343</v>
      </c>
      <c r="H81" s="1">
        <f t="shared" si="11"/>
        <v>1.100525677315</v>
      </c>
      <c r="I81" s="1">
        <f t="shared" si="12"/>
        <v>1.24898697208698</v>
      </c>
      <c r="J81" s="1">
        <f t="shared" si="16"/>
        <v>1.25</v>
      </c>
      <c r="K81" s="1">
        <f t="shared" si="13"/>
        <v>9.99594093374622</v>
      </c>
      <c r="L81" s="31">
        <f t="shared" si="14"/>
        <v>0.783086842008439</v>
      </c>
      <c r="M81" s="31">
        <f t="shared" si="15"/>
        <v>0.3796875</v>
      </c>
      <c r="O81" s="1"/>
      <c r="Q81" s="2"/>
      <c r="R81" s="2"/>
      <c r="S81" s="2"/>
      <c r="T81" s="2"/>
      <c r="V81" s="2"/>
    </row>
    <row r="82" spans="1:22">
      <c r="A82" s="1" t="s">
        <v>165</v>
      </c>
      <c r="B82" s="28">
        <v>4</v>
      </c>
      <c r="C82" s="28">
        <v>15</v>
      </c>
      <c r="D82" s="1">
        <f>(B82*F82/$M$3*(ROUNDDOWN($Q$3/$M$3,0)/(ROUNDDOWN($Q$3/$M$3,0)+1)))</f>
        <v>0.58031746031746</v>
      </c>
      <c r="E82" s="1">
        <f>C82*G82/$M$4*(1/(ROUNDDOWN($Q$4/$M$4,0)+1))</f>
        <v>0.311818181818182</v>
      </c>
      <c r="F82" s="29">
        <v>0.457</v>
      </c>
      <c r="G82" s="29">
        <v>0.343</v>
      </c>
      <c r="H82" s="1">
        <f t="shared" si="11"/>
        <v>1.100525677315</v>
      </c>
      <c r="I82" s="1">
        <f t="shared" si="12"/>
        <v>1.24898697208698</v>
      </c>
      <c r="J82" s="1">
        <f t="shared" si="16"/>
        <v>1.25</v>
      </c>
      <c r="K82" s="1">
        <f t="shared" si="13"/>
        <v>9.99594093374622</v>
      </c>
      <c r="L82" s="31">
        <f t="shared" si="14"/>
        <v>0.783086842008439</v>
      </c>
      <c r="M82" s="31">
        <f t="shared" si="15"/>
        <v>0.3796875</v>
      </c>
      <c r="O82" s="1"/>
      <c r="Q82" s="2"/>
      <c r="R82" s="2"/>
      <c r="S82" s="2"/>
      <c r="T82" s="2"/>
      <c r="V82" s="2"/>
    </row>
    <row r="83" spans="1:22">
      <c r="A83" s="1" t="s">
        <v>119</v>
      </c>
      <c r="B83" s="28">
        <v>4</v>
      </c>
      <c r="C83" s="28">
        <v>15</v>
      </c>
      <c r="D83" s="1">
        <f>(B83*F83/$M$3*(ROUNDDOWN($Q$3/$M$3,0)/(ROUNDDOWN($Q$3/$M$3,0)+1)))</f>
        <v>0.58031746031746</v>
      </c>
      <c r="E83" s="1">
        <f>C83*G83/$M$4*(1/(ROUNDDOWN($Q$4/$M$4,0)+1))</f>
        <v>0.311818181818182</v>
      </c>
      <c r="F83" s="29">
        <v>0.457</v>
      </c>
      <c r="G83" s="29">
        <v>0.343</v>
      </c>
      <c r="H83" s="1">
        <f t="shared" si="11"/>
        <v>1.100525677315</v>
      </c>
      <c r="I83" s="1">
        <f t="shared" si="12"/>
        <v>1.24898697208698</v>
      </c>
      <c r="J83" s="1">
        <f t="shared" si="16"/>
        <v>1.25</v>
      </c>
      <c r="K83" s="1">
        <f t="shared" si="13"/>
        <v>9.99594093374622</v>
      </c>
      <c r="L83" s="31">
        <f t="shared" si="14"/>
        <v>0.783086842008439</v>
      </c>
      <c r="M83" s="31">
        <f t="shared" si="15"/>
        <v>0.3796875</v>
      </c>
      <c r="O83" s="1"/>
      <c r="Q83" s="2"/>
      <c r="R83" s="2"/>
      <c r="S83" s="2"/>
      <c r="T83" s="2"/>
      <c r="V83" s="2"/>
    </row>
    <row r="84" hidden="1" spans="13:22">
      <c r="M84" s="2">
        <f>M90/M99</f>
        <v>0.5</v>
      </c>
      <c r="N84" s="2">
        <f>N90/N99</f>
        <v>1</v>
      </c>
      <c r="O84" s="1"/>
      <c r="Q84" s="2"/>
      <c r="R84" s="2"/>
      <c r="S84" s="2"/>
      <c r="T84" s="2"/>
      <c r="V84" s="2"/>
    </row>
    <row r="85" hidden="1" spans="1:22">
      <c r="A85" s="1" t="s">
        <v>74</v>
      </c>
      <c r="B85" s="1" t="s">
        <v>84</v>
      </c>
      <c r="C85" s="1" t="s">
        <v>85</v>
      </c>
      <c r="D85" s="1" t="s">
        <v>86</v>
      </c>
      <c r="E85" s="1" t="s">
        <v>87</v>
      </c>
      <c r="F85" s="2" t="s">
        <v>88</v>
      </c>
      <c r="G85" s="2" t="s">
        <v>89</v>
      </c>
      <c r="H85" s="1" t="s">
        <v>90</v>
      </c>
      <c r="I85" s="1" t="s">
        <v>111</v>
      </c>
      <c r="J85" s="1" t="s">
        <v>112</v>
      </c>
      <c r="K85" s="1" t="s">
        <v>91</v>
      </c>
      <c r="L85" s="1" t="s">
        <v>92</v>
      </c>
      <c r="M85" s="1" t="s">
        <v>93</v>
      </c>
      <c r="N85" s="1" t="s">
        <v>94</v>
      </c>
      <c r="O85" s="1"/>
      <c r="Q85" s="2"/>
      <c r="R85" s="2"/>
      <c r="S85" s="2"/>
      <c r="T85" s="2"/>
      <c r="V85" s="2"/>
    </row>
    <row r="86" hidden="1" spans="1:22">
      <c r="A86" s="1" t="s">
        <v>128</v>
      </c>
      <c r="B86" s="1">
        <v>5</v>
      </c>
      <c r="C86" s="1">
        <v>5</v>
      </c>
      <c r="D86" s="1">
        <f t="shared" ref="D86:D100" si="17">B86*F86/$M$6*0.5*3</f>
        <v>0</v>
      </c>
      <c r="E86" s="1">
        <f t="shared" ref="E86:E100" si="18">C86*G86/$M$6*0.5*3</f>
        <v>0</v>
      </c>
      <c r="F86" s="19">
        <v>0</v>
      </c>
      <c r="G86" s="19">
        <v>0</v>
      </c>
      <c r="H86" s="20">
        <f t="shared" ref="H86:H100" si="19">SUM(D86:E86)</f>
        <v>0</v>
      </c>
      <c r="I86" s="1" t="e">
        <f t="shared" ref="I86:I100" si="20">H52/H86</f>
        <v>#DIV/0!</v>
      </c>
      <c r="J86" s="1" t="e">
        <f t="shared" ref="J86:J100" si="21">I86/$V$27</f>
        <v>#DIV/0!</v>
      </c>
      <c r="K86" s="1">
        <v>0.7</v>
      </c>
      <c r="L86" s="1">
        <f t="shared" ref="L86:L100" si="22">H86*$U$27*K86</f>
        <v>0</v>
      </c>
      <c r="M86" s="1">
        <f t="shared" ref="M86:M100" si="23">H86*$I$25*$B$20/20</f>
        <v>0</v>
      </c>
      <c r="N86" s="1">
        <f t="shared" ref="N86:N100" si="24">MIN(H86*$I$49*12/20*(1+$B$37)^$H$49,6*(1+$B$37)^4/20/4)</f>
        <v>0</v>
      </c>
      <c r="O86" s="1"/>
      <c r="Q86" s="2"/>
      <c r="R86" s="2"/>
      <c r="S86" s="2"/>
      <c r="T86" s="2"/>
      <c r="V86" s="2"/>
    </row>
    <row r="87" hidden="1" spans="1:22">
      <c r="A87" s="1" t="s">
        <v>129</v>
      </c>
      <c r="B87" s="1">
        <v>5</v>
      </c>
      <c r="C87" s="1">
        <v>5</v>
      </c>
      <c r="D87" s="1">
        <f t="shared" si="17"/>
        <v>0.227272727272727</v>
      </c>
      <c r="E87" s="1">
        <f t="shared" si="18"/>
        <v>0</v>
      </c>
      <c r="F87" s="19">
        <f t="shared" ref="F87:F92" si="25">1/30</f>
        <v>0.0333333333333333</v>
      </c>
      <c r="G87" s="19">
        <v>0</v>
      </c>
      <c r="H87" s="20">
        <f t="shared" si="19"/>
        <v>0.227272727272727</v>
      </c>
      <c r="I87" s="1">
        <f t="shared" si="20"/>
        <v>1.68</v>
      </c>
      <c r="J87" s="1">
        <f t="shared" si="21"/>
        <v>1.61963117629008</v>
      </c>
      <c r="K87" s="1">
        <f t="shared" ref="K87:K100" si="26">$K$86</f>
        <v>0.7</v>
      </c>
      <c r="L87" s="1">
        <f t="shared" si="22"/>
        <v>1.67872293383974</v>
      </c>
      <c r="M87" s="1">
        <f t="shared" si="23"/>
        <v>0.203948355786313</v>
      </c>
      <c r="N87" s="1">
        <f t="shared" si="24"/>
        <v>0.187348614645301</v>
      </c>
      <c r="O87" s="1"/>
      <c r="Q87" s="2"/>
      <c r="R87" s="2"/>
      <c r="S87" s="2"/>
      <c r="T87" s="2"/>
      <c r="V87" s="2"/>
    </row>
    <row r="88" hidden="1" spans="1:22">
      <c r="A88" s="1" t="s">
        <v>130</v>
      </c>
      <c r="B88" s="1">
        <v>5</v>
      </c>
      <c r="C88" s="1">
        <v>5</v>
      </c>
      <c r="D88" s="1">
        <f t="shared" si="17"/>
        <v>0.227272727272727</v>
      </c>
      <c r="E88" s="1">
        <f t="shared" si="18"/>
        <v>0</v>
      </c>
      <c r="F88" s="19">
        <f t="shared" si="25"/>
        <v>0.0333333333333333</v>
      </c>
      <c r="G88" s="19">
        <v>0</v>
      </c>
      <c r="H88" s="20">
        <f t="shared" si="19"/>
        <v>0.227272727272727</v>
      </c>
      <c r="I88" s="1">
        <f t="shared" si="20"/>
        <v>1.68</v>
      </c>
      <c r="J88" s="1">
        <f t="shared" si="21"/>
        <v>1.61963117629008</v>
      </c>
      <c r="K88" s="1">
        <f t="shared" si="26"/>
        <v>0.7</v>
      </c>
      <c r="L88" s="1">
        <f t="shared" si="22"/>
        <v>1.67872293383974</v>
      </c>
      <c r="M88" s="1">
        <f t="shared" si="23"/>
        <v>0.203948355786313</v>
      </c>
      <c r="N88" s="1">
        <f t="shared" si="24"/>
        <v>0.187348614645301</v>
      </c>
      <c r="O88" s="1"/>
      <c r="Q88" s="2"/>
      <c r="R88" s="2"/>
      <c r="S88" s="2"/>
      <c r="T88" s="2"/>
      <c r="V88" s="2"/>
    </row>
    <row r="89" hidden="1" spans="1:22">
      <c r="A89" s="1" t="s">
        <v>131</v>
      </c>
      <c r="B89" s="1">
        <v>5</v>
      </c>
      <c r="C89" s="1">
        <v>5</v>
      </c>
      <c r="D89" s="1">
        <f t="shared" si="17"/>
        <v>0.227272727272727</v>
      </c>
      <c r="E89" s="1">
        <f t="shared" si="18"/>
        <v>0.454545454545454</v>
      </c>
      <c r="F89" s="19">
        <f t="shared" si="25"/>
        <v>0.0333333333333333</v>
      </c>
      <c r="G89" s="19">
        <f t="shared" ref="G89:G92" si="27">2/30</f>
        <v>0.0666666666666667</v>
      </c>
      <c r="H89" s="20">
        <f t="shared" si="19"/>
        <v>0.681818181818182</v>
      </c>
      <c r="I89" s="1">
        <f t="shared" si="20"/>
        <v>0.802666666666667</v>
      </c>
      <c r="J89" s="1">
        <f t="shared" si="21"/>
        <v>0.773823784227484</v>
      </c>
      <c r="K89" s="1">
        <f t="shared" si="26"/>
        <v>0.7</v>
      </c>
      <c r="L89" s="1">
        <f t="shared" si="22"/>
        <v>5.03616880151922</v>
      </c>
      <c r="M89" s="1">
        <f t="shared" si="23"/>
        <v>0.61184506735894</v>
      </c>
      <c r="N89" s="1">
        <f t="shared" si="24"/>
        <v>0.3796875</v>
      </c>
      <c r="O89" s="1"/>
      <c r="Q89" s="2"/>
      <c r="R89" s="2"/>
      <c r="S89" s="2"/>
      <c r="T89" s="2"/>
      <c r="V89" s="2"/>
    </row>
    <row r="90" hidden="1" spans="1:14">
      <c r="A90" s="1" t="s">
        <v>166</v>
      </c>
      <c r="B90" s="1">
        <v>5</v>
      </c>
      <c r="C90" s="1">
        <v>5</v>
      </c>
      <c r="D90" s="1">
        <f t="shared" si="17"/>
        <v>0.227272727272727</v>
      </c>
      <c r="E90" s="1">
        <f t="shared" si="18"/>
        <v>0.454545454545454</v>
      </c>
      <c r="F90" s="19">
        <f t="shared" si="25"/>
        <v>0.0333333333333333</v>
      </c>
      <c r="G90" s="19">
        <f t="shared" si="27"/>
        <v>0.0666666666666667</v>
      </c>
      <c r="H90" s="20">
        <f t="shared" si="19"/>
        <v>0.681818181818182</v>
      </c>
      <c r="I90" s="1">
        <f t="shared" si="20"/>
        <v>0.802666666666667</v>
      </c>
      <c r="J90" s="1">
        <f t="shared" si="21"/>
        <v>0.773823784227484</v>
      </c>
      <c r="K90" s="1">
        <f t="shared" si="26"/>
        <v>0.7</v>
      </c>
      <c r="L90" s="1">
        <f t="shared" si="22"/>
        <v>5.03616880151922</v>
      </c>
      <c r="M90" s="1">
        <f t="shared" si="23"/>
        <v>0.61184506735894</v>
      </c>
      <c r="N90" s="1">
        <f t="shared" si="24"/>
        <v>0.3796875</v>
      </c>
    </row>
    <row r="91" hidden="1" spans="1:14">
      <c r="A91" s="1" t="s">
        <v>167</v>
      </c>
      <c r="B91" s="1">
        <v>5</v>
      </c>
      <c r="C91" s="1">
        <v>5</v>
      </c>
      <c r="D91" s="1">
        <f t="shared" si="17"/>
        <v>0.227272727272727</v>
      </c>
      <c r="E91" s="1">
        <f t="shared" si="18"/>
        <v>0.454545454545454</v>
      </c>
      <c r="F91" s="19">
        <f t="shared" si="25"/>
        <v>0.0333333333333333</v>
      </c>
      <c r="G91" s="19">
        <f t="shared" si="27"/>
        <v>0.0666666666666667</v>
      </c>
      <c r="H91" s="20">
        <f t="shared" si="19"/>
        <v>0.681818181818182</v>
      </c>
      <c r="I91" s="1">
        <f t="shared" si="20"/>
        <v>0.802666666666667</v>
      </c>
      <c r="J91" s="1">
        <f t="shared" si="21"/>
        <v>0.773823784227484</v>
      </c>
      <c r="K91" s="1">
        <f t="shared" si="26"/>
        <v>0.7</v>
      </c>
      <c r="L91" s="1">
        <f t="shared" si="22"/>
        <v>5.03616880151922</v>
      </c>
      <c r="M91" s="1">
        <f t="shared" si="23"/>
        <v>0.61184506735894</v>
      </c>
      <c r="N91" s="1">
        <f t="shared" si="24"/>
        <v>0.3796875</v>
      </c>
    </row>
    <row r="92" hidden="1" spans="1:18">
      <c r="A92" s="1" t="s">
        <v>132</v>
      </c>
      <c r="B92" s="1">
        <v>5</v>
      </c>
      <c r="C92" s="1">
        <v>5</v>
      </c>
      <c r="D92" s="1">
        <f t="shared" si="17"/>
        <v>0.227272727272727</v>
      </c>
      <c r="E92" s="1">
        <f t="shared" si="18"/>
        <v>0.454545454545454</v>
      </c>
      <c r="F92" s="19">
        <f t="shared" si="25"/>
        <v>0.0333333333333333</v>
      </c>
      <c r="G92" s="19">
        <f t="shared" si="27"/>
        <v>0.0666666666666667</v>
      </c>
      <c r="H92" s="20">
        <f t="shared" si="19"/>
        <v>0.681818181818182</v>
      </c>
      <c r="I92" s="1">
        <f t="shared" si="20"/>
        <v>1.04533333333333</v>
      </c>
      <c r="J92" s="1">
        <f t="shared" si="21"/>
        <v>1.00777050969161</v>
      </c>
      <c r="K92" s="1">
        <f t="shared" si="26"/>
        <v>0.7</v>
      </c>
      <c r="L92" s="1">
        <f t="shared" si="22"/>
        <v>5.03616880151922</v>
      </c>
      <c r="M92" s="1">
        <f t="shared" si="23"/>
        <v>0.61184506735894</v>
      </c>
      <c r="N92" s="1">
        <f t="shared" si="24"/>
        <v>0.3796875</v>
      </c>
      <c r="Q92" s="2"/>
      <c r="R92" s="2"/>
    </row>
    <row r="93" hidden="1" spans="1:18">
      <c r="A93" s="1" t="s">
        <v>168</v>
      </c>
      <c r="B93" s="1">
        <v>5</v>
      </c>
      <c r="C93" s="1">
        <v>5</v>
      </c>
      <c r="D93" s="1">
        <f t="shared" si="17"/>
        <v>0.454545454545454</v>
      </c>
      <c r="E93" s="1">
        <f t="shared" si="18"/>
        <v>0.909090909090909</v>
      </c>
      <c r="F93" s="19">
        <f t="shared" ref="F93:F100" si="28">2/30</f>
        <v>0.0666666666666667</v>
      </c>
      <c r="G93" s="19">
        <f t="shared" ref="G93:G100" si="29">4/30</f>
        <v>0.133333333333333</v>
      </c>
      <c r="H93" s="20">
        <f t="shared" si="19"/>
        <v>1.36363636363636</v>
      </c>
      <c r="I93" s="1">
        <f t="shared" si="20"/>
        <v>0.672</v>
      </c>
      <c r="J93" s="1">
        <f t="shared" si="21"/>
        <v>0.647852470516033</v>
      </c>
      <c r="K93" s="1">
        <f t="shared" si="26"/>
        <v>0.7</v>
      </c>
      <c r="L93" s="1">
        <f t="shared" si="22"/>
        <v>10.0723376030384</v>
      </c>
      <c r="M93" s="1">
        <f t="shared" si="23"/>
        <v>1.22369013471788</v>
      </c>
      <c r="N93" s="1">
        <f t="shared" si="24"/>
        <v>0.3796875</v>
      </c>
      <c r="Q93" s="2"/>
      <c r="R93" s="2"/>
    </row>
    <row r="94" hidden="1" spans="1:18">
      <c r="A94" s="1" t="s">
        <v>169</v>
      </c>
      <c r="B94" s="1">
        <v>5</v>
      </c>
      <c r="C94" s="1">
        <v>5</v>
      </c>
      <c r="D94" s="1">
        <f t="shared" si="17"/>
        <v>0.454545454545454</v>
      </c>
      <c r="E94" s="1">
        <f t="shared" si="18"/>
        <v>0.909090909090909</v>
      </c>
      <c r="F94" s="19">
        <f t="shared" si="28"/>
        <v>0.0666666666666667</v>
      </c>
      <c r="G94" s="19">
        <f t="shared" si="29"/>
        <v>0.133333333333333</v>
      </c>
      <c r="H94" s="20">
        <f t="shared" si="19"/>
        <v>1.36363636363636</v>
      </c>
      <c r="I94" s="1">
        <f t="shared" si="20"/>
        <v>0.672</v>
      </c>
      <c r="J94" s="1">
        <f t="shared" si="21"/>
        <v>0.647852470516033</v>
      </c>
      <c r="K94" s="1">
        <f t="shared" si="26"/>
        <v>0.7</v>
      </c>
      <c r="L94" s="1">
        <f t="shared" si="22"/>
        <v>10.0723376030384</v>
      </c>
      <c r="M94" s="1">
        <f t="shared" si="23"/>
        <v>1.22369013471788</v>
      </c>
      <c r="N94" s="1">
        <f t="shared" si="24"/>
        <v>0.3796875</v>
      </c>
      <c r="Q94" s="2"/>
      <c r="R94" s="2"/>
    </row>
    <row r="95" hidden="1" spans="1:18">
      <c r="A95" s="1" t="s">
        <v>170</v>
      </c>
      <c r="B95" s="1">
        <v>5</v>
      </c>
      <c r="C95" s="1">
        <v>5</v>
      </c>
      <c r="D95" s="1">
        <f t="shared" si="17"/>
        <v>0.454545454545454</v>
      </c>
      <c r="E95" s="1">
        <f t="shared" si="18"/>
        <v>0.909090909090909</v>
      </c>
      <c r="F95" s="19">
        <f t="shared" si="28"/>
        <v>0.0666666666666667</v>
      </c>
      <c r="G95" s="19">
        <f t="shared" si="29"/>
        <v>0.133333333333333</v>
      </c>
      <c r="H95" s="20">
        <f t="shared" si="19"/>
        <v>1.36363636363636</v>
      </c>
      <c r="I95" s="1">
        <f t="shared" si="20"/>
        <v>0.72</v>
      </c>
      <c r="J95" s="1">
        <f t="shared" si="21"/>
        <v>0.694127646981464</v>
      </c>
      <c r="K95" s="1">
        <f t="shared" si="26"/>
        <v>0.7</v>
      </c>
      <c r="L95" s="1">
        <f t="shared" si="22"/>
        <v>10.0723376030384</v>
      </c>
      <c r="M95" s="1">
        <f t="shared" si="23"/>
        <v>1.22369013471788</v>
      </c>
      <c r="N95" s="1">
        <f t="shared" si="24"/>
        <v>0.3796875</v>
      </c>
      <c r="Q95" s="2"/>
      <c r="R95" s="2"/>
    </row>
    <row r="96" hidden="1" spans="1:14">
      <c r="A96" s="1" t="s">
        <v>133</v>
      </c>
      <c r="B96" s="1">
        <v>5</v>
      </c>
      <c r="C96" s="1">
        <v>5</v>
      </c>
      <c r="D96" s="1">
        <f t="shared" si="17"/>
        <v>0.454545454545454</v>
      </c>
      <c r="E96" s="1">
        <f t="shared" si="18"/>
        <v>0.909090909090909</v>
      </c>
      <c r="F96" s="19">
        <f t="shared" si="28"/>
        <v>0.0666666666666667</v>
      </c>
      <c r="G96" s="19">
        <f t="shared" si="29"/>
        <v>0.133333333333333</v>
      </c>
      <c r="H96" s="20">
        <f t="shared" si="19"/>
        <v>1.36363636363636</v>
      </c>
      <c r="I96" s="1">
        <f t="shared" si="20"/>
        <v>0.72</v>
      </c>
      <c r="J96" s="1">
        <f t="shared" si="21"/>
        <v>0.694127646981464</v>
      </c>
      <c r="K96" s="1">
        <f t="shared" si="26"/>
        <v>0.7</v>
      </c>
      <c r="L96" s="1">
        <f t="shared" si="22"/>
        <v>10.0723376030384</v>
      </c>
      <c r="M96" s="1">
        <f t="shared" si="23"/>
        <v>1.22369013471788</v>
      </c>
      <c r="N96" s="1">
        <f t="shared" si="24"/>
        <v>0.3796875</v>
      </c>
    </row>
    <row r="97" hidden="1" spans="1:14">
      <c r="A97" s="1" t="s">
        <v>171</v>
      </c>
      <c r="B97" s="1">
        <v>5</v>
      </c>
      <c r="C97" s="1">
        <v>5</v>
      </c>
      <c r="D97" s="1">
        <f t="shared" si="17"/>
        <v>0.454545454545454</v>
      </c>
      <c r="E97" s="1">
        <f t="shared" si="18"/>
        <v>0.909090909090909</v>
      </c>
      <c r="F97" s="19">
        <f t="shared" si="28"/>
        <v>0.0666666666666667</v>
      </c>
      <c r="G97" s="19">
        <f t="shared" si="29"/>
        <v>0.133333333333333</v>
      </c>
      <c r="H97" s="20">
        <f t="shared" si="19"/>
        <v>1.36363636363636</v>
      </c>
      <c r="I97" s="1">
        <f t="shared" si="20"/>
        <v>0.72</v>
      </c>
      <c r="J97" s="1">
        <f t="shared" si="21"/>
        <v>0.694127646981464</v>
      </c>
      <c r="K97" s="1">
        <f t="shared" si="26"/>
        <v>0.7</v>
      </c>
      <c r="L97" s="1">
        <f t="shared" si="22"/>
        <v>10.0723376030384</v>
      </c>
      <c r="M97" s="1">
        <f t="shared" si="23"/>
        <v>1.22369013471788</v>
      </c>
      <c r="N97" s="1">
        <f t="shared" si="24"/>
        <v>0.3796875</v>
      </c>
    </row>
    <row r="98" hidden="1" spans="1:14">
      <c r="A98" s="1" t="s">
        <v>172</v>
      </c>
      <c r="B98" s="1">
        <v>5</v>
      </c>
      <c r="C98" s="1">
        <v>5</v>
      </c>
      <c r="D98" s="1">
        <f t="shared" si="17"/>
        <v>0.454545454545454</v>
      </c>
      <c r="E98" s="1">
        <f t="shared" si="18"/>
        <v>0.909090909090909</v>
      </c>
      <c r="F98" s="19">
        <f t="shared" si="28"/>
        <v>0.0666666666666667</v>
      </c>
      <c r="G98" s="19">
        <f t="shared" si="29"/>
        <v>0.133333333333333</v>
      </c>
      <c r="H98" s="20">
        <f t="shared" si="19"/>
        <v>1.36363636363636</v>
      </c>
      <c r="I98" s="1">
        <f t="shared" si="20"/>
        <v>0.72</v>
      </c>
      <c r="J98" s="1">
        <f t="shared" si="21"/>
        <v>0.694127646981464</v>
      </c>
      <c r="K98" s="1">
        <f t="shared" si="26"/>
        <v>0.7</v>
      </c>
      <c r="L98" s="1">
        <f t="shared" si="22"/>
        <v>10.0723376030384</v>
      </c>
      <c r="M98" s="1">
        <f t="shared" si="23"/>
        <v>1.22369013471788</v>
      </c>
      <c r="N98" s="1">
        <f t="shared" si="24"/>
        <v>0.3796875</v>
      </c>
    </row>
    <row r="99" hidden="1" spans="1:14">
      <c r="A99" s="1" t="s">
        <v>173</v>
      </c>
      <c r="B99" s="1">
        <v>5</v>
      </c>
      <c r="C99" s="1">
        <v>5</v>
      </c>
      <c r="D99" s="1">
        <f t="shared" si="17"/>
        <v>0.454545454545454</v>
      </c>
      <c r="E99" s="1">
        <f t="shared" si="18"/>
        <v>0.909090909090909</v>
      </c>
      <c r="F99" s="19">
        <f t="shared" si="28"/>
        <v>0.0666666666666667</v>
      </c>
      <c r="G99" s="19">
        <f t="shared" si="29"/>
        <v>0.133333333333333</v>
      </c>
      <c r="H99" s="20">
        <f t="shared" si="19"/>
        <v>1.36363636363636</v>
      </c>
      <c r="I99" s="1">
        <f t="shared" si="20"/>
        <v>0.72</v>
      </c>
      <c r="J99" s="1">
        <f t="shared" si="21"/>
        <v>0.694127646981464</v>
      </c>
      <c r="K99" s="1">
        <f t="shared" si="26"/>
        <v>0.7</v>
      </c>
      <c r="L99" s="1">
        <f t="shared" si="22"/>
        <v>10.0723376030384</v>
      </c>
      <c r="M99" s="1">
        <f t="shared" si="23"/>
        <v>1.22369013471788</v>
      </c>
      <c r="N99" s="1">
        <f t="shared" si="24"/>
        <v>0.3796875</v>
      </c>
    </row>
    <row r="100" hidden="1" spans="1:14">
      <c r="A100" s="1" t="s">
        <v>134</v>
      </c>
      <c r="B100" s="1">
        <v>5</v>
      </c>
      <c r="C100" s="1">
        <v>5</v>
      </c>
      <c r="D100" s="1">
        <f t="shared" si="17"/>
        <v>0.454545454545454</v>
      </c>
      <c r="E100" s="1">
        <f t="shared" si="18"/>
        <v>0.909090909090909</v>
      </c>
      <c r="F100" s="19">
        <f t="shared" si="28"/>
        <v>0.0666666666666667</v>
      </c>
      <c r="G100" s="19">
        <f t="shared" si="29"/>
        <v>0.133333333333333</v>
      </c>
      <c r="H100" s="20">
        <f t="shared" si="19"/>
        <v>1.36363636363636</v>
      </c>
      <c r="I100" s="1">
        <f t="shared" si="20"/>
        <v>0.72</v>
      </c>
      <c r="J100" s="1">
        <f t="shared" si="21"/>
        <v>0.694127646981464</v>
      </c>
      <c r="K100" s="1">
        <f t="shared" si="26"/>
        <v>0.7</v>
      </c>
      <c r="L100" s="1">
        <f t="shared" si="22"/>
        <v>10.0723376030384</v>
      </c>
      <c r="M100" s="1">
        <f t="shared" si="23"/>
        <v>1.22369013471788</v>
      </c>
      <c r="N100" s="1">
        <f t="shared" si="24"/>
        <v>0.3796875</v>
      </c>
    </row>
    <row r="101" hidden="1"/>
    <row r="102" hidden="1"/>
    <row r="105" spans="6:7">
      <c r="F105" s="1">
        <f>F83-F73</f>
        <v>0.182</v>
      </c>
      <c r="G105" s="1">
        <f>G83-G73</f>
        <v>0.086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7"/>
  <sheetViews>
    <sheetView workbookViewId="0">
      <selection activeCell="P103" sqref="P103"/>
    </sheetView>
  </sheetViews>
  <sheetFormatPr defaultColWidth="9" defaultRowHeight="16.5"/>
  <cols>
    <col min="1" max="1" width="14.875" style="1" customWidth="1"/>
    <col min="2" max="2" width="18" style="1" customWidth="1"/>
    <col min="3" max="3" width="11.25" style="1" customWidth="1"/>
    <col min="4" max="11" width="9.00833333333333" style="1" customWidth="1"/>
    <col min="12" max="14" width="9.00833333333333" style="2" customWidth="1"/>
    <col min="15" max="16" width="10.625" style="2" customWidth="1"/>
    <col min="17" max="18" width="12.625" style="1"/>
    <col min="19" max="22" width="9.00833333333333" style="1" customWidth="1"/>
    <col min="23" max="24" width="9.375" style="1"/>
    <col min="25" max="16384" width="9" style="1"/>
  </cols>
  <sheetData>
    <row r="1" spans="1:20">
      <c r="A1" s="1" t="s">
        <v>0</v>
      </c>
      <c r="G1" s="3" t="s">
        <v>1</v>
      </c>
      <c r="H1" s="4" t="s">
        <v>2</v>
      </c>
      <c r="I1" s="22"/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</row>
    <row r="2" spans="2:20">
      <c r="B2" s="5" t="s">
        <v>12</v>
      </c>
      <c r="C2" s="6">
        <v>60</v>
      </c>
      <c r="G2" s="7"/>
      <c r="H2" s="8" t="s">
        <v>13</v>
      </c>
      <c r="I2" s="23">
        <v>1.2</v>
      </c>
      <c r="L2" s="2" t="s">
        <v>14</v>
      </c>
      <c r="M2" s="2">
        <v>1.3</v>
      </c>
      <c r="N2" s="2">
        <v>7</v>
      </c>
      <c r="O2" s="2">
        <f>3/1.5</f>
        <v>2</v>
      </c>
      <c r="P2" s="2">
        <f>3/2</f>
        <v>1.5</v>
      </c>
      <c r="Q2" s="2">
        <v>19.5</v>
      </c>
      <c r="R2" s="2">
        <v>0.5</v>
      </c>
      <c r="S2" s="2">
        <v>3</v>
      </c>
      <c r="T2" s="2">
        <v>0.8</v>
      </c>
    </row>
    <row r="3" spans="2:20">
      <c r="B3" s="1" t="s">
        <v>15</v>
      </c>
      <c r="C3" s="2">
        <v>2</v>
      </c>
      <c r="G3" s="3" t="s">
        <v>16</v>
      </c>
      <c r="H3" s="4" t="s">
        <v>17</v>
      </c>
      <c r="I3" s="22">
        <f>3*1.5</f>
        <v>4.5</v>
      </c>
      <c r="L3" s="2" t="s">
        <v>18</v>
      </c>
      <c r="M3" s="2">
        <v>1.6</v>
      </c>
      <c r="N3" s="2">
        <v>5</v>
      </c>
      <c r="O3" s="2">
        <f>3/1</f>
        <v>3</v>
      </c>
      <c r="P3" s="2">
        <f>3/1.5</f>
        <v>2</v>
      </c>
      <c r="Q3" s="2">
        <v>20.8</v>
      </c>
      <c r="R3" s="2"/>
      <c r="S3" s="2" t="s">
        <v>19</v>
      </c>
      <c r="T3" s="2" t="s">
        <v>20</v>
      </c>
    </row>
    <row r="4" spans="2:20">
      <c r="B4" s="5" t="s">
        <v>21</v>
      </c>
      <c r="C4" s="6" t="str">
        <f>IF((D4-C3*2)&lt;0,"相交",IF((D4-C3*2)&lt;0=0,"相切","否"))</f>
        <v>相交</v>
      </c>
      <c r="D4" s="5">
        <f>((D6-D7)^2+(E6-E7)^2)^0.5</f>
        <v>3.99644842328786</v>
      </c>
      <c r="E4" s="5"/>
      <c r="G4" s="9"/>
      <c r="H4" s="8" t="s">
        <v>22</v>
      </c>
      <c r="I4" s="23">
        <f>1*1.5+2</f>
        <v>3.5</v>
      </c>
      <c r="L4" s="2" t="s">
        <v>23</v>
      </c>
      <c r="M4" s="2">
        <v>1.5</v>
      </c>
      <c r="N4" s="2">
        <v>8</v>
      </c>
      <c r="O4" s="2">
        <f>3/1</f>
        <v>3</v>
      </c>
      <c r="P4" s="2">
        <f>3/3</f>
        <v>1</v>
      </c>
      <c r="Q4" s="2">
        <v>16</v>
      </c>
      <c r="R4" s="2"/>
      <c r="S4" s="2">
        <v>4.6</v>
      </c>
      <c r="T4" s="2">
        <v>6.2</v>
      </c>
    </row>
    <row r="5" spans="2:18">
      <c r="B5" s="5"/>
      <c r="C5" s="6"/>
      <c r="D5" s="6" t="s">
        <v>24</v>
      </c>
      <c r="E5" s="6" t="s">
        <v>25</v>
      </c>
      <c r="F5" s="2"/>
      <c r="G5" s="3" t="s">
        <v>26</v>
      </c>
      <c r="H5" s="4" t="s">
        <v>27</v>
      </c>
      <c r="I5" s="22">
        <v>0.5</v>
      </c>
      <c r="J5" s="2"/>
      <c r="L5" s="2" t="s">
        <v>28</v>
      </c>
      <c r="M5" s="2">
        <v>1.2</v>
      </c>
      <c r="N5" s="2">
        <v>8</v>
      </c>
      <c r="O5" s="2">
        <f>3/0.75</f>
        <v>4</v>
      </c>
      <c r="P5" s="2">
        <f>3/1</f>
        <v>3</v>
      </c>
      <c r="Q5" s="2">
        <v>20</v>
      </c>
      <c r="R5" s="2"/>
    </row>
    <row r="6" spans="2:18">
      <c r="B6" s="5" t="s">
        <v>29</v>
      </c>
      <c r="C6" s="6" t="s">
        <v>30</v>
      </c>
      <c r="D6" s="6">
        <v>0</v>
      </c>
      <c r="E6" s="6">
        <v>4</v>
      </c>
      <c r="F6" s="2"/>
      <c r="G6" s="10"/>
      <c r="H6" s="1" t="s">
        <v>31</v>
      </c>
      <c r="I6" s="24">
        <v>15</v>
      </c>
      <c r="J6" s="2"/>
      <c r="L6" s="25" t="s">
        <v>32</v>
      </c>
      <c r="M6" s="25">
        <v>1.1</v>
      </c>
      <c r="N6" s="2">
        <v>7</v>
      </c>
      <c r="O6" s="2">
        <f>3/1.25</f>
        <v>2.4</v>
      </c>
      <c r="P6" s="2">
        <f>3/2</f>
        <v>1.5</v>
      </c>
      <c r="Q6" s="25">
        <v>20</v>
      </c>
      <c r="R6" s="2"/>
    </row>
    <row r="7" spans="2:10">
      <c r="B7" s="5" t="s">
        <v>33</v>
      </c>
      <c r="C7" s="6" t="s">
        <v>29</v>
      </c>
      <c r="D7" s="6">
        <f>ROUND(D6*COS(C2/180*PI())-E6*SIN(C2/180*PI()),2)</f>
        <v>-3.46</v>
      </c>
      <c r="E7" s="6">
        <f>ROUND(D6*SIN(C2/180*PI())+E6*COS(C2/180*PI()),2)</f>
        <v>2</v>
      </c>
      <c r="F7" s="2"/>
      <c r="G7" s="10"/>
      <c r="H7" s="1" t="s">
        <v>34</v>
      </c>
      <c r="I7" s="24">
        <f>90-I6</f>
        <v>75</v>
      </c>
      <c r="J7" s="2"/>
    </row>
    <row r="8" spans="2:12">
      <c r="B8" s="5" t="s">
        <v>35</v>
      </c>
      <c r="C8" s="6" t="s">
        <v>36</v>
      </c>
      <c r="D8" s="6">
        <f>ROUND(D6*COS((-1)*C2/180*PI())-E6*SIN((-1)*C2/180*PI()),2)</f>
        <v>3.46</v>
      </c>
      <c r="E8" s="6">
        <f>ROUND(D6*SIN((-1)*C2/180*PI())+E6*COS((-1)*C2/180*PI()),2)</f>
        <v>2</v>
      </c>
      <c r="F8" s="2"/>
      <c r="G8" s="7"/>
      <c r="H8" s="8" t="s">
        <v>37</v>
      </c>
      <c r="I8" s="23">
        <v>90</v>
      </c>
      <c r="J8" s="2"/>
      <c r="L8" s="1"/>
    </row>
    <row r="9" hidden="1" spans="11:23">
      <c r="K9" s="2"/>
      <c r="Q9" s="2" t="s">
        <v>38</v>
      </c>
      <c r="R9" s="2" t="s">
        <v>39</v>
      </c>
      <c r="S9" s="2" t="s">
        <v>40</v>
      </c>
      <c r="T9" s="2" t="s">
        <v>41</v>
      </c>
      <c r="U9" s="2" t="s">
        <v>42</v>
      </c>
      <c r="W9" s="2"/>
    </row>
    <row r="10" hidden="1" spans="2:23">
      <c r="B10" s="2" t="s">
        <v>43</v>
      </c>
      <c r="C10" s="1" t="s">
        <v>44</v>
      </c>
      <c r="D10" s="1" t="s">
        <v>45</v>
      </c>
      <c r="E10" s="1" t="s">
        <v>46</v>
      </c>
      <c r="F10" s="2" t="s">
        <v>47</v>
      </c>
      <c r="H10" s="2"/>
      <c r="I10" s="2"/>
      <c r="K10" s="2"/>
      <c r="O10" s="12"/>
      <c r="Q10" s="2">
        <v>1</v>
      </c>
      <c r="R10" s="2">
        <v>5</v>
      </c>
      <c r="S10" s="2">
        <f>PI()*R10^2-PI()*$S$2^2</f>
        <v>50.2654824574367</v>
      </c>
      <c r="T10" s="2">
        <f>S10/(PI()*$R$2^2)</f>
        <v>64</v>
      </c>
      <c r="U10" s="12">
        <v>0.5</v>
      </c>
      <c r="W10" s="2"/>
    </row>
    <row r="11" hidden="1" spans="1:23">
      <c r="A11" s="1" t="s">
        <v>48</v>
      </c>
      <c r="B11" s="2">
        <v>7</v>
      </c>
      <c r="C11" s="1">
        <f>PI()*(C3+I2)^2</f>
        <v>32.1699087727595</v>
      </c>
      <c r="D11" s="1">
        <f>PI()*(N4^2-S2^2)</f>
        <v>172.787595947439</v>
      </c>
      <c r="E11" s="11">
        <f t="shared" ref="E11:E16" si="0">C11/D11</f>
        <v>0.186181818181818</v>
      </c>
      <c r="F11" s="2">
        <v>6</v>
      </c>
      <c r="G11" s="12"/>
      <c r="H11" s="12"/>
      <c r="I11" s="12"/>
      <c r="K11" s="2"/>
      <c r="O11" s="12"/>
      <c r="Q11" s="2">
        <v>2</v>
      </c>
      <c r="R11" s="2">
        <f t="shared" ref="R11:R18" si="1">R10+0.5</f>
        <v>5.5</v>
      </c>
      <c r="S11" s="2">
        <f>PI()*R11^2-PI()*$S$2^2</f>
        <v>66.7588438887831</v>
      </c>
      <c r="T11" s="2">
        <f>S11/(PI()*$R$2^2)</f>
        <v>85</v>
      </c>
      <c r="U11" s="12">
        <f t="shared" ref="U11:U18" si="2">U10+2%</f>
        <v>0.52</v>
      </c>
      <c r="W11" s="2"/>
    </row>
    <row r="12" hidden="1" spans="1:23">
      <c r="A12" s="1" t="s">
        <v>48</v>
      </c>
      <c r="B12" s="2">
        <v>11</v>
      </c>
      <c r="C12" s="1">
        <f>PI()*(C3+I2)^2</f>
        <v>32.1699087727595</v>
      </c>
      <c r="D12" s="1">
        <f>PI()*(N4^2-S2^2)</f>
        <v>172.787595947439</v>
      </c>
      <c r="E12" s="11">
        <f>C11/D11</f>
        <v>0.186181818181818</v>
      </c>
      <c r="K12" s="2"/>
      <c r="O12" s="12"/>
      <c r="Q12" s="2">
        <v>3</v>
      </c>
      <c r="R12" s="2">
        <f t="shared" si="1"/>
        <v>6</v>
      </c>
      <c r="S12" s="2">
        <f>PI()*R12^2-PI()*$S$2^2</f>
        <v>84.8230016469244</v>
      </c>
      <c r="T12" s="2">
        <f>S12/(PI()*$R$2^2)</f>
        <v>108</v>
      </c>
      <c r="U12" s="12">
        <f t="shared" si="2"/>
        <v>0.54</v>
      </c>
      <c r="W12" s="2"/>
    </row>
    <row r="13" hidden="1" spans="1:23">
      <c r="A13" s="1" t="s">
        <v>48</v>
      </c>
      <c r="B13" s="12">
        <v>0.5</v>
      </c>
      <c r="E13" s="13">
        <f>E12*(1+B13)^F11</f>
        <v>2.12072727272727</v>
      </c>
      <c r="K13" s="2"/>
      <c r="O13" s="12"/>
      <c r="Q13" s="2">
        <v>4</v>
      </c>
      <c r="R13" s="2">
        <f t="shared" si="1"/>
        <v>6.5</v>
      </c>
      <c r="S13" s="2">
        <f>PI()*R13^2-PI()*$S$2^2</f>
        <v>104.457955731861</v>
      </c>
      <c r="T13" s="2">
        <f>S13/(PI()*$R$2^2)</f>
        <v>133</v>
      </c>
      <c r="U13" s="12">
        <f t="shared" si="2"/>
        <v>0.56</v>
      </c>
      <c r="W13" s="2"/>
    </row>
    <row r="14" hidden="1" spans="2:23">
      <c r="B14" s="2" t="s">
        <v>49</v>
      </c>
      <c r="C14" s="1" t="s">
        <v>44</v>
      </c>
      <c r="D14" s="1" t="s">
        <v>45</v>
      </c>
      <c r="E14" s="1" t="s">
        <v>46</v>
      </c>
      <c r="F14" s="2" t="s">
        <v>47</v>
      </c>
      <c r="K14" s="2"/>
      <c r="O14" s="12"/>
      <c r="Q14" s="2">
        <v>5</v>
      </c>
      <c r="R14" s="2">
        <f t="shared" si="1"/>
        <v>7</v>
      </c>
      <c r="S14" s="2">
        <f>PI()*R14^2-PI()*$S$2^2</f>
        <v>125.663706143592</v>
      </c>
      <c r="T14" s="2">
        <f>S14/(PI()*$R$2^2)</f>
        <v>160</v>
      </c>
      <c r="U14" s="12">
        <f t="shared" si="2"/>
        <v>0.58</v>
      </c>
      <c r="W14" s="2"/>
    </row>
    <row r="15" hidden="1" spans="1:23">
      <c r="A15" s="1" t="s">
        <v>50</v>
      </c>
      <c r="B15" s="2">
        <v>7</v>
      </c>
      <c r="C15" s="1">
        <f>PI()*((C3+I4/2)^2+(I3/2)^2)</f>
        <v>60.0829594999048</v>
      </c>
      <c r="D15" s="1">
        <f>PI()*((N3*2)^2-S2^2)</f>
        <v>285.884931476671</v>
      </c>
      <c r="E15" s="11">
        <f t="shared" si="0"/>
        <v>0.210164835164835</v>
      </c>
      <c r="F15" s="2">
        <v>5</v>
      </c>
      <c r="K15" s="2"/>
      <c r="O15" s="12"/>
      <c r="Q15" s="2">
        <v>6</v>
      </c>
      <c r="R15" s="2">
        <f t="shared" si="1"/>
        <v>7.5</v>
      </c>
      <c r="S15" s="2">
        <f>PI()*R15^2-PI()*$S$2^2</f>
        <v>148.440252882118</v>
      </c>
      <c r="T15" s="2">
        <f>S15/(PI()*$R$2^2)</f>
        <v>189</v>
      </c>
      <c r="U15" s="12">
        <f t="shared" si="2"/>
        <v>0.6</v>
      </c>
      <c r="W15" s="2"/>
    </row>
    <row r="16" hidden="1" spans="1:23">
      <c r="A16" s="1" t="s">
        <v>50</v>
      </c>
      <c r="B16" s="2">
        <v>11</v>
      </c>
      <c r="C16" s="1">
        <f>PI()*((C3+I4/2)^2+(I3/2)^2)</f>
        <v>60.0829594999048</v>
      </c>
      <c r="D16" s="1">
        <f>PI()*((N3*2)^2-S2^2)</f>
        <v>285.884931476671</v>
      </c>
      <c r="E16" s="11">
        <f t="shared" si="0"/>
        <v>0.210164835164835</v>
      </c>
      <c r="K16" s="2"/>
      <c r="O16" s="12"/>
      <c r="Q16" s="2">
        <v>7</v>
      </c>
      <c r="R16" s="2">
        <f t="shared" si="1"/>
        <v>8</v>
      </c>
      <c r="S16" s="2">
        <f>PI()*R16^2-PI()*$S$2^2</f>
        <v>172.787595947439</v>
      </c>
      <c r="T16" s="2">
        <f>S16/(PI()*$R$2^2)</f>
        <v>220</v>
      </c>
      <c r="U16" s="12">
        <f t="shared" si="2"/>
        <v>0.62</v>
      </c>
      <c r="W16" s="2"/>
    </row>
    <row r="17" hidden="1" spans="1:23">
      <c r="A17" s="1" t="s">
        <v>50</v>
      </c>
      <c r="B17" s="12">
        <f>B13</f>
        <v>0.5</v>
      </c>
      <c r="E17" s="13">
        <f>E16*(1+B17)^F15</f>
        <v>1.59593921703297</v>
      </c>
      <c r="K17" s="2"/>
      <c r="O17" s="12"/>
      <c r="Q17" s="2">
        <v>8</v>
      </c>
      <c r="R17" s="2">
        <f t="shared" si="1"/>
        <v>8.5</v>
      </c>
      <c r="S17" s="2">
        <f>PI()*R17^2-PI()*$S$2^2</f>
        <v>198.705735339554</v>
      </c>
      <c r="T17" s="2">
        <f>S17/(PI()*$R$2^2)</f>
        <v>253</v>
      </c>
      <c r="U17" s="12">
        <f t="shared" si="2"/>
        <v>0.64</v>
      </c>
      <c r="W17" s="2"/>
    </row>
    <row r="18" hidden="1" spans="2:23">
      <c r="B18" s="2" t="s">
        <v>51</v>
      </c>
      <c r="C18" s="1" t="s">
        <v>52</v>
      </c>
      <c r="D18" s="1" t="s">
        <v>53</v>
      </c>
      <c r="E18" s="1" t="s">
        <v>54</v>
      </c>
      <c r="F18" s="1" t="s">
        <v>55</v>
      </c>
      <c r="G18" s="1" t="s">
        <v>56</v>
      </c>
      <c r="H18" s="1" t="s">
        <v>57</v>
      </c>
      <c r="I18" s="1" t="s">
        <v>58</v>
      </c>
      <c r="K18" s="2"/>
      <c r="O18" s="12"/>
      <c r="Q18" s="2">
        <v>9</v>
      </c>
      <c r="R18" s="2">
        <f t="shared" si="1"/>
        <v>9</v>
      </c>
      <c r="S18" s="2">
        <f>PI()*R18^2-PI()*$S$2^2</f>
        <v>226.194671058465</v>
      </c>
      <c r="T18" s="2">
        <f>S18/(PI()*$R$2^2)</f>
        <v>288</v>
      </c>
      <c r="U18" s="12">
        <f t="shared" si="2"/>
        <v>0.66</v>
      </c>
      <c r="W18" s="2"/>
    </row>
    <row r="19" hidden="1" spans="1:23">
      <c r="A19" s="1" t="s">
        <v>59</v>
      </c>
      <c r="B19" s="2">
        <v>7</v>
      </c>
      <c r="C19" s="1">
        <f>(2*C3^2/(1-COS(I6/180*PI())))^0.5</f>
        <v>15.3225951510808</v>
      </c>
      <c r="D19" s="1">
        <f>COS(I6/2/180*PI())*C19</f>
        <v>15.1915082254503</v>
      </c>
      <c r="E19" s="1">
        <f>2*D19*I5/C19</f>
        <v>0.99144486137381</v>
      </c>
      <c r="F19" s="13">
        <f>($S$2-E19)*TAN($I$6/2/180*PI())*($S$2-E19)</f>
        <v>0.531124847517513</v>
      </c>
      <c r="G19" s="1">
        <f>C3*D19</f>
        <v>30.3830164509006</v>
      </c>
      <c r="H19" s="1">
        <f>($N$2-E19)*TAN($I$6/2/180*PI())*($N$2-E19)</f>
        <v>4.75301521325293</v>
      </c>
      <c r="I19" s="1">
        <f>_xlfn.IFS((D19+E19)&lt;S$2,0,AND(E19&lt;S$2,(D19+E19)&lt;N$2),H19-F19,AND(E19&lt;S$2,(D19+E19)&gt;=N$2),G19-F19,AND(E19&lt;N$2,(D19+E19)&lt;N$2),G19,AND(E19&lt;N$2,(D19+E19)&gt;=N$2),H19,E19&gt;=7,0)</f>
        <v>29.8518916033831</v>
      </c>
      <c r="K19" s="2"/>
      <c r="O19" s="12"/>
      <c r="R19" s="2"/>
      <c r="S19" s="2"/>
      <c r="T19" s="2"/>
      <c r="U19" s="2"/>
      <c r="V19" s="12"/>
      <c r="W19" s="2"/>
    </row>
    <row r="20" hidden="1" spans="1:23">
      <c r="A20" s="1" t="s">
        <v>59</v>
      </c>
      <c r="B20" s="2">
        <v>11</v>
      </c>
      <c r="C20" s="1" t="s">
        <v>52</v>
      </c>
      <c r="D20" s="1" t="s">
        <v>53</v>
      </c>
      <c r="E20" s="1" t="s">
        <v>54</v>
      </c>
      <c r="F20" s="1" t="s">
        <v>55</v>
      </c>
      <c r="G20" s="1" t="s">
        <v>56</v>
      </c>
      <c r="H20" s="1" t="s">
        <v>57</v>
      </c>
      <c r="I20" s="1" t="s">
        <v>60</v>
      </c>
      <c r="K20" s="2"/>
      <c r="O20" s="12"/>
      <c r="Q20" s="1" t="s">
        <v>61</v>
      </c>
      <c r="R20" s="2" t="s">
        <v>62</v>
      </c>
      <c r="S20" s="2" t="s">
        <v>40</v>
      </c>
      <c r="T20" s="2" t="s">
        <v>42</v>
      </c>
      <c r="U20" s="2" t="s">
        <v>63</v>
      </c>
      <c r="V20" s="12"/>
      <c r="W20" s="2"/>
    </row>
    <row r="21" hidden="1" spans="1:23">
      <c r="A21" s="1" t="s">
        <v>59</v>
      </c>
      <c r="B21" s="12">
        <f>B13</f>
        <v>0.5</v>
      </c>
      <c r="C21" s="1">
        <f>(2*C3^2/(1-COS($I$7/180*PI())))^0.5</f>
        <v>3.28535926340916</v>
      </c>
      <c r="D21" s="1">
        <f>COS($I$7/2/180*PI())*C21</f>
        <v>2.60645074568241</v>
      </c>
      <c r="E21" s="1">
        <f>2*D21*I5/C21</f>
        <v>0.793353340291235</v>
      </c>
      <c r="F21" s="13">
        <f>(S2-E21)*TAN(I7/2/180*PI())*(S2-E21)</f>
        <v>3.73633723090285</v>
      </c>
      <c r="G21" s="1">
        <f>C3*D21</f>
        <v>5.21290149136482</v>
      </c>
      <c r="H21" s="1">
        <f>(N2-E21)*TAN(I7/2/180*PI())*(N2-E21)</f>
        <v>29.5593253179915</v>
      </c>
      <c r="I21" s="1">
        <f>_xlfn.IFS((D21+E21)&lt;S$2,0,AND(E21&lt;S$2,(D21+E21)&lt;N$2),H21-F21,AND(E21&lt;S$2,(D21+E21)&gt;=N$2),G21-F21,AND(E21&lt;N$2,(D21+E21)&lt;N$2),G21,AND(E21&lt;N$2,(D21+E21)&gt;=N$2),H21,E21&gt;=7,0)</f>
        <v>25.8229880870886</v>
      </c>
      <c r="K21" s="2"/>
      <c r="O21" s="12"/>
      <c r="R21" s="2">
        <v>1.2</v>
      </c>
      <c r="S21" s="2">
        <f>PI()*R21^2</f>
        <v>4.5238934211693</v>
      </c>
      <c r="T21" s="12">
        <v>0.88</v>
      </c>
      <c r="U21" s="2">
        <f>((R21+0.5)/$R$2)^2*T21</f>
        <v>10.1728</v>
      </c>
      <c r="V21" s="12"/>
      <c r="W21" s="2"/>
    </row>
    <row r="22" hidden="1" spans="2:23">
      <c r="B22" s="2"/>
      <c r="C22" s="1" t="s">
        <v>52</v>
      </c>
      <c r="D22" s="1" t="s">
        <v>53</v>
      </c>
      <c r="E22" s="1" t="s">
        <v>54</v>
      </c>
      <c r="F22" s="1" t="s">
        <v>55</v>
      </c>
      <c r="G22" s="1" t="s">
        <v>56</v>
      </c>
      <c r="H22" s="1" t="s">
        <v>57</v>
      </c>
      <c r="I22" s="1" t="s">
        <v>64</v>
      </c>
      <c r="K22" s="2"/>
      <c r="O22" s="12"/>
      <c r="R22" s="2"/>
      <c r="S22" s="2"/>
      <c r="T22" s="2"/>
      <c r="U22" s="2"/>
      <c r="V22" s="12"/>
      <c r="W22" s="2"/>
    </row>
    <row r="23" hidden="1" spans="2:23">
      <c r="B23" s="2"/>
      <c r="C23" s="1">
        <f>(2*C3^2/(1-COS($I$8/180*PI())))^0.5</f>
        <v>2.82842712474619</v>
      </c>
      <c r="D23" s="1">
        <f>COS($I$8/2/180*PI())*C23</f>
        <v>2</v>
      </c>
      <c r="E23" s="1">
        <f>2*D23*$I$5/C23</f>
        <v>0.707106781186548</v>
      </c>
      <c r="F23" s="13">
        <f>($S$2-E23)*TAN($I$8/2/180*PI())*($S$2-E23)</f>
        <v>5.25735931288071</v>
      </c>
      <c r="G23" s="1">
        <f>C3*D23</f>
        <v>4</v>
      </c>
      <c r="H23" s="1">
        <f>($N$2-E23)*TAN($I$8/2/180*PI())*($N$2-E23)</f>
        <v>39.6005050633883</v>
      </c>
      <c r="I23" s="1">
        <f>_xlfn.IFS((D23+E23)&lt;S$2,0,AND(E23&lt;S$2,(D23+E23)&lt;N$2),H23-F23,AND(E23&lt;S$2,(D23+E23)&gt;=N$2),G23-F23,AND(E23&lt;N$2,(D23+E23)&lt;N$2),G23,AND(E23&lt;N$2,(D23+E23)&gt;=N$2),H23,E23&gt;=7,0)</f>
        <v>0</v>
      </c>
      <c r="K23" s="2"/>
      <c r="O23" s="12"/>
      <c r="Q23" s="1" t="s">
        <v>65</v>
      </c>
      <c r="R23" s="2" t="s">
        <v>66</v>
      </c>
      <c r="S23" s="2" t="s">
        <v>40</v>
      </c>
      <c r="T23" s="2" t="s">
        <v>42</v>
      </c>
      <c r="U23" s="2" t="s">
        <v>63</v>
      </c>
      <c r="V23" s="12"/>
      <c r="W23" s="2"/>
    </row>
    <row r="24" hidden="1" spans="2:23">
      <c r="B24" s="2"/>
      <c r="C24" s="1" t="s">
        <v>67</v>
      </c>
      <c r="D24" s="1" t="s">
        <v>68</v>
      </c>
      <c r="E24" s="1" t="s">
        <v>69</v>
      </c>
      <c r="F24" s="14" t="s">
        <v>70</v>
      </c>
      <c r="G24" s="15" t="s">
        <v>71</v>
      </c>
      <c r="H24" s="2" t="s">
        <v>47</v>
      </c>
      <c r="I24" s="2" t="s">
        <v>72</v>
      </c>
      <c r="K24" s="2"/>
      <c r="O24" s="12"/>
      <c r="R24" s="2" t="s">
        <v>73</v>
      </c>
      <c r="S24" s="2">
        <f>4*2</f>
        <v>8</v>
      </c>
      <c r="T24" s="12">
        <v>0.88</v>
      </c>
      <c r="U24" s="2">
        <f>S24/(PI()*$R$2^2)*T24</f>
        <v>8.96360639493555</v>
      </c>
      <c r="V24" s="27">
        <f>U24/U21</f>
        <v>0.881134633034715</v>
      </c>
      <c r="W24" s="2"/>
    </row>
    <row r="25" hidden="1" spans="2:22">
      <c r="B25" s="2"/>
      <c r="C25" s="1">
        <f>($I$5+C3*2)*($N$2-$S$2)</f>
        <v>18</v>
      </c>
      <c r="D25" s="1">
        <f>PI()*($N$2^2-$S$2^2)</f>
        <v>125.663706143592</v>
      </c>
      <c r="E25" s="11">
        <f t="shared" ref="E25:E28" si="3">C25/D25</f>
        <v>0.143239448782706</v>
      </c>
      <c r="F25" s="16">
        <f>SUM(I19,I21,I23,C25*3)/D25</f>
        <v>0.872764961787375</v>
      </c>
      <c r="G25" s="16">
        <f>E25*3</f>
        <v>0.429718346348117</v>
      </c>
      <c r="H25" s="2">
        <v>6</v>
      </c>
      <c r="I25" s="1">
        <f>E25*(1+B21)^H25</f>
        <v>1.63158684629051</v>
      </c>
      <c r="R25" s="2"/>
      <c r="S25" s="2"/>
      <c r="T25" s="12"/>
      <c r="U25" s="2"/>
      <c r="V25" s="27"/>
    </row>
    <row r="26" hidden="1" spans="2:22">
      <c r="B26" s="2" t="s">
        <v>43</v>
      </c>
      <c r="C26" s="1" t="s">
        <v>44</v>
      </c>
      <c r="D26" s="1" t="s">
        <v>45</v>
      </c>
      <c r="E26" s="1" t="s">
        <v>46</v>
      </c>
      <c r="F26" s="2" t="s">
        <v>47</v>
      </c>
      <c r="K26" s="2"/>
      <c r="Q26" s="1" t="s">
        <v>74</v>
      </c>
      <c r="R26" s="2" t="s">
        <v>66</v>
      </c>
      <c r="S26" s="2" t="s">
        <v>40</v>
      </c>
      <c r="T26" s="2" t="s">
        <v>42</v>
      </c>
      <c r="U26" s="2" t="s">
        <v>63</v>
      </c>
      <c r="V26" s="2"/>
    </row>
    <row r="27" hidden="1" spans="1:22">
      <c r="A27" s="1" t="s">
        <v>75</v>
      </c>
      <c r="B27" s="2">
        <v>0.5</v>
      </c>
      <c r="C27" s="1">
        <f>PI()*(B27+I2)^2</f>
        <v>9.0792027688745</v>
      </c>
      <c r="D27" s="1">
        <f>PI()*(N4^2-S2^2)</f>
        <v>172.787595947439</v>
      </c>
      <c r="E27" s="11">
        <f t="shared" si="3"/>
        <v>0.0525454545454545</v>
      </c>
      <c r="F27" s="2">
        <v>4</v>
      </c>
      <c r="K27" s="2"/>
      <c r="P27" s="12"/>
      <c r="Q27" s="2"/>
      <c r="R27" s="2" t="s">
        <v>76</v>
      </c>
      <c r="S27" s="2">
        <f>6.5*1.5</f>
        <v>9.75</v>
      </c>
      <c r="T27" s="12">
        <v>0.85</v>
      </c>
      <c r="U27" s="2">
        <f>S27/(PI()*$R$2^2)*T27</f>
        <v>10.5519727269927</v>
      </c>
      <c r="V27" s="2">
        <f>U27/U21</f>
        <v>1.0372731919425</v>
      </c>
    </row>
    <row r="28" hidden="1" spans="1:19">
      <c r="A28" s="1" t="s">
        <v>75</v>
      </c>
      <c r="B28" s="2">
        <v>0.9</v>
      </c>
      <c r="C28" s="1">
        <f>PI()*(B28+I2)^2</f>
        <v>13.854423602331</v>
      </c>
      <c r="D28" s="1">
        <f>PI()*(N4^2-S2^2)</f>
        <v>172.787595947439</v>
      </c>
      <c r="E28" s="11">
        <f t="shared" si="3"/>
        <v>0.0801818181818182</v>
      </c>
      <c r="K28" s="2"/>
      <c r="P28" s="12"/>
      <c r="Q28" s="2"/>
      <c r="R28" s="2"/>
      <c r="S28" s="2"/>
    </row>
    <row r="29" hidden="1" spans="1:19">
      <c r="A29" s="1" t="s">
        <v>75</v>
      </c>
      <c r="B29" s="12">
        <f>B13</f>
        <v>0.5</v>
      </c>
      <c r="E29" s="13">
        <f>(1-(1-E28)^((1+B29)*0.5))*3</f>
        <v>0.18228056726074</v>
      </c>
      <c r="K29" s="2"/>
      <c r="P29" s="12"/>
      <c r="Q29" s="2"/>
      <c r="R29" s="2"/>
      <c r="S29" s="2"/>
    </row>
    <row r="30" hidden="1" spans="2:17">
      <c r="B30" s="2" t="s">
        <v>49</v>
      </c>
      <c r="C30" s="1" t="s">
        <v>44</v>
      </c>
      <c r="D30" s="1" t="s">
        <v>45</v>
      </c>
      <c r="E30" s="1" t="s">
        <v>46</v>
      </c>
      <c r="F30" s="2" t="s">
        <v>47</v>
      </c>
      <c r="K30" s="2"/>
      <c r="P30" s="12"/>
      <c r="Q30" s="2"/>
    </row>
    <row r="31" hidden="1" spans="1:17">
      <c r="A31" s="1" t="s">
        <v>77</v>
      </c>
      <c r="B31" s="2">
        <f t="shared" ref="B31:B33" si="4">B27</f>
        <v>0.5</v>
      </c>
      <c r="C31" s="1">
        <f>PI()*((B31+I4/2)^2+(I3/2)^2)</f>
        <v>31.8086256175967</v>
      </c>
      <c r="D31" s="1">
        <f>PI()*((N3*2)^2-S2^2)</f>
        <v>285.884931476671</v>
      </c>
      <c r="E31" s="11">
        <f>C31/D31</f>
        <v>0.111263736263736</v>
      </c>
      <c r="F31" s="2">
        <v>3</v>
      </c>
      <c r="K31" s="2"/>
      <c r="P31" s="12"/>
      <c r="Q31" s="2"/>
    </row>
    <row r="32" hidden="1" spans="1:17">
      <c r="A32" s="1" t="s">
        <v>77</v>
      </c>
      <c r="B32" s="2">
        <f t="shared" si="4"/>
        <v>0.9</v>
      </c>
      <c r="C32" s="1">
        <f>PI()*((B32+I4/2)^2+(I3/2)^2)</f>
        <v>37.9661472186326</v>
      </c>
      <c r="D32" s="1">
        <f>PI()*((N3*2)^2-S2^2)</f>
        <v>285.884931476671</v>
      </c>
      <c r="E32" s="11">
        <f>C32/D32</f>
        <v>0.132802197802198</v>
      </c>
      <c r="K32" s="2"/>
      <c r="P32" s="12"/>
      <c r="Q32" s="2"/>
    </row>
    <row r="33" hidden="1" spans="1:17">
      <c r="A33" s="1" t="s">
        <v>77</v>
      </c>
      <c r="B33" s="12">
        <f t="shared" si="4"/>
        <v>0.5</v>
      </c>
      <c r="E33" s="13">
        <f>(1-(1-E32)^((1+B33)*0.5))*3</f>
        <v>0.304062118848676</v>
      </c>
      <c r="K33" s="2"/>
      <c r="P33" s="12"/>
      <c r="Q33" s="2"/>
    </row>
    <row r="34" hidden="1" spans="2:17">
      <c r="B34" s="2" t="s">
        <v>78</v>
      </c>
      <c r="C34" s="1" t="s">
        <v>52</v>
      </c>
      <c r="D34" s="1" t="s">
        <v>53</v>
      </c>
      <c r="E34" s="1" t="s">
        <v>54</v>
      </c>
      <c r="F34" s="1" t="s">
        <v>55</v>
      </c>
      <c r="G34" s="1" t="s">
        <v>56</v>
      </c>
      <c r="H34" s="1" t="s">
        <v>57</v>
      </c>
      <c r="I34" s="1" t="s">
        <v>58</v>
      </c>
      <c r="K34" s="2"/>
      <c r="P34" s="12"/>
      <c r="Q34" s="2"/>
    </row>
    <row r="35" hidden="1" spans="1:17">
      <c r="A35" s="1" t="s">
        <v>79</v>
      </c>
      <c r="B35" s="2">
        <f t="shared" ref="B35:B37" si="5">B31</f>
        <v>0.5</v>
      </c>
      <c r="C35" s="1">
        <f>(2*B35^2/(1-COS($I$6/180*PI())))^0.5</f>
        <v>3.8306487877702</v>
      </c>
      <c r="D35" s="1">
        <f>COS($I$6/2/180*PI())*C35</f>
        <v>3.79787705636258</v>
      </c>
      <c r="E35" s="1">
        <f>2*D35*$I$5/C35</f>
        <v>0.99144486137381</v>
      </c>
      <c r="F35" s="13">
        <f>($S$2-E35)*TAN($I$6/2/180*PI())*($S$2-E35)</f>
        <v>0.531124847517513</v>
      </c>
      <c r="G35" s="1">
        <f>B35*D35</f>
        <v>1.89893852818129</v>
      </c>
      <c r="H35" s="1">
        <f>($N$2-E35)*TAN($I$6/2/180*PI())*($N$2-E35)</f>
        <v>4.75301521325293</v>
      </c>
      <c r="I35" s="1">
        <f>_xlfn.IFS((D35+E35)&lt;S$2,0,AND(E35&lt;S$2,(D35+E35)&lt;N$2),H35-F35,AND(E35&lt;S$2,(D35+E35)&gt;=N$2),G35-F35,AND(E35&lt;N$2,(D35+E35)&lt;N$2),G35,AND(E35&lt;N$2,(D35+E35)&gt;=N$2),H35,E35&gt;=7,0)</f>
        <v>4.22189036573542</v>
      </c>
      <c r="K35" s="2"/>
      <c r="P35" s="12"/>
      <c r="Q35" s="2"/>
    </row>
    <row r="36" hidden="1" spans="1:17">
      <c r="A36" s="1" t="s">
        <v>79</v>
      </c>
      <c r="B36" s="2">
        <f t="shared" si="5"/>
        <v>0.9</v>
      </c>
      <c r="C36" s="1" t="s">
        <v>52</v>
      </c>
      <c r="D36" s="1" t="s">
        <v>53</v>
      </c>
      <c r="E36" s="1" t="s">
        <v>54</v>
      </c>
      <c r="F36" s="1" t="s">
        <v>55</v>
      </c>
      <c r="G36" s="1" t="s">
        <v>56</v>
      </c>
      <c r="H36" s="1" t="s">
        <v>57</v>
      </c>
      <c r="I36" s="1" t="s">
        <v>60</v>
      </c>
      <c r="K36" s="2"/>
      <c r="P36" s="12"/>
      <c r="Q36" s="2"/>
    </row>
    <row r="37" hidden="1" spans="1:17">
      <c r="A37" s="1" t="s">
        <v>79</v>
      </c>
      <c r="B37" s="12">
        <f t="shared" si="5"/>
        <v>0.5</v>
      </c>
      <c r="C37" s="1">
        <f>(2*B35^2/(1-COS($I$7/180*PI())))^0.5</f>
        <v>0.821339815852291</v>
      </c>
      <c r="D37" s="1">
        <f>COS($I$7/2/180*PI())*C37</f>
        <v>0.651612686420603</v>
      </c>
      <c r="E37" s="1">
        <f>2*D37*$I$5/C37</f>
        <v>0.793353340291235</v>
      </c>
      <c r="F37" s="13">
        <f>($S$2-E37)*TAN($I$6/2/180*PI())*($S$2-E37)</f>
        <v>0.641054121623861</v>
      </c>
      <c r="G37" s="1">
        <f>B35*D37</f>
        <v>0.325806343210301</v>
      </c>
      <c r="H37" s="1">
        <f>($N$2-E37)*TAN($I$6/2/180*PI())*($N$2-E37)</f>
        <v>5.07157843537054</v>
      </c>
      <c r="I37" s="1">
        <f>_xlfn.IFS((D37+E37)&lt;S$2,0,AND(E37&lt;S$2,(D37+E37)&lt;N$2),H37-F37,AND(E37&lt;S$2,(D37+E37)&gt;=N$2),G37-F37,AND(E37&lt;N$2,(D37+E37)&lt;N$2),G37,AND(E37&lt;N$2,(D37+E37)&gt;=N$2),H37,E37&gt;=7,0)</f>
        <v>0</v>
      </c>
      <c r="K37" s="2"/>
      <c r="P37" s="12"/>
      <c r="Q37" s="2"/>
    </row>
    <row r="38" hidden="1" spans="2:17">
      <c r="B38" s="2"/>
      <c r="C38" s="1" t="s">
        <v>52</v>
      </c>
      <c r="D38" s="1" t="s">
        <v>53</v>
      </c>
      <c r="E38" s="1" t="s">
        <v>54</v>
      </c>
      <c r="F38" s="1" t="s">
        <v>55</v>
      </c>
      <c r="G38" s="1" t="s">
        <v>56</v>
      </c>
      <c r="H38" s="1" t="s">
        <v>57</v>
      </c>
      <c r="I38" s="1" t="s">
        <v>64</v>
      </c>
      <c r="K38" s="2"/>
      <c r="P38" s="12"/>
      <c r="Q38" s="2"/>
    </row>
    <row r="39" hidden="1" spans="2:17">
      <c r="B39" s="2"/>
      <c r="C39" s="1">
        <f>(2*B35^2/(1-COS($I$8/180*PI())))^0.5</f>
        <v>0.707106781186548</v>
      </c>
      <c r="D39" s="1">
        <f>COS($I$8/2/180*PI())*C39</f>
        <v>0.5</v>
      </c>
      <c r="E39" s="1">
        <f>2*D39*$I$5/C39</f>
        <v>0.707106781186548</v>
      </c>
      <c r="F39" s="13">
        <f>($S$2-E39)*TAN($I$8/2/180*PI())*($S$2-E39)</f>
        <v>5.25735931288071</v>
      </c>
      <c r="G39" s="1">
        <f>B35*D39</f>
        <v>0.25</v>
      </c>
      <c r="H39" s="1">
        <f>($N$2-E39)*TAN($I$8/2/180*PI())*($N$2-E39)</f>
        <v>39.6005050633883</v>
      </c>
      <c r="I39" s="1">
        <f>_xlfn.IFS((D39+E39)&lt;S$2,0,AND(E39&lt;S$2,(D39+E39)&lt;N$2),H39-F39,AND(E39&lt;S$2,(D39+E39)&gt;=N$2),G39-F39,AND(E39&lt;N$2,(D39+E39)&lt;N$2),G39,AND(E39&lt;N$2,(D39+E39)&gt;=N$2),H39,E39&gt;=7,0)</f>
        <v>0</v>
      </c>
      <c r="K39" s="2"/>
      <c r="P39" s="12"/>
      <c r="Q39" s="2"/>
    </row>
    <row r="40" hidden="1" spans="2:17">
      <c r="B40" s="2"/>
      <c r="C40" s="1" t="s">
        <v>67</v>
      </c>
      <c r="D40" s="1" t="s">
        <v>68</v>
      </c>
      <c r="E40" s="1" t="s">
        <v>69</v>
      </c>
      <c r="F40" s="17" t="s">
        <v>80</v>
      </c>
      <c r="G40" s="5" t="s">
        <v>81</v>
      </c>
      <c r="K40" s="2"/>
      <c r="P40" s="12"/>
      <c r="Q40" s="2"/>
    </row>
    <row r="41" hidden="1" spans="3:17">
      <c r="C41" s="1">
        <f>($I$5+B35*2)*($N$2-$S$2)</f>
        <v>6</v>
      </c>
      <c r="D41" s="1">
        <f>PI()*($N$5^2-$S$2^2)</f>
        <v>172.787595947439</v>
      </c>
      <c r="E41" s="11">
        <f>C41/D41</f>
        <v>0.0347247148564135</v>
      </c>
      <c r="F41" s="18">
        <f>SUM(I35,I37,I39,C41*6)/D41</f>
        <v>0.232782278989348</v>
      </c>
      <c r="G41" s="17">
        <f>9*F41</f>
        <v>2.09504051090413</v>
      </c>
      <c r="K41" s="2"/>
      <c r="P41" s="12"/>
      <c r="Q41" s="2"/>
    </row>
    <row r="42" hidden="1" spans="3:18">
      <c r="C42" s="1" t="s">
        <v>52</v>
      </c>
      <c r="D42" s="1" t="s">
        <v>53</v>
      </c>
      <c r="E42" s="1" t="s">
        <v>54</v>
      </c>
      <c r="F42" s="1" t="s">
        <v>55</v>
      </c>
      <c r="G42" s="1" t="s">
        <v>56</v>
      </c>
      <c r="H42" s="1" t="s">
        <v>57</v>
      </c>
      <c r="I42" s="1" t="s">
        <v>58</v>
      </c>
      <c r="M42" s="1"/>
      <c r="Q42" s="2"/>
      <c r="R42" s="2"/>
    </row>
    <row r="43" hidden="1" spans="3:17">
      <c r="C43" s="1">
        <f>(2*B36^2/(1-COS($I$6/180*PI())))^0.5</f>
        <v>6.89516781798635</v>
      </c>
      <c r="D43" s="1">
        <f>COS($I$6/2/180*PI())*C43</f>
        <v>6.83617870145264</v>
      </c>
      <c r="E43" s="1">
        <f>2*D43*$I$5/C43</f>
        <v>0.99144486137381</v>
      </c>
      <c r="F43" s="13">
        <f>($S$2-E43)*TAN($I$6/2/180*PI())*($S$2-E43)</f>
        <v>0.531124847517513</v>
      </c>
      <c r="G43" s="1">
        <f>B36*D43</f>
        <v>6.15256083130737</v>
      </c>
      <c r="H43" s="1">
        <f>($N$2-E43)*TAN($I$6/2/180*PI())*($N$2-E43)</f>
        <v>4.75301521325293</v>
      </c>
      <c r="I43" s="1">
        <f>_xlfn.IFS((D43+E43)&lt;S$2,0,AND(E43&lt;S$2,(D43+E43)&lt;N$2),H43-F43,AND(E43&lt;S$2,(D43+E43)&gt;=N$2),G43-F43,AND(E43&lt;N$2,(D43+E43)&lt;N$2),G43,AND(E43&lt;N$2,(D43+E43)&gt;=N$2),H43,E43&gt;=7,0)</f>
        <v>5.62143598378986</v>
      </c>
      <c r="M43" s="1"/>
      <c r="N43" s="1"/>
      <c r="O43" s="1"/>
      <c r="Q43" s="2"/>
    </row>
    <row r="44" hidden="1" spans="3:17">
      <c r="C44" s="1" t="s">
        <v>52</v>
      </c>
      <c r="D44" s="1" t="s">
        <v>53</v>
      </c>
      <c r="E44" s="1" t="s">
        <v>54</v>
      </c>
      <c r="F44" s="1" t="s">
        <v>55</v>
      </c>
      <c r="G44" s="1" t="s">
        <v>56</v>
      </c>
      <c r="H44" s="1" t="s">
        <v>57</v>
      </c>
      <c r="I44" s="1" t="s">
        <v>60</v>
      </c>
      <c r="M44" s="1"/>
      <c r="N44" s="1"/>
      <c r="O44" s="1"/>
      <c r="Q44" s="2"/>
    </row>
    <row r="45" hidden="1" spans="3:17">
      <c r="C45" s="1">
        <f>(2*B36^2/(1-COS($I$7/180*PI())))^0.5</f>
        <v>1.47841166853412</v>
      </c>
      <c r="D45" s="1">
        <f>COS($I$7/2/180*PI())*C45</f>
        <v>1.17290283555709</v>
      </c>
      <c r="E45" s="1">
        <f>2*D45*$I$5/C45</f>
        <v>0.793353340291235</v>
      </c>
      <c r="F45" s="13">
        <f>($S$2-E45)*TAN($I$6/2/180*PI())*($S$2-E45)</f>
        <v>0.641054121623861</v>
      </c>
      <c r="G45" s="1">
        <f>B36*D45</f>
        <v>1.05561255200138</v>
      </c>
      <c r="H45" s="1">
        <f>($N$2-E45)*TAN($I$6/2/180*PI())*($N$2-E45)</f>
        <v>5.07157843537054</v>
      </c>
      <c r="I45" s="1">
        <f>_xlfn.IFS((D45+E45)&lt;S$2,0,AND(E45&lt;S$2,(D45+E45)&lt;N$2),H45-F45,AND(E45&lt;S$2,(D45+E45)&gt;=N$2),G45-F45,AND(E45&lt;N$2,(D45+E45)&lt;N$2),G45,AND(E45&lt;N$2,(D45+E45)&gt;=N$2),H45,E45&gt;=7,0)</f>
        <v>0</v>
      </c>
      <c r="M45" s="1"/>
      <c r="N45" s="1"/>
      <c r="O45" s="1"/>
      <c r="Q45" s="2"/>
    </row>
    <row r="46" hidden="1" spans="3:17">
      <c r="C46" s="1" t="s">
        <v>52</v>
      </c>
      <c r="D46" s="1" t="s">
        <v>53</v>
      </c>
      <c r="E46" s="1" t="s">
        <v>54</v>
      </c>
      <c r="F46" s="1" t="s">
        <v>55</v>
      </c>
      <c r="G46" s="1" t="s">
        <v>56</v>
      </c>
      <c r="H46" s="1" t="s">
        <v>57</v>
      </c>
      <c r="I46" s="1" t="s">
        <v>64</v>
      </c>
      <c r="M46" s="1"/>
      <c r="N46" s="1"/>
      <c r="O46" s="1"/>
      <c r="Q46" s="2"/>
    </row>
    <row r="47" hidden="1" spans="3:17">
      <c r="C47" s="1">
        <f>(2*B36^2/(1-COS($I$8/180*PI())))^0.5</f>
        <v>1.27279220613579</v>
      </c>
      <c r="D47" s="1">
        <f>COS($I$8/2/180*PI())*C47</f>
        <v>0.9</v>
      </c>
      <c r="E47" s="1">
        <f>2*D47*$I$5/C47</f>
        <v>0.707106781186548</v>
      </c>
      <c r="F47" s="13">
        <f>($S$2-E47)*TAN($I$8/2/180*PI())*($S$2-E47)</f>
        <v>5.25735931288071</v>
      </c>
      <c r="G47" s="1">
        <f>B36*D47</f>
        <v>0.81</v>
      </c>
      <c r="H47" s="1">
        <f>($N$2-E47)*TAN($I$8/2/180*PI())*($N$2-E47)</f>
        <v>39.6005050633883</v>
      </c>
      <c r="I47" s="1">
        <f>_xlfn.IFS((D47+E47)&lt;S$2,0,AND(E47&lt;S$2,(D47+E47)&lt;N$2),H47-F47,AND(E47&lt;S$2,(D47+E47)&gt;=N$2),G47-F47,AND(E47&lt;N$2,(D47+E47)&lt;N$2),G47,AND(E47&lt;N$2,(D47+E47)&gt;=N$2),H47,E47&gt;=7,0)</f>
        <v>0</v>
      </c>
      <c r="M47" s="1"/>
      <c r="N47" s="1"/>
      <c r="O47" s="1"/>
      <c r="Q47" s="2"/>
    </row>
    <row r="48" hidden="1" spans="3:16">
      <c r="C48" s="1" t="s">
        <v>67</v>
      </c>
      <c r="D48" s="1" t="s">
        <v>68</v>
      </c>
      <c r="E48" s="1" t="s">
        <v>69</v>
      </c>
      <c r="F48" s="14" t="s">
        <v>80</v>
      </c>
      <c r="G48" s="15" t="s">
        <v>82</v>
      </c>
      <c r="H48" s="2" t="s">
        <v>47</v>
      </c>
      <c r="I48" s="2" t="s">
        <v>72</v>
      </c>
      <c r="M48" s="1"/>
      <c r="N48" s="1"/>
      <c r="O48" s="1"/>
      <c r="P48" s="1"/>
    </row>
    <row r="49" hidden="1" spans="3:18">
      <c r="C49" s="1">
        <f>($I$5+B36*2)*($N$2-$S$2)</f>
        <v>9.2</v>
      </c>
      <c r="D49" s="1">
        <f>PI()*($N$5^2-$S$2^2)</f>
        <v>172.787595947439</v>
      </c>
      <c r="E49" s="11">
        <f>C49/D49</f>
        <v>0.0532445627798341</v>
      </c>
      <c r="F49" s="16">
        <f>SUM(I43,I45,I47,C49*6)/D49</f>
        <v>0.352001170282452</v>
      </c>
      <c r="G49" s="16">
        <f>E49*3</f>
        <v>0.159733688339502</v>
      </c>
      <c r="H49" s="2">
        <v>6</v>
      </c>
      <c r="I49" s="13">
        <f>(1-(1-E49)^((1+B37)*0.5))*3</f>
        <v>0.120615843356463</v>
      </c>
      <c r="M49" s="1"/>
      <c r="N49" s="26"/>
      <c r="O49" s="26"/>
      <c r="P49" s="26"/>
      <c r="Q49" s="26"/>
      <c r="R49" s="26"/>
    </row>
    <row r="50" hidden="1" spans="11:18">
      <c r="K50" s="1">
        <f>K56/K65</f>
        <v>0.557407407407407</v>
      </c>
      <c r="L50" s="2">
        <f>L56/L65</f>
        <v>0.798057465388839</v>
      </c>
      <c r="M50" s="1"/>
      <c r="Q50" s="2"/>
      <c r="R50" s="2"/>
    </row>
    <row r="51" hidden="1" spans="1:18">
      <c r="A51" s="1" t="s">
        <v>83</v>
      </c>
      <c r="B51" s="1" t="s">
        <v>84</v>
      </c>
      <c r="C51" s="1" t="s">
        <v>85</v>
      </c>
      <c r="D51" s="1" t="s">
        <v>86</v>
      </c>
      <c r="E51" s="1" t="s">
        <v>87</v>
      </c>
      <c r="F51" s="2" t="s">
        <v>88</v>
      </c>
      <c r="G51" s="2" t="s">
        <v>89</v>
      </c>
      <c r="H51" s="1" t="s">
        <v>90</v>
      </c>
      <c r="I51" s="1" t="s">
        <v>91</v>
      </c>
      <c r="J51" s="1" t="s">
        <v>92</v>
      </c>
      <c r="K51" s="1" t="s">
        <v>93</v>
      </c>
      <c r="L51" s="1" t="s">
        <v>94</v>
      </c>
      <c r="M51" s="1"/>
      <c r="Q51" s="2"/>
      <c r="R51" s="2"/>
    </row>
    <row r="52" hidden="1" spans="1:17">
      <c r="A52" s="1" t="s">
        <v>95</v>
      </c>
      <c r="B52" s="1">
        <v>3</v>
      </c>
      <c r="C52" s="1">
        <v>13</v>
      </c>
      <c r="D52" s="1">
        <f>B52*F52/$M$4*(ROUNDDOWN($Q$4/$M$4,0)/(ROUNDDOWN($Q$4/$M$4,0)+1))</f>
        <v>0</v>
      </c>
      <c r="E52" s="1">
        <f>C52*G52/$M$4*(1/(ROUNDDOWN($Q$4/$M$4,0)+1))</f>
        <v>0</v>
      </c>
      <c r="F52" s="19">
        <v>0</v>
      </c>
      <c r="G52" s="19">
        <v>0</v>
      </c>
      <c r="H52" s="20">
        <f t="shared" ref="H52:H66" si="6">E52+D52</f>
        <v>0</v>
      </c>
      <c r="I52" s="1">
        <v>1</v>
      </c>
      <c r="J52" s="1">
        <f t="shared" ref="J52:J66" si="7">H52*$U$21*I52</f>
        <v>0</v>
      </c>
      <c r="K52" s="1">
        <f t="shared" ref="K52:K66" si="8">H52*$E$13*$B$12/20</f>
        <v>0</v>
      </c>
      <c r="L52" s="1">
        <f t="shared" ref="L52:L66" si="9">MIN(H52*$E$29*12/20*(1+$B$29)^$F$27,6*(1+$B$29)^4/20/4)</f>
        <v>0</v>
      </c>
      <c r="M52" s="1"/>
      <c r="N52" s="1"/>
      <c r="O52" s="1"/>
      <c r="Q52" s="2"/>
    </row>
    <row r="53" hidden="1" spans="1:17">
      <c r="A53" s="21" t="s">
        <v>96</v>
      </c>
      <c r="B53" s="1">
        <v>3</v>
      </c>
      <c r="C53" s="1">
        <v>13</v>
      </c>
      <c r="D53" s="1">
        <f>B53*F53/$M$4*(ROUNDDOWN($Q$4/$M$4,0)/(ROUNDDOWN($Q$4/$M$4,0)+1))</f>
        <v>0.381818181818182</v>
      </c>
      <c r="E53" s="1">
        <f>C53*G53/$M$4*(1/(ROUNDDOWN($Q$4/$M$4,0)+1))</f>
        <v>0</v>
      </c>
      <c r="F53" s="19">
        <v>0.21</v>
      </c>
      <c r="G53" s="19">
        <v>0</v>
      </c>
      <c r="H53" s="20">
        <f t="shared" si="6"/>
        <v>0.381818181818182</v>
      </c>
      <c r="I53" s="1">
        <f t="shared" ref="I53:I66" si="10">$I$52</f>
        <v>1</v>
      </c>
      <c r="J53" s="1">
        <f t="shared" si="7"/>
        <v>3.88416</v>
      </c>
      <c r="K53" s="1">
        <f t="shared" si="8"/>
        <v>0.445352727272727</v>
      </c>
      <c r="L53" s="1">
        <f t="shared" si="9"/>
        <v>0.211404030620808</v>
      </c>
      <c r="M53" s="1"/>
      <c r="N53" s="1"/>
      <c r="O53" s="1"/>
      <c r="Q53" s="2"/>
    </row>
    <row r="54" hidden="1" spans="1:17">
      <c r="A54" s="1" t="s">
        <v>97</v>
      </c>
      <c r="B54" s="1">
        <v>3</v>
      </c>
      <c r="C54" s="1">
        <v>13</v>
      </c>
      <c r="D54" s="1">
        <f>B54*F54/$M$4*(ROUNDDOWN($Q$4/$M$4,0)/(ROUNDDOWN($Q$4/$M$4,0)+1))</f>
        <v>0.381818181818182</v>
      </c>
      <c r="E54" s="1">
        <f>C54*G54/$M$4*(1/(ROUNDDOWN($Q$4/$M$4,0)+1))</f>
        <v>0</v>
      </c>
      <c r="F54" s="19">
        <v>0.21</v>
      </c>
      <c r="G54" s="19">
        <v>0</v>
      </c>
      <c r="H54" s="20">
        <f t="shared" si="6"/>
        <v>0.381818181818182</v>
      </c>
      <c r="I54" s="1">
        <f t="shared" si="10"/>
        <v>1</v>
      </c>
      <c r="J54" s="1">
        <f t="shared" si="7"/>
        <v>3.88416</v>
      </c>
      <c r="K54" s="1">
        <f t="shared" si="8"/>
        <v>0.445352727272727</v>
      </c>
      <c r="L54" s="1">
        <f t="shared" si="9"/>
        <v>0.211404030620808</v>
      </c>
      <c r="M54" s="1"/>
      <c r="N54" s="1"/>
      <c r="O54" s="1"/>
      <c r="Q54" s="2"/>
    </row>
    <row r="55" hidden="1" spans="1:18">
      <c r="A55" s="21" t="s">
        <v>98</v>
      </c>
      <c r="B55" s="1">
        <v>3</v>
      </c>
      <c r="C55" s="1">
        <v>13</v>
      </c>
      <c r="D55" s="1">
        <f>B55*F55/$M$4*(ROUNDDOWN($Q$4/$M$4,0)/(ROUNDDOWN($Q$4/$M$4,0)+1))</f>
        <v>0.381818181818182</v>
      </c>
      <c r="E55" s="1">
        <f>C55*G55/$M$4*(1/(ROUNDDOWN($Q$4/$M$4,0)+1))</f>
        <v>0.165454545454545</v>
      </c>
      <c r="F55" s="19">
        <v>0.21</v>
      </c>
      <c r="G55" s="19">
        <v>0.21</v>
      </c>
      <c r="H55" s="20">
        <f t="shared" si="6"/>
        <v>0.547272727272727</v>
      </c>
      <c r="I55" s="1">
        <f t="shared" si="10"/>
        <v>1</v>
      </c>
      <c r="J55" s="1">
        <f t="shared" si="7"/>
        <v>5.567296</v>
      </c>
      <c r="K55" s="1">
        <f t="shared" si="8"/>
        <v>0.638338909090909</v>
      </c>
      <c r="L55" s="1">
        <f t="shared" si="9"/>
        <v>0.303012443889825</v>
      </c>
      <c r="M55" s="1"/>
      <c r="Q55" s="2"/>
      <c r="R55" s="2"/>
    </row>
    <row r="56" hidden="1" spans="1:22">
      <c r="A56" s="1" t="s">
        <v>150</v>
      </c>
      <c r="B56" s="1">
        <v>3</v>
      </c>
      <c r="C56" s="1">
        <v>13</v>
      </c>
      <c r="D56" s="1">
        <f>B56*F56/$M$4*(ROUNDDOWN($Q$4/$M$4,0)/(ROUNDDOWN($Q$4/$M$4,0)+1))</f>
        <v>0.381818181818182</v>
      </c>
      <c r="E56" s="1">
        <f>C56*G56/$M$4*(1/(ROUNDDOWN($Q$4/$M$4,0)+1))</f>
        <v>0.165454545454545</v>
      </c>
      <c r="F56" s="19">
        <v>0.21</v>
      </c>
      <c r="G56" s="19">
        <v>0.21</v>
      </c>
      <c r="H56" s="20">
        <f t="shared" si="6"/>
        <v>0.547272727272727</v>
      </c>
      <c r="I56" s="1">
        <f t="shared" si="10"/>
        <v>1</v>
      </c>
      <c r="J56" s="1">
        <f t="shared" si="7"/>
        <v>5.567296</v>
      </c>
      <c r="K56" s="1">
        <f t="shared" si="8"/>
        <v>0.638338909090909</v>
      </c>
      <c r="L56" s="1">
        <f t="shared" si="9"/>
        <v>0.303012443889825</v>
      </c>
      <c r="O56" s="1"/>
      <c r="Q56" s="2"/>
      <c r="R56" s="2"/>
      <c r="S56" s="2"/>
      <c r="T56" s="2"/>
      <c r="U56" s="2"/>
      <c r="V56" s="2"/>
    </row>
    <row r="57" hidden="1" spans="1:20">
      <c r="A57" s="1" t="s">
        <v>151</v>
      </c>
      <c r="B57" s="1">
        <v>3</v>
      </c>
      <c r="C57" s="1">
        <v>13</v>
      </c>
      <c r="D57" s="1">
        <f>B57*F57/$M$4*(ROUNDDOWN($Q$4/$M$4,0)/(ROUNDDOWN($Q$4/$M$4,0)+1))</f>
        <v>0.381818181818182</v>
      </c>
      <c r="E57" s="1">
        <f>C57*G57/$M$4*(1/(ROUNDDOWN($Q$4/$M$4,0)+1))</f>
        <v>0.165454545454545</v>
      </c>
      <c r="F57" s="19">
        <v>0.21</v>
      </c>
      <c r="G57" s="19">
        <v>0.21</v>
      </c>
      <c r="H57" s="20">
        <f t="shared" si="6"/>
        <v>0.547272727272727</v>
      </c>
      <c r="I57" s="1">
        <f t="shared" si="10"/>
        <v>1</v>
      </c>
      <c r="J57" s="1">
        <f t="shared" si="7"/>
        <v>5.567296</v>
      </c>
      <c r="K57" s="1">
        <f t="shared" si="8"/>
        <v>0.638338909090909</v>
      </c>
      <c r="L57" s="1">
        <f t="shared" si="9"/>
        <v>0.303012443889825</v>
      </c>
      <c r="O57" s="1"/>
      <c r="Q57" s="2"/>
      <c r="R57" s="2"/>
      <c r="S57" s="2"/>
      <c r="T57" s="2"/>
    </row>
    <row r="58" hidden="1" spans="1:20">
      <c r="A58" s="21" t="s">
        <v>99</v>
      </c>
      <c r="B58" s="1">
        <v>3</v>
      </c>
      <c r="C58" s="1">
        <v>26</v>
      </c>
      <c r="D58" s="1">
        <f>B58*F58/$M$4*(ROUNDDOWN($Q$4/$M$4,0)/(ROUNDDOWN($Q$4/$M$4,0)+1))</f>
        <v>0.381818181818182</v>
      </c>
      <c r="E58" s="1">
        <f>C58*G58/$M$4*(1/(ROUNDDOWN($Q$4/$M$4,0)+1))</f>
        <v>0.330909090909091</v>
      </c>
      <c r="F58" s="19">
        <v>0.21</v>
      </c>
      <c r="G58" s="19">
        <v>0.21</v>
      </c>
      <c r="H58" s="20">
        <f t="shared" si="6"/>
        <v>0.712727272727273</v>
      </c>
      <c r="I58" s="1">
        <f t="shared" si="10"/>
        <v>1</v>
      </c>
      <c r="J58" s="1">
        <f t="shared" si="7"/>
        <v>7.250432</v>
      </c>
      <c r="K58" s="1">
        <f t="shared" si="8"/>
        <v>0.831325090909091</v>
      </c>
      <c r="L58" s="1">
        <f t="shared" si="9"/>
        <v>0.3796875</v>
      </c>
      <c r="O58" s="1"/>
      <c r="Q58" s="2"/>
      <c r="R58" s="2"/>
      <c r="S58" s="2"/>
      <c r="T58" s="2"/>
    </row>
    <row r="59" hidden="1" spans="1:20">
      <c r="A59" s="21" t="s">
        <v>152</v>
      </c>
      <c r="B59" s="1">
        <v>3</v>
      </c>
      <c r="C59" s="1">
        <v>26</v>
      </c>
      <c r="D59" s="1">
        <f>B59*F59/$M$4*(ROUNDDOWN($Q$4/$M$4,0)/(ROUNDDOWN($Q$4/$M$4,0)+1))</f>
        <v>0.490909090909091</v>
      </c>
      <c r="E59" s="1">
        <f>C59*G59/$M$4*(1/(ROUNDDOWN($Q$4/$M$4,0)+1))</f>
        <v>0.425454545454546</v>
      </c>
      <c r="F59" s="19">
        <v>0.27</v>
      </c>
      <c r="G59" s="19">
        <v>0.27</v>
      </c>
      <c r="H59" s="20">
        <f t="shared" si="6"/>
        <v>0.916363636363636</v>
      </c>
      <c r="I59" s="1">
        <f t="shared" si="10"/>
        <v>1</v>
      </c>
      <c r="J59" s="1">
        <f t="shared" si="7"/>
        <v>9.321984</v>
      </c>
      <c r="K59" s="1">
        <f t="shared" si="8"/>
        <v>1.06884654545455</v>
      </c>
      <c r="L59" s="1">
        <f t="shared" si="9"/>
        <v>0.3796875</v>
      </c>
      <c r="O59" s="1"/>
      <c r="Q59" s="2"/>
      <c r="R59" s="2"/>
      <c r="S59" s="2"/>
      <c r="T59" s="2"/>
    </row>
    <row r="60" hidden="1" spans="1:20">
      <c r="A60" s="1" t="s">
        <v>153</v>
      </c>
      <c r="B60" s="1">
        <v>3</v>
      </c>
      <c r="C60" s="1">
        <v>26</v>
      </c>
      <c r="D60" s="1">
        <f>B60*F60/$M$4*(ROUNDDOWN($Q$4/$M$4,0)/(ROUNDDOWN($Q$4/$M$4,0)+1))</f>
        <v>0.490909090909091</v>
      </c>
      <c r="E60" s="1">
        <f>C60*G60/$M$4*(1/(ROUNDDOWN($Q$4/$M$4,0)+1))</f>
        <v>0.425454545454546</v>
      </c>
      <c r="F60" s="19">
        <v>0.27</v>
      </c>
      <c r="G60" s="19">
        <v>0.27</v>
      </c>
      <c r="H60" s="20">
        <f t="shared" si="6"/>
        <v>0.916363636363636</v>
      </c>
      <c r="I60" s="1">
        <f t="shared" si="10"/>
        <v>1</v>
      </c>
      <c r="J60" s="1">
        <f t="shared" si="7"/>
        <v>9.321984</v>
      </c>
      <c r="K60" s="1">
        <f t="shared" si="8"/>
        <v>1.06884654545455</v>
      </c>
      <c r="L60" s="1">
        <f t="shared" si="9"/>
        <v>0.3796875</v>
      </c>
      <c r="O60" s="1"/>
      <c r="Q60" s="2"/>
      <c r="R60" s="2"/>
      <c r="S60" s="2"/>
      <c r="T60" s="2"/>
    </row>
    <row r="61" hidden="1" spans="1:20">
      <c r="A61" s="1" t="s">
        <v>154</v>
      </c>
      <c r="B61" s="1">
        <v>3</v>
      </c>
      <c r="C61" s="1">
        <v>30</v>
      </c>
      <c r="D61" s="1">
        <f>B61*F61/$M$4*(ROUNDDOWN($Q$4/$M$4,0)/(ROUNDDOWN($Q$4/$M$4,0)+1))</f>
        <v>0.490909090909091</v>
      </c>
      <c r="E61" s="1">
        <f>C61*G61/$M$4*(1/(ROUNDDOWN($Q$4/$M$4,0)+1))</f>
        <v>0.490909090909091</v>
      </c>
      <c r="F61" s="19">
        <v>0.27</v>
      </c>
      <c r="G61" s="19">
        <v>0.27</v>
      </c>
      <c r="H61" s="20">
        <f t="shared" si="6"/>
        <v>0.981818181818182</v>
      </c>
      <c r="I61" s="1">
        <f t="shared" si="10"/>
        <v>1</v>
      </c>
      <c r="J61" s="1">
        <f t="shared" si="7"/>
        <v>9.98784</v>
      </c>
      <c r="K61" s="1">
        <f t="shared" si="8"/>
        <v>1.14519272727273</v>
      </c>
      <c r="L61" s="1">
        <f t="shared" si="9"/>
        <v>0.3796875</v>
      </c>
      <c r="O61" s="1"/>
      <c r="Q61" s="2"/>
      <c r="R61" s="2"/>
      <c r="S61" s="2"/>
      <c r="T61" s="2"/>
    </row>
    <row r="62" hidden="1" spans="1:20">
      <c r="A62" s="1" t="s">
        <v>100</v>
      </c>
      <c r="B62" s="1">
        <v>3</v>
      </c>
      <c r="C62" s="1">
        <v>30</v>
      </c>
      <c r="D62" s="1">
        <f>B62*F62/$M$4*(ROUNDDOWN($Q$4/$M$4,0)/(ROUNDDOWN($Q$4/$M$4,0)+1))</f>
        <v>0.490909090909091</v>
      </c>
      <c r="E62" s="1">
        <f>C62*G62/$M$4*(1/(ROUNDDOWN($Q$4/$M$4,0)+1))</f>
        <v>0.490909090909091</v>
      </c>
      <c r="F62" s="19">
        <v>0.27</v>
      </c>
      <c r="G62" s="19">
        <v>0.27</v>
      </c>
      <c r="H62" s="20">
        <f t="shared" si="6"/>
        <v>0.981818181818182</v>
      </c>
      <c r="I62" s="1">
        <f t="shared" si="10"/>
        <v>1</v>
      </c>
      <c r="J62" s="1">
        <f t="shared" si="7"/>
        <v>9.98784</v>
      </c>
      <c r="K62" s="1">
        <f t="shared" si="8"/>
        <v>1.14519272727273</v>
      </c>
      <c r="L62" s="1">
        <f t="shared" si="9"/>
        <v>0.3796875</v>
      </c>
      <c r="O62" s="1"/>
      <c r="Q62" s="2"/>
      <c r="R62" s="2"/>
      <c r="S62" s="2"/>
      <c r="T62" s="2"/>
    </row>
    <row r="63" hidden="1" spans="1:20">
      <c r="A63" s="21" t="s">
        <v>155</v>
      </c>
      <c r="B63" s="1">
        <v>3</v>
      </c>
      <c r="C63" s="1">
        <v>30</v>
      </c>
      <c r="D63" s="1">
        <f>B63*F63/$M$4*(ROUNDDOWN($Q$4/$M$4,0)/(ROUNDDOWN($Q$4/$M$4,0)+1))</f>
        <v>0.490909090909091</v>
      </c>
      <c r="E63" s="1">
        <f>C63*G63/$M$4*(1/(ROUNDDOWN($Q$4/$M$4,0)+1))</f>
        <v>0.490909090909091</v>
      </c>
      <c r="F63" s="19">
        <v>0.27</v>
      </c>
      <c r="G63" s="19">
        <v>0.27</v>
      </c>
      <c r="H63" s="20">
        <f t="shared" si="6"/>
        <v>0.981818181818182</v>
      </c>
      <c r="I63" s="1">
        <f t="shared" si="10"/>
        <v>1</v>
      </c>
      <c r="J63" s="1">
        <f t="shared" si="7"/>
        <v>9.98784</v>
      </c>
      <c r="K63" s="1">
        <f t="shared" si="8"/>
        <v>1.14519272727273</v>
      </c>
      <c r="L63" s="1">
        <f t="shared" si="9"/>
        <v>0.3796875</v>
      </c>
      <c r="O63" s="1"/>
      <c r="Q63" s="2"/>
      <c r="R63" s="2"/>
      <c r="S63" s="2"/>
      <c r="T63" s="2"/>
    </row>
    <row r="64" hidden="1" spans="1:20">
      <c r="A64" s="1" t="s">
        <v>156</v>
      </c>
      <c r="B64" s="1">
        <v>3</v>
      </c>
      <c r="C64" s="1">
        <v>30</v>
      </c>
      <c r="D64" s="1">
        <f>B64*F64/$M$4*(ROUNDDOWN($Q$4/$M$4,0)/(ROUNDDOWN($Q$4/$M$4,0)+1))</f>
        <v>0.490909090909091</v>
      </c>
      <c r="E64" s="1">
        <f>C64*G64/$M$4*(1/(ROUNDDOWN($Q$4/$M$4,0)+1))</f>
        <v>0.490909090909091</v>
      </c>
      <c r="F64" s="19">
        <v>0.27</v>
      </c>
      <c r="G64" s="19">
        <v>0.27</v>
      </c>
      <c r="H64" s="20">
        <f t="shared" si="6"/>
        <v>0.981818181818182</v>
      </c>
      <c r="I64" s="1">
        <f t="shared" si="10"/>
        <v>1</v>
      </c>
      <c r="J64" s="1">
        <f t="shared" si="7"/>
        <v>9.98784</v>
      </c>
      <c r="K64" s="1">
        <f t="shared" si="8"/>
        <v>1.14519272727273</v>
      </c>
      <c r="L64" s="1">
        <f t="shared" si="9"/>
        <v>0.3796875</v>
      </c>
      <c r="O64" s="1"/>
      <c r="Q64" s="2"/>
      <c r="R64" s="2"/>
      <c r="S64" s="2"/>
      <c r="T64" s="2"/>
    </row>
    <row r="65" hidden="1" spans="1:20">
      <c r="A65" s="1" t="s">
        <v>157</v>
      </c>
      <c r="B65" s="1">
        <v>3</v>
      </c>
      <c r="C65" s="1">
        <v>30</v>
      </c>
      <c r="D65" s="1">
        <f>B65*F65/$M$4*(ROUNDDOWN($Q$4/$M$4,0)/(ROUNDDOWN($Q$4/$M$4,0)+1))</f>
        <v>0.490909090909091</v>
      </c>
      <c r="E65" s="1">
        <f>C65*G65/$M$4*(1/(ROUNDDOWN($Q$4/$M$4,0)+1))</f>
        <v>0.490909090909091</v>
      </c>
      <c r="F65" s="19">
        <v>0.27</v>
      </c>
      <c r="G65" s="19">
        <v>0.27</v>
      </c>
      <c r="H65" s="20">
        <f t="shared" si="6"/>
        <v>0.981818181818182</v>
      </c>
      <c r="I65" s="1">
        <f t="shared" si="10"/>
        <v>1</v>
      </c>
      <c r="J65" s="1">
        <f t="shared" si="7"/>
        <v>9.98784</v>
      </c>
      <c r="K65" s="1">
        <f t="shared" si="8"/>
        <v>1.14519272727273</v>
      </c>
      <c r="L65" s="1">
        <f t="shared" si="9"/>
        <v>0.3796875</v>
      </c>
      <c r="O65" s="1"/>
      <c r="Q65" s="2"/>
      <c r="R65" s="2"/>
      <c r="S65" s="2"/>
      <c r="T65" s="2"/>
    </row>
    <row r="66" hidden="1" spans="1:20">
      <c r="A66" s="1" t="s">
        <v>101</v>
      </c>
      <c r="B66" s="1">
        <v>3</v>
      </c>
      <c r="C66" s="1">
        <v>30</v>
      </c>
      <c r="D66" s="1">
        <f>B66*F66/$M$4*(ROUNDDOWN($Q$4/$M$4,0)/(ROUNDDOWN($Q$4/$M$4,0)+1))</f>
        <v>0.490909090909091</v>
      </c>
      <c r="E66" s="1">
        <f>C66*G66/$M$4*(1/(ROUNDDOWN($Q$4/$M$4,0)+1))</f>
        <v>0.490909090909091</v>
      </c>
      <c r="F66" s="19">
        <v>0.27</v>
      </c>
      <c r="G66" s="19">
        <v>0.27</v>
      </c>
      <c r="H66" s="20">
        <f t="shared" si="6"/>
        <v>0.981818181818182</v>
      </c>
      <c r="I66" s="1">
        <f t="shared" si="10"/>
        <v>1</v>
      </c>
      <c r="J66" s="1">
        <f t="shared" si="7"/>
        <v>9.98784</v>
      </c>
      <c r="K66" s="1">
        <f t="shared" si="8"/>
        <v>1.14519272727273</v>
      </c>
      <c r="L66" s="1">
        <f t="shared" si="9"/>
        <v>0.3796875</v>
      </c>
      <c r="O66" s="1"/>
      <c r="Q66" s="2"/>
      <c r="R66" s="2"/>
      <c r="S66" s="2"/>
      <c r="T66" s="2"/>
    </row>
    <row r="67" hidden="1" spans="12:20">
      <c r="L67" s="2">
        <f>L73/L82</f>
        <v>0.414957451451015</v>
      </c>
      <c r="M67" s="2">
        <f>M73/M83</f>
        <v>0.600779360540747</v>
      </c>
      <c r="O67" s="1"/>
      <c r="Q67" s="2"/>
      <c r="R67" s="2"/>
      <c r="S67" s="2"/>
      <c r="T67" s="2"/>
    </row>
    <row r="68" hidden="1" spans="1:20">
      <c r="A68" s="1" t="s">
        <v>65</v>
      </c>
      <c r="B68" s="1" t="s">
        <v>110</v>
      </c>
      <c r="C68" s="1" t="s">
        <v>85</v>
      </c>
      <c r="D68" s="1" t="s">
        <v>86</v>
      </c>
      <c r="E68" s="1" t="s">
        <v>87</v>
      </c>
      <c r="F68" s="2" t="s">
        <v>88</v>
      </c>
      <c r="G68" s="2" t="s">
        <v>89</v>
      </c>
      <c r="H68" s="1" t="s">
        <v>111</v>
      </c>
      <c r="I68" s="1" t="s">
        <v>112</v>
      </c>
      <c r="J68" s="1" t="s">
        <v>91</v>
      </c>
      <c r="K68" s="1" t="s">
        <v>92</v>
      </c>
      <c r="L68" s="1" t="s">
        <v>93</v>
      </c>
      <c r="M68" s="1" t="s">
        <v>94</v>
      </c>
      <c r="O68" s="1"/>
      <c r="Q68" s="2"/>
      <c r="R68" s="2"/>
      <c r="S68" s="2"/>
      <c r="T68" s="2"/>
    </row>
    <row r="69" hidden="1" spans="1:20">
      <c r="A69" s="1" t="s">
        <v>113</v>
      </c>
      <c r="B69" s="28">
        <v>3</v>
      </c>
      <c r="C69" s="28">
        <v>12</v>
      </c>
      <c r="D69" s="20">
        <f>(B69*F69/$M$3*(ROUNDDOWN($Q$3/$M$3,0)/(ROUNDDOWN($Q$3/$M$3,0)+1)))</f>
        <v>0</v>
      </c>
      <c r="E69" s="20">
        <f>C69*G69/$M$4*(1/(ROUNDDOWN($Q$4/$M$4,0)+1))</f>
        <v>0</v>
      </c>
      <c r="F69" s="29">
        <v>0</v>
      </c>
      <c r="G69" s="29">
        <v>0</v>
      </c>
      <c r="H69" s="1" t="e">
        <f t="shared" ref="H69:H83" si="11">H52/SUM(D69,E69)</f>
        <v>#DIV/0!</v>
      </c>
      <c r="I69" s="1" t="e">
        <f t="shared" ref="I69:I83" si="12">H69/$V$24</f>
        <v>#DIV/0!</v>
      </c>
      <c r="J69" s="1">
        <v>1.25</v>
      </c>
      <c r="K69" s="1">
        <f t="shared" ref="K69:K83" si="13">SUM(D69,E69)*$U$24*J69</f>
        <v>0</v>
      </c>
      <c r="L69" s="1">
        <f t="shared" ref="L69:L83" si="14">SUM(D69,E69)*$E$17*$B$16/20</f>
        <v>0</v>
      </c>
      <c r="M69" s="1">
        <f t="shared" ref="M69:M83" si="15">MIN(SUM(D69:E69)*$E$33*12/20*(1+$B$33)^$F$31,6*(1+$B$33)^4/20/4)</f>
        <v>0</v>
      </c>
      <c r="O69" s="1"/>
      <c r="Q69" s="2"/>
      <c r="R69" s="2"/>
      <c r="S69" s="2"/>
      <c r="T69" s="2"/>
    </row>
    <row r="70" hidden="1" spans="1:20">
      <c r="A70" s="21" t="s">
        <v>114</v>
      </c>
      <c r="B70" s="28">
        <v>3</v>
      </c>
      <c r="C70" s="28">
        <v>12</v>
      </c>
      <c r="D70" s="20">
        <f>(B70*F70/$M$3*(ROUNDDOWN($Q$3/$M$3,0)/(ROUNDDOWN($Q$3/$M$3,0)+1)))</f>
        <v>0.174107142857143</v>
      </c>
      <c r="E70" s="20">
        <f>C70*G70/$M$4*(1/(ROUNDDOWN($Q$4/$M$4,0)+1))</f>
        <v>0</v>
      </c>
      <c r="F70" s="29">
        <v>0.1</v>
      </c>
      <c r="G70" s="29">
        <v>0</v>
      </c>
      <c r="H70" s="1">
        <f t="shared" si="11"/>
        <v>2.19300699300699</v>
      </c>
      <c r="I70" s="1">
        <f t="shared" si="12"/>
        <v>2.48884439538378</v>
      </c>
      <c r="J70" s="1">
        <f t="shared" ref="J70:J83" si="16">$J$69</f>
        <v>1.25</v>
      </c>
      <c r="K70" s="1">
        <f t="shared" si="13"/>
        <v>1.9507848738978</v>
      </c>
      <c r="L70" s="1">
        <f t="shared" si="14"/>
        <v>0.152825429488202</v>
      </c>
      <c r="M70" s="1">
        <f t="shared" si="15"/>
        <v>0.10720225819676</v>
      </c>
      <c r="O70" s="1"/>
      <c r="Q70" s="2"/>
      <c r="R70" s="2"/>
      <c r="S70" s="2"/>
      <c r="T70" s="2"/>
    </row>
    <row r="71" hidden="1" spans="1:20">
      <c r="A71" s="1" t="s">
        <v>115</v>
      </c>
      <c r="B71" s="28">
        <v>3</v>
      </c>
      <c r="C71" s="28">
        <v>12</v>
      </c>
      <c r="D71" s="20">
        <f>(B71*F71/$M$3*(ROUNDDOWN($Q$3/$M$3,0)/(ROUNDDOWN($Q$3/$M$3,0)+1)))</f>
        <v>0.174107142857143</v>
      </c>
      <c r="E71" s="20">
        <f>C71*G71/$M$4*(1/(ROUNDDOWN($Q$4/$M$4,0)+1))</f>
        <v>0</v>
      </c>
      <c r="F71" s="29">
        <v>0.1</v>
      </c>
      <c r="G71" s="29">
        <v>0</v>
      </c>
      <c r="H71" s="1">
        <f t="shared" si="11"/>
        <v>2.19300699300699</v>
      </c>
      <c r="I71" s="1">
        <f t="shared" si="12"/>
        <v>2.48884439538378</v>
      </c>
      <c r="J71" s="1">
        <f t="shared" si="16"/>
        <v>1.25</v>
      </c>
      <c r="K71" s="1">
        <f t="shared" si="13"/>
        <v>1.9507848738978</v>
      </c>
      <c r="L71" s="1">
        <f t="shared" si="14"/>
        <v>0.152825429488202</v>
      </c>
      <c r="M71" s="1">
        <f t="shared" si="15"/>
        <v>0.10720225819676</v>
      </c>
      <c r="O71" s="1"/>
      <c r="Q71" s="2"/>
      <c r="R71" s="2"/>
      <c r="S71" s="2"/>
      <c r="T71" s="2"/>
    </row>
    <row r="72" hidden="1" spans="1:20">
      <c r="A72" s="21" t="s">
        <v>116</v>
      </c>
      <c r="B72" s="28">
        <v>3</v>
      </c>
      <c r="C72" s="28">
        <v>12</v>
      </c>
      <c r="D72" s="20">
        <f>(B72*F72/$M$3*(ROUNDDOWN($Q$3/$M$3,0)/(ROUNDDOWN($Q$3/$M$3,0)+1)))</f>
        <v>0.174107142857143</v>
      </c>
      <c r="E72" s="20">
        <f>C72*G72/$M$4*(1/(ROUNDDOWN($Q$4/$M$4,0)+1))</f>
        <v>0.196363636363636</v>
      </c>
      <c r="F72" s="29">
        <v>0.1</v>
      </c>
      <c r="G72" s="29">
        <v>0.27</v>
      </c>
      <c r="H72" s="1">
        <f t="shared" si="11"/>
        <v>1.47723587923404</v>
      </c>
      <c r="I72" s="1">
        <f t="shared" si="12"/>
        <v>1.6765155106278</v>
      </c>
      <c r="J72" s="1">
        <f t="shared" si="16"/>
        <v>1.25</v>
      </c>
      <c r="K72" s="1">
        <f t="shared" si="13"/>
        <v>4.15094280720017</v>
      </c>
      <c r="L72" s="1">
        <f t="shared" si="14"/>
        <v>0.325186864927762</v>
      </c>
      <c r="M72" s="1">
        <f t="shared" si="15"/>
        <v>0.228108413455315</v>
      </c>
      <c r="O72" s="1"/>
      <c r="Q72" s="2"/>
      <c r="R72" s="2"/>
      <c r="S72" s="2"/>
      <c r="T72" s="2"/>
    </row>
    <row r="73" hidden="1" spans="1:22">
      <c r="A73" s="1" t="s">
        <v>158</v>
      </c>
      <c r="B73" s="28">
        <v>3</v>
      </c>
      <c r="C73" s="28">
        <v>12</v>
      </c>
      <c r="D73" s="20">
        <f>(B73*F73/$M$3*(ROUNDDOWN($Q$3/$M$3,0)/(ROUNDDOWN($Q$3/$M$3,0)+1)))</f>
        <v>0.174107142857143</v>
      </c>
      <c r="E73" s="20">
        <f>C73*G73/$M$4*(1/(ROUNDDOWN($Q$4/$M$4,0)+1))</f>
        <v>0.196363636363636</v>
      </c>
      <c r="F73" s="29">
        <v>0.1</v>
      </c>
      <c r="G73" s="29">
        <v>0.27</v>
      </c>
      <c r="H73" s="1">
        <f t="shared" si="11"/>
        <v>1.47723587923404</v>
      </c>
      <c r="I73" s="1">
        <f t="shared" si="12"/>
        <v>1.6765155106278</v>
      </c>
      <c r="J73" s="1">
        <f t="shared" si="16"/>
        <v>1.25</v>
      </c>
      <c r="K73" s="1">
        <f t="shared" si="13"/>
        <v>4.15094280720017</v>
      </c>
      <c r="L73" s="1">
        <f t="shared" si="14"/>
        <v>0.325186864927762</v>
      </c>
      <c r="M73" s="1">
        <f t="shared" si="15"/>
        <v>0.228108413455315</v>
      </c>
      <c r="Q73" s="2"/>
      <c r="R73" s="2"/>
      <c r="S73" s="30"/>
      <c r="T73" s="2"/>
      <c r="V73" s="2"/>
    </row>
    <row r="74" hidden="1" spans="1:22">
      <c r="A74" s="1" t="s">
        <v>159</v>
      </c>
      <c r="B74" s="28">
        <v>3</v>
      </c>
      <c r="C74" s="28">
        <v>12</v>
      </c>
      <c r="D74" s="20">
        <f>(B74*F74/$M$3*(ROUNDDOWN($Q$3/$M$3,0)/(ROUNDDOWN($Q$3/$M$3,0)+1)))</f>
        <v>0.174107142857143</v>
      </c>
      <c r="E74" s="20">
        <f>C74*G74/$M$4*(1/(ROUNDDOWN($Q$4/$M$4,0)+1))</f>
        <v>0.196363636363636</v>
      </c>
      <c r="F74" s="29">
        <v>0.1</v>
      </c>
      <c r="G74" s="29">
        <v>0.27</v>
      </c>
      <c r="H74" s="1">
        <f t="shared" si="11"/>
        <v>1.47723587923404</v>
      </c>
      <c r="I74" s="1">
        <f t="shared" si="12"/>
        <v>1.6765155106278</v>
      </c>
      <c r="J74" s="1">
        <f t="shared" si="16"/>
        <v>1.25</v>
      </c>
      <c r="K74" s="1">
        <f t="shared" si="13"/>
        <v>4.15094280720017</v>
      </c>
      <c r="L74" s="1">
        <f t="shared" si="14"/>
        <v>0.325186864927762</v>
      </c>
      <c r="M74" s="1">
        <f t="shared" si="15"/>
        <v>0.228108413455315</v>
      </c>
      <c r="O74" s="1"/>
      <c r="Q74" s="2"/>
      <c r="R74" s="2"/>
      <c r="S74" s="2"/>
      <c r="T74" s="2"/>
      <c r="U74" s="2"/>
      <c r="V74" s="2"/>
    </row>
    <row r="75" hidden="1" spans="1:22">
      <c r="A75" s="21" t="s">
        <v>117</v>
      </c>
      <c r="B75" s="28">
        <v>4</v>
      </c>
      <c r="C75" s="28">
        <v>12</v>
      </c>
      <c r="D75" s="20">
        <f>(B75*F75/$M$3*(ROUNDDOWN($Q$3/$M$3,0)/(ROUNDDOWN($Q$3/$M$3,0)+1)))</f>
        <v>0.232142857142857</v>
      </c>
      <c r="E75" s="20">
        <f>C75*G75/$M$4*(1/(ROUNDDOWN($Q$4/$M$4,0)+1))</f>
        <v>0.196363636363636</v>
      </c>
      <c r="F75" s="29">
        <v>0.1</v>
      </c>
      <c r="G75" s="29">
        <v>0.27</v>
      </c>
      <c r="H75" s="1">
        <f t="shared" si="11"/>
        <v>1.66328231550235</v>
      </c>
      <c r="I75" s="1">
        <f t="shared" si="12"/>
        <v>1.88765967554111</v>
      </c>
      <c r="J75" s="1">
        <f t="shared" si="16"/>
        <v>1.25</v>
      </c>
      <c r="K75" s="1">
        <f t="shared" si="13"/>
        <v>4.80120443183277</v>
      </c>
      <c r="L75" s="1">
        <f t="shared" si="14"/>
        <v>0.376128674757162</v>
      </c>
      <c r="M75" s="1">
        <f t="shared" si="15"/>
        <v>0.263842499520901</v>
      </c>
      <c r="O75" s="1"/>
      <c r="Q75" s="2"/>
      <c r="R75" s="2"/>
      <c r="S75" s="2"/>
      <c r="T75" s="2"/>
      <c r="V75" s="2"/>
    </row>
    <row r="76" hidden="1" spans="1:22">
      <c r="A76" s="21" t="s">
        <v>160</v>
      </c>
      <c r="B76" s="28">
        <v>4</v>
      </c>
      <c r="C76" s="28">
        <v>12</v>
      </c>
      <c r="D76" s="20">
        <f>(B76*F76/$M$3*(ROUNDDOWN($Q$3/$M$3,0)/(ROUNDDOWN($Q$3/$M$3,0)+1)))</f>
        <v>0.696428571428571</v>
      </c>
      <c r="E76" s="20">
        <f>C76*G76/$M$4*(1/(ROUNDDOWN($Q$4/$M$4,0)+1))</f>
        <v>0.196363636363636</v>
      </c>
      <c r="F76" s="29">
        <v>0.3</v>
      </c>
      <c r="G76" s="29">
        <v>0.27</v>
      </c>
      <c r="H76" s="1">
        <f t="shared" si="11"/>
        <v>1.02640192013965</v>
      </c>
      <c r="I76" s="1">
        <f t="shared" si="12"/>
        <v>1.16486389441375</v>
      </c>
      <c r="J76" s="1">
        <f t="shared" si="16"/>
        <v>1.25</v>
      </c>
      <c r="K76" s="1">
        <f t="shared" si="13"/>
        <v>10.0032974288936</v>
      </c>
      <c r="L76" s="1">
        <f t="shared" si="14"/>
        <v>0.783663153392367</v>
      </c>
      <c r="M76" s="1">
        <f t="shared" si="15"/>
        <v>0.3796875</v>
      </c>
      <c r="O76" s="1"/>
      <c r="Q76" s="2"/>
      <c r="R76" s="2"/>
      <c r="S76" s="2"/>
      <c r="T76" s="2"/>
      <c r="V76" s="2"/>
    </row>
    <row r="77" hidden="1" spans="1:22">
      <c r="A77" s="1" t="s">
        <v>161</v>
      </c>
      <c r="B77" s="28">
        <v>4</v>
      </c>
      <c r="C77" s="28">
        <v>12</v>
      </c>
      <c r="D77" s="20">
        <f>(B77*F77/$M$3*(ROUNDDOWN($Q$3/$M$3,0)/(ROUNDDOWN($Q$3/$M$3,0)+1)))</f>
        <v>0.696428571428571</v>
      </c>
      <c r="E77" s="20">
        <f>C77*G77/$M$4*(1/(ROUNDDOWN($Q$4/$M$4,0)+1))</f>
        <v>0.196363636363636</v>
      </c>
      <c r="F77" s="29">
        <v>0.3</v>
      </c>
      <c r="G77" s="29">
        <v>0.27</v>
      </c>
      <c r="H77" s="1">
        <f t="shared" si="11"/>
        <v>1.02640192013965</v>
      </c>
      <c r="I77" s="1">
        <f t="shared" si="12"/>
        <v>1.16486389441375</v>
      </c>
      <c r="J77" s="1">
        <f t="shared" si="16"/>
        <v>1.25</v>
      </c>
      <c r="K77" s="1">
        <f t="shared" si="13"/>
        <v>10.0032974288936</v>
      </c>
      <c r="L77" s="1">
        <f t="shared" si="14"/>
        <v>0.783663153392367</v>
      </c>
      <c r="M77" s="1">
        <f t="shared" si="15"/>
        <v>0.3796875</v>
      </c>
      <c r="O77" s="1"/>
      <c r="Q77" s="2"/>
      <c r="R77" s="2"/>
      <c r="S77" s="2"/>
      <c r="T77" s="2"/>
      <c r="V77" s="2"/>
    </row>
    <row r="78" hidden="1" spans="1:22">
      <c r="A78" s="1" t="s">
        <v>162</v>
      </c>
      <c r="B78" s="28">
        <v>4</v>
      </c>
      <c r="C78" s="28">
        <v>12</v>
      </c>
      <c r="D78" s="20">
        <f>(B78*F78/$M$3*(ROUNDDOWN($Q$3/$M$3,0)/(ROUNDDOWN($Q$3/$M$3,0)+1)))</f>
        <v>0.696428571428571</v>
      </c>
      <c r="E78" s="20">
        <f>C78*G78/$M$4*(1/(ROUNDDOWN($Q$4/$M$4,0)+1))</f>
        <v>0.196363636363636</v>
      </c>
      <c r="F78" s="29">
        <v>0.3</v>
      </c>
      <c r="G78" s="29">
        <v>0.27</v>
      </c>
      <c r="H78" s="1">
        <f t="shared" si="11"/>
        <v>1.09971634300676</v>
      </c>
      <c r="I78" s="1">
        <f t="shared" si="12"/>
        <v>1.24806845830044</v>
      </c>
      <c r="J78" s="1">
        <f t="shared" si="16"/>
        <v>1.25</v>
      </c>
      <c r="K78" s="1">
        <f t="shared" si="13"/>
        <v>10.0032974288936</v>
      </c>
      <c r="L78" s="1">
        <f t="shared" si="14"/>
        <v>0.783663153392367</v>
      </c>
      <c r="M78" s="1">
        <f t="shared" si="15"/>
        <v>0.3796875</v>
      </c>
      <c r="O78" s="1"/>
      <c r="Q78" s="2"/>
      <c r="R78" s="2"/>
      <c r="S78" s="2"/>
      <c r="T78" s="2"/>
      <c r="V78" s="2"/>
    </row>
    <row r="79" hidden="1" spans="1:22">
      <c r="A79" s="1" t="s">
        <v>118</v>
      </c>
      <c r="B79" s="28">
        <v>4</v>
      </c>
      <c r="C79" s="28">
        <v>12</v>
      </c>
      <c r="D79" s="20">
        <f>(B79*F79/$M$3*(ROUNDDOWN($Q$3/$M$3,0)/(ROUNDDOWN($Q$3/$M$3,0)+1)))</f>
        <v>0.696428571428571</v>
      </c>
      <c r="E79" s="20">
        <f>C79*G79/$M$4*(1/(ROUNDDOWN($Q$4/$M$4,0)+1))</f>
        <v>0.196363636363636</v>
      </c>
      <c r="F79" s="29">
        <v>0.3</v>
      </c>
      <c r="G79" s="29">
        <v>0.27</v>
      </c>
      <c r="H79" s="1">
        <f t="shared" si="11"/>
        <v>1.09971634300676</v>
      </c>
      <c r="I79" s="1">
        <f t="shared" si="12"/>
        <v>1.24806845830044</v>
      </c>
      <c r="J79" s="1">
        <f t="shared" si="16"/>
        <v>1.25</v>
      </c>
      <c r="K79" s="1">
        <f t="shared" si="13"/>
        <v>10.0032974288936</v>
      </c>
      <c r="L79" s="1">
        <f t="shared" si="14"/>
        <v>0.783663153392367</v>
      </c>
      <c r="M79" s="1">
        <f t="shared" si="15"/>
        <v>0.3796875</v>
      </c>
      <c r="O79" s="1"/>
      <c r="Q79" s="2"/>
      <c r="R79" s="2"/>
      <c r="S79" s="2"/>
      <c r="T79" s="2"/>
      <c r="V79" s="2"/>
    </row>
    <row r="80" hidden="1" spans="1:22">
      <c r="A80" s="21" t="s">
        <v>163</v>
      </c>
      <c r="B80" s="28">
        <v>4</v>
      </c>
      <c r="C80" s="28">
        <v>12</v>
      </c>
      <c r="D80" s="20">
        <f>(B80*F80/$M$3*(ROUNDDOWN($Q$3/$M$3,0)/(ROUNDDOWN($Q$3/$M$3,0)+1)))</f>
        <v>0.696428571428571</v>
      </c>
      <c r="E80" s="20">
        <f>C80*G80/$M$4*(1/(ROUNDDOWN($Q$4/$M$4,0)+1))</f>
        <v>0.196363636363636</v>
      </c>
      <c r="F80" s="29">
        <v>0.3</v>
      </c>
      <c r="G80" s="29">
        <v>0.27</v>
      </c>
      <c r="H80" s="1">
        <f t="shared" si="11"/>
        <v>1.09971634300676</v>
      </c>
      <c r="I80" s="1">
        <f t="shared" si="12"/>
        <v>1.24806845830044</v>
      </c>
      <c r="J80" s="1">
        <f t="shared" si="16"/>
        <v>1.25</v>
      </c>
      <c r="K80" s="1">
        <f t="shared" si="13"/>
        <v>10.0032974288936</v>
      </c>
      <c r="L80" s="1">
        <f t="shared" si="14"/>
        <v>0.783663153392367</v>
      </c>
      <c r="M80" s="1">
        <f t="shared" si="15"/>
        <v>0.3796875</v>
      </c>
      <c r="O80" s="1"/>
      <c r="Q80" s="2"/>
      <c r="R80" s="2"/>
      <c r="S80" s="2"/>
      <c r="T80" s="2"/>
      <c r="V80" s="2"/>
    </row>
    <row r="81" hidden="1" spans="1:22">
      <c r="A81" s="1" t="s">
        <v>164</v>
      </c>
      <c r="B81" s="28">
        <v>4</v>
      </c>
      <c r="C81" s="28">
        <v>12</v>
      </c>
      <c r="D81" s="20">
        <f>(B81*F81/$M$3*(ROUNDDOWN($Q$3/$M$3,0)/(ROUNDDOWN($Q$3/$M$3,0)+1)))</f>
        <v>0.696428571428571</v>
      </c>
      <c r="E81" s="20">
        <f>C81*G81/$M$4*(1/(ROUNDDOWN($Q$4/$M$4,0)+1))</f>
        <v>0.196363636363636</v>
      </c>
      <c r="F81" s="29">
        <v>0.3</v>
      </c>
      <c r="G81" s="29">
        <v>0.27</v>
      </c>
      <c r="H81" s="1">
        <f t="shared" si="11"/>
        <v>1.09971634300676</v>
      </c>
      <c r="I81" s="1">
        <f t="shared" si="12"/>
        <v>1.24806845830044</v>
      </c>
      <c r="J81" s="1">
        <f t="shared" si="16"/>
        <v>1.25</v>
      </c>
      <c r="K81" s="1">
        <f t="shared" si="13"/>
        <v>10.0032974288936</v>
      </c>
      <c r="L81" s="1">
        <f t="shared" si="14"/>
        <v>0.783663153392367</v>
      </c>
      <c r="M81" s="1">
        <f t="shared" si="15"/>
        <v>0.3796875</v>
      </c>
      <c r="O81" s="1"/>
      <c r="Q81" s="2"/>
      <c r="R81" s="2"/>
      <c r="S81" s="2"/>
      <c r="T81" s="2"/>
      <c r="V81" s="2"/>
    </row>
    <row r="82" hidden="1" spans="1:22">
      <c r="A82" s="1" t="s">
        <v>165</v>
      </c>
      <c r="B82" s="28">
        <v>4</v>
      </c>
      <c r="C82" s="28">
        <v>12</v>
      </c>
      <c r="D82" s="20">
        <f>(B82*F82/$M$3*(ROUNDDOWN($Q$3/$M$3,0)/(ROUNDDOWN($Q$3/$M$3,0)+1)))</f>
        <v>0.696428571428571</v>
      </c>
      <c r="E82" s="20">
        <f>C82*G82/$M$4*(1/(ROUNDDOWN($Q$4/$M$4,0)+1))</f>
        <v>0.196363636363636</v>
      </c>
      <c r="F82" s="29">
        <v>0.3</v>
      </c>
      <c r="G82" s="29">
        <v>0.27</v>
      </c>
      <c r="H82" s="1">
        <f t="shared" si="11"/>
        <v>1.09971634300676</v>
      </c>
      <c r="I82" s="1">
        <f t="shared" si="12"/>
        <v>1.24806845830044</v>
      </c>
      <c r="J82" s="1">
        <f t="shared" si="16"/>
        <v>1.25</v>
      </c>
      <c r="K82" s="1">
        <f t="shared" si="13"/>
        <v>10.0032974288936</v>
      </c>
      <c r="L82" s="1">
        <f t="shared" si="14"/>
        <v>0.783663153392367</v>
      </c>
      <c r="M82" s="1">
        <f t="shared" si="15"/>
        <v>0.3796875</v>
      </c>
      <c r="O82" s="1"/>
      <c r="Q82" s="2"/>
      <c r="R82" s="2"/>
      <c r="S82" s="2"/>
      <c r="T82" s="2"/>
      <c r="V82" s="2"/>
    </row>
    <row r="83" hidden="1" spans="1:22">
      <c r="A83" s="1" t="s">
        <v>119</v>
      </c>
      <c r="B83" s="28">
        <v>4</v>
      </c>
      <c r="C83" s="28">
        <v>12</v>
      </c>
      <c r="D83" s="20">
        <f>(B83*F83/$M$3*(ROUNDDOWN($Q$3/$M$3,0)/(ROUNDDOWN($Q$3/$M$3,0)+1)))</f>
        <v>0.696428571428571</v>
      </c>
      <c r="E83" s="20">
        <f>C83*G83/$M$4*(1/(ROUNDDOWN($Q$4/$M$4,0)+1))</f>
        <v>0.196363636363636</v>
      </c>
      <c r="F83" s="29">
        <v>0.3</v>
      </c>
      <c r="G83" s="29">
        <v>0.27</v>
      </c>
      <c r="H83" s="1">
        <f t="shared" si="11"/>
        <v>1.09971634300676</v>
      </c>
      <c r="I83" s="1">
        <f t="shared" si="12"/>
        <v>1.24806845830044</v>
      </c>
      <c r="J83" s="1">
        <f t="shared" si="16"/>
        <v>1.25</v>
      </c>
      <c r="K83" s="1">
        <f t="shared" si="13"/>
        <v>10.0032974288936</v>
      </c>
      <c r="L83" s="1">
        <f t="shared" si="14"/>
        <v>0.783663153392367</v>
      </c>
      <c r="M83" s="1">
        <f t="shared" si="15"/>
        <v>0.3796875</v>
      </c>
      <c r="O83" s="1"/>
      <c r="Q83" s="2"/>
      <c r="R83" s="2"/>
      <c r="S83" s="2"/>
      <c r="T83" s="2"/>
      <c r="V83" s="2"/>
    </row>
    <row r="84" spans="13:22">
      <c r="M84" s="2">
        <f>M90/M99</f>
        <v>0.666666666666667</v>
      </c>
      <c r="N84" s="2">
        <f>N90/N99</f>
        <v>1</v>
      </c>
      <c r="O84" s="1"/>
      <c r="Q84" s="2"/>
      <c r="R84" s="2"/>
      <c r="S84" s="2"/>
      <c r="T84" s="2"/>
      <c r="V84" s="2"/>
    </row>
    <row r="85" spans="1:22">
      <c r="A85" s="1" t="s">
        <v>74</v>
      </c>
      <c r="B85" s="1" t="s">
        <v>84</v>
      </c>
      <c r="C85" s="1" t="s">
        <v>85</v>
      </c>
      <c r="D85" s="1" t="s">
        <v>86</v>
      </c>
      <c r="E85" s="1" t="s">
        <v>87</v>
      </c>
      <c r="F85" s="2" t="s">
        <v>88</v>
      </c>
      <c r="G85" s="2" t="s">
        <v>89</v>
      </c>
      <c r="H85" s="1" t="s">
        <v>90</v>
      </c>
      <c r="I85" s="1" t="s">
        <v>111</v>
      </c>
      <c r="J85" s="1" t="s">
        <v>112</v>
      </c>
      <c r="K85" s="1" t="s">
        <v>91</v>
      </c>
      <c r="L85" s="1" t="s">
        <v>92</v>
      </c>
      <c r="M85" s="1" t="s">
        <v>93</v>
      </c>
      <c r="N85" s="1" t="s">
        <v>94</v>
      </c>
      <c r="O85" s="1"/>
      <c r="Q85" s="2"/>
      <c r="R85" s="2"/>
      <c r="S85" s="2"/>
      <c r="T85" s="2"/>
      <c r="V85" s="2"/>
    </row>
    <row r="86" spans="1:22">
      <c r="A86" s="1" t="s">
        <v>128</v>
      </c>
      <c r="B86" s="1">
        <v>5</v>
      </c>
      <c r="C86" s="1">
        <v>5</v>
      </c>
      <c r="D86" s="1">
        <f t="shared" ref="D86:D88" si="17">B86*F86/$M$6*0.5*2</f>
        <v>0</v>
      </c>
      <c r="E86" s="1">
        <f t="shared" ref="E86:E88" si="18">C86*G86/$M$6*0.5*2</f>
        <v>0</v>
      </c>
      <c r="F86" s="19">
        <v>0</v>
      </c>
      <c r="G86" s="19">
        <v>0</v>
      </c>
      <c r="H86" s="20">
        <f t="shared" ref="H86:H100" si="19">SUM(D86:E86)</f>
        <v>0</v>
      </c>
      <c r="I86" s="1" t="e">
        <f t="shared" ref="I86:I100" si="20">H52/H86</f>
        <v>#DIV/0!</v>
      </c>
      <c r="J86" s="1" t="e">
        <f t="shared" ref="J86:J100" si="21">I86/$V$27</f>
        <v>#DIV/0!</v>
      </c>
      <c r="K86" s="1">
        <v>0.7</v>
      </c>
      <c r="L86" s="1">
        <f t="shared" ref="L86:L100" si="22">H86*$U$27*K86</f>
        <v>0</v>
      </c>
      <c r="M86" s="1">
        <f t="shared" ref="M86:M100" si="23">H86*$I$25*$B$20/20</f>
        <v>0</v>
      </c>
      <c r="N86" s="1">
        <f t="shared" ref="N86:N100" si="24">MIN(H86*$I$49*12/20*(1+$B$37)^$H$49,6*(1+$B$37)^4/20/4)</f>
        <v>0</v>
      </c>
      <c r="O86" s="1"/>
      <c r="Q86" s="2"/>
      <c r="R86" s="2"/>
      <c r="S86" s="2"/>
      <c r="T86" s="2"/>
      <c r="V86" s="2"/>
    </row>
    <row r="87" spans="1:22">
      <c r="A87" s="21" t="s">
        <v>129</v>
      </c>
      <c r="B87" s="1">
        <v>5</v>
      </c>
      <c r="C87" s="1">
        <v>5</v>
      </c>
      <c r="D87" s="1">
        <f t="shared" si="17"/>
        <v>0.151515151515151</v>
      </c>
      <c r="E87" s="1">
        <f t="shared" si="18"/>
        <v>0</v>
      </c>
      <c r="F87" s="19">
        <f t="shared" ref="F87:F92" si="25">1/30</f>
        <v>0.0333333333333333</v>
      </c>
      <c r="G87" s="19">
        <v>0</v>
      </c>
      <c r="H87" s="20">
        <f t="shared" si="19"/>
        <v>0.151515151515151</v>
      </c>
      <c r="I87" s="1">
        <f t="shared" si="20"/>
        <v>2.52</v>
      </c>
      <c r="J87" s="1">
        <f t="shared" si="21"/>
        <v>2.42944676443513</v>
      </c>
      <c r="K87" s="1">
        <f t="shared" ref="K87:K100" si="26">$K$86</f>
        <v>0.7</v>
      </c>
      <c r="L87" s="1">
        <f t="shared" si="22"/>
        <v>1.11914862255983</v>
      </c>
      <c r="M87" s="1">
        <f t="shared" si="23"/>
        <v>0.135965570524209</v>
      </c>
      <c r="N87" s="1">
        <f t="shared" si="24"/>
        <v>0.124899076430201</v>
      </c>
      <c r="O87" s="1"/>
      <c r="Q87" s="2"/>
      <c r="R87" s="2"/>
      <c r="S87" s="2"/>
      <c r="T87" s="2"/>
      <c r="V87" s="2"/>
    </row>
    <row r="88" spans="1:22">
      <c r="A88" s="1" t="s">
        <v>130</v>
      </c>
      <c r="B88" s="1">
        <v>5</v>
      </c>
      <c r="C88" s="1">
        <v>5</v>
      </c>
      <c r="D88" s="1">
        <f t="shared" si="17"/>
        <v>0.151515151515151</v>
      </c>
      <c r="E88" s="1">
        <f t="shared" si="18"/>
        <v>0</v>
      </c>
      <c r="F88" s="19">
        <f t="shared" si="25"/>
        <v>0.0333333333333333</v>
      </c>
      <c r="G88" s="19">
        <v>0</v>
      </c>
      <c r="H88" s="20">
        <f t="shared" si="19"/>
        <v>0.151515151515151</v>
      </c>
      <c r="I88" s="1">
        <f t="shared" si="20"/>
        <v>2.52</v>
      </c>
      <c r="J88" s="1">
        <f t="shared" si="21"/>
        <v>2.42944676443513</v>
      </c>
      <c r="K88" s="1">
        <f t="shared" si="26"/>
        <v>0.7</v>
      </c>
      <c r="L88" s="1">
        <f t="shared" si="22"/>
        <v>1.11914862255983</v>
      </c>
      <c r="M88" s="1">
        <f t="shared" si="23"/>
        <v>0.135965570524209</v>
      </c>
      <c r="N88" s="1">
        <f t="shared" si="24"/>
        <v>0.124899076430201</v>
      </c>
      <c r="O88" s="1"/>
      <c r="Q88" s="2"/>
      <c r="R88" s="2"/>
      <c r="S88" s="2"/>
      <c r="T88" s="2"/>
      <c r="V88" s="2"/>
    </row>
    <row r="89" spans="1:22">
      <c r="A89" s="21" t="s">
        <v>131</v>
      </c>
      <c r="B89" s="1">
        <v>5</v>
      </c>
      <c r="C89" s="1">
        <v>5</v>
      </c>
      <c r="D89" s="1">
        <f t="shared" ref="D89:D91" si="27">B89*F89/$M$6*0.5*4</f>
        <v>0.303030303030303</v>
      </c>
      <c r="E89" s="1">
        <f t="shared" ref="E89:E91" si="28">C89*G89/$M$6*0.5*4</f>
        <v>0.606060606060606</v>
      </c>
      <c r="F89" s="19">
        <f t="shared" si="25"/>
        <v>0.0333333333333333</v>
      </c>
      <c r="G89" s="19">
        <f t="shared" ref="G89:G92" si="29">2/30</f>
        <v>0.0666666666666667</v>
      </c>
      <c r="H89" s="20">
        <f t="shared" si="19"/>
        <v>0.909090909090909</v>
      </c>
      <c r="I89" s="1">
        <f t="shared" si="20"/>
        <v>0.602</v>
      </c>
      <c r="J89" s="1">
        <f t="shared" si="21"/>
        <v>0.580367838170613</v>
      </c>
      <c r="K89" s="1">
        <f t="shared" si="26"/>
        <v>0.7</v>
      </c>
      <c r="L89" s="1">
        <f t="shared" si="22"/>
        <v>6.71489173535899</v>
      </c>
      <c r="M89" s="1">
        <f t="shared" si="23"/>
        <v>0.815793423145255</v>
      </c>
      <c r="N89" s="1">
        <f t="shared" si="24"/>
        <v>0.3796875</v>
      </c>
      <c r="O89" s="1"/>
      <c r="Q89" s="2"/>
      <c r="R89" s="2"/>
      <c r="S89" s="2"/>
      <c r="T89" s="2"/>
      <c r="V89" s="2"/>
    </row>
    <row r="90" spans="1:14">
      <c r="A90" s="1" t="s">
        <v>166</v>
      </c>
      <c r="B90" s="1">
        <v>5</v>
      </c>
      <c r="C90" s="1">
        <v>5</v>
      </c>
      <c r="D90" s="1">
        <f t="shared" si="27"/>
        <v>0.303030303030303</v>
      </c>
      <c r="E90" s="1">
        <f t="shared" si="28"/>
        <v>0.606060606060606</v>
      </c>
      <c r="F90" s="19">
        <f t="shared" si="25"/>
        <v>0.0333333333333333</v>
      </c>
      <c r="G90" s="19">
        <f t="shared" si="29"/>
        <v>0.0666666666666667</v>
      </c>
      <c r="H90" s="20">
        <f t="shared" si="19"/>
        <v>0.909090909090909</v>
      </c>
      <c r="I90" s="1">
        <f t="shared" si="20"/>
        <v>0.602</v>
      </c>
      <c r="J90" s="1">
        <f t="shared" si="21"/>
        <v>0.580367838170613</v>
      </c>
      <c r="K90" s="1">
        <f t="shared" si="26"/>
        <v>0.7</v>
      </c>
      <c r="L90" s="1">
        <f t="shared" si="22"/>
        <v>6.71489173535899</v>
      </c>
      <c r="M90" s="1">
        <f t="shared" si="23"/>
        <v>0.815793423145255</v>
      </c>
      <c r="N90" s="1">
        <f t="shared" si="24"/>
        <v>0.3796875</v>
      </c>
    </row>
    <row r="91" spans="1:14">
      <c r="A91" s="1" t="s">
        <v>167</v>
      </c>
      <c r="B91" s="1">
        <v>5</v>
      </c>
      <c r="C91" s="1">
        <v>5</v>
      </c>
      <c r="D91" s="1">
        <f t="shared" si="27"/>
        <v>0.303030303030303</v>
      </c>
      <c r="E91" s="1">
        <f t="shared" si="28"/>
        <v>0.606060606060606</v>
      </c>
      <c r="F91" s="19">
        <f t="shared" si="25"/>
        <v>0.0333333333333333</v>
      </c>
      <c r="G91" s="19">
        <f t="shared" si="29"/>
        <v>0.0666666666666667</v>
      </c>
      <c r="H91" s="20">
        <f t="shared" si="19"/>
        <v>0.909090909090909</v>
      </c>
      <c r="I91" s="1">
        <f t="shared" si="20"/>
        <v>0.602</v>
      </c>
      <c r="J91" s="1">
        <f t="shared" si="21"/>
        <v>0.580367838170613</v>
      </c>
      <c r="K91" s="1">
        <f t="shared" si="26"/>
        <v>0.7</v>
      </c>
      <c r="L91" s="1">
        <f t="shared" si="22"/>
        <v>6.71489173535899</v>
      </c>
      <c r="M91" s="1">
        <f t="shared" si="23"/>
        <v>0.815793423145255</v>
      </c>
      <c r="N91" s="1">
        <f t="shared" si="24"/>
        <v>0.3796875</v>
      </c>
    </row>
    <row r="92" spans="1:18">
      <c r="A92" s="21" t="s">
        <v>132</v>
      </c>
      <c r="B92" s="1">
        <v>5</v>
      </c>
      <c r="C92" s="1">
        <v>5</v>
      </c>
      <c r="D92" s="1">
        <f t="shared" ref="D92:D100" si="30">B92*F92/$M$6*0.5*6</f>
        <v>0.454545454545454</v>
      </c>
      <c r="E92" s="1">
        <f t="shared" ref="E92:E100" si="31">C92*G92/$M$6*0.5*6</f>
        <v>0.909090909090909</v>
      </c>
      <c r="F92" s="19">
        <f t="shared" si="25"/>
        <v>0.0333333333333333</v>
      </c>
      <c r="G92" s="19">
        <f t="shared" si="29"/>
        <v>0.0666666666666667</v>
      </c>
      <c r="H92" s="20">
        <f t="shared" si="19"/>
        <v>1.36363636363636</v>
      </c>
      <c r="I92" s="1">
        <f t="shared" si="20"/>
        <v>0.522666666666667</v>
      </c>
      <c r="J92" s="1">
        <f t="shared" si="21"/>
        <v>0.503885254845804</v>
      </c>
      <c r="K92" s="1">
        <f t="shared" si="26"/>
        <v>0.7</v>
      </c>
      <c r="L92" s="1">
        <f t="shared" si="22"/>
        <v>10.0723376030385</v>
      </c>
      <c r="M92" s="1">
        <f t="shared" si="23"/>
        <v>1.22369013471788</v>
      </c>
      <c r="N92" s="1">
        <f t="shared" si="24"/>
        <v>0.3796875</v>
      </c>
      <c r="P92" s="12"/>
      <c r="Q92" s="2"/>
      <c r="R92" s="2"/>
    </row>
    <row r="93" spans="1:18">
      <c r="A93" s="21" t="s">
        <v>168</v>
      </c>
      <c r="B93" s="1">
        <v>5</v>
      </c>
      <c r="C93" s="1">
        <v>5</v>
      </c>
      <c r="D93" s="1">
        <f t="shared" si="30"/>
        <v>0.454545454545454</v>
      </c>
      <c r="E93" s="1">
        <f t="shared" si="31"/>
        <v>0.909090909090909</v>
      </c>
      <c r="F93" s="19">
        <f t="shared" ref="F93:F100" si="32">1/30</f>
        <v>0.0333333333333333</v>
      </c>
      <c r="G93" s="19">
        <f t="shared" ref="G93:G100" si="33">2/30</f>
        <v>0.0666666666666667</v>
      </c>
      <c r="H93" s="20">
        <f t="shared" si="19"/>
        <v>1.36363636363636</v>
      </c>
      <c r="I93" s="1">
        <f t="shared" si="20"/>
        <v>0.672</v>
      </c>
      <c r="J93" s="1">
        <f t="shared" si="21"/>
        <v>0.647852470516033</v>
      </c>
      <c r="K93" s="1">
        <f t="shared" si="26"/>
        <v>0.7</v>
      </c>
      <c r="L93" s="1">
        <f t="shared" si="22"/>
        <v>10.0723376030385</v>
      </c>
      <c r="M93" s="1">
        <f t="shared" si="23"/>
        <v>1.22369013471788</v>
      </c>
      <c r="N93" s="1">
        <f t="shared" si="24"/>
        <v>0.3796875</v>
      </c>
      <c r="P93" s="12"/>
      <c r="Q93" s="2"/>
      <c r="R93" s="2"/>
    </row>
    <row r="94" spans="1:18">
      <c r="A94" s="1" t="s">
        <v>169</v>
      </c>
      <c r="B94" s="1">
        <v>5</v>
      </c>
      <c r="C94" s="1">
        <v>5</v>
      </c>
      <c r="D94" s="1">
        <f t="shared" si="30"/>
        <v>0.454545454545454</v>
      </c>
      <c r="E94" s="1">
        <f t="shared" si="31"/>
        <v>0.909090909090909</v>
      </c>
      <c r="F94" s="19">
        <f t="shared" si="32"/>
        <v>0.0333333333333333</v>
      </c>
      <c r="G94" s="19">
        <f t="shared" si="33"/>
        <v>0.0666666666666667</v>
      </c>
      <c r="H94" s="20">
        <f t="shared" si="19"/>
        <v>1.36363636363636</v>
      </c>
      <c r="I94" s="1">
        <f t="shared" si="20"/>
        <v>0.672</v>
      </c>
      <c r="J94" s="1">
        <f t="shared" si="21"/>
        <v>0.647852470516033</v>
      </c>
      <c r="K94" s="1">
        <f t="shared" si="26"/>
        <v>0.7</v>
      </c>
      <c r="L94" s="1">
        <f t="shared" si="22"/>
        <v>10.0723376030385</v>
      </c>
      <c r="M94" s="1">
        <f t="shared" si="23"/>
        <v>1.22369013471788</v>
      </c>
      <c r="N94" s="1">
        <f t="shared" si="24"/>
        <v>0.3796875</v>
      </c>
      <c r="P94" s="12"/>
      <c r="R94" s="2"/>
    </row>
    <row r="95" spans="1:18">
      <c r="A95" s="1" t="s">
        <v>170</v>
      </c>
      <c r="B95" s="1">
        <v>5</v>
      </c>
      <c r="C95" s="1">
        <v>5</v>
      </c>
      <c r="D95" s="1">
        <f t="shared" si="30"/>
        <v>0.454545454545454</v>
      </c>
      <c r="E95" s="1">
        <f t="shared" si="31"/>
        <v>0.909090909090909</v>
      </c>
      <c r="F95" s="19">
        <f t="shared" si="32"/>
        <v>0.0333333333333333</v>
      </c>
      <c r="G95" s="19">
        <f t="shared" si="33"/>
        <v>0.0666666666666667</v>
      </c>
      <c r="H95" s="20">
        <f t="shared" si="19"/>
        <v>1.36363636363636</v>
      </c>
      <c r="I95" s="1">
        <f t="shared" si="20"/>
        <v>0.72</v>
      </c>
      <c r="J95" s="1">
        <f t="shared" si="21"/>
        <v>0.694127646981464</v>
      </c>
      <c r="K95" s="1">
        <f t="shared" si="26"/>
        <v>0.7</v>
      </c>
      <c r="L95" s="1">
        <f t="shared" si="22"/>
        <v>10.0723376030385</v>
      </c>
      <c r="M95" s="1">
        <f t="shared" si="23"/>
        <v>1.22369013471788</v>
      </c>
      <c r="N95" s="1">
        <f t="shared" si="24"/>
        <v>0.3796875</v>
      </c>
      <c r="P95" s="12"/>
      <c r="Q95" s="12"/>
      <c r="R95" s="2"/>
    </row>
    <row r="96" spans="1:16">
      <c r="A96" s="1" t="s">
        <v>133</v>
      </c>
      <c r="B96" s="1">
        <v>5</v>
      </c>
      <c r="C96" s="1">
        <v>5</v>
      </c>
      <c r="D96" s="1">
        <f t="shared" si="30"/>
        <v>0.454545454545454</v>
      </c>
      <c r="E96" s="1">
        <f t="shared" si="31"/>
        <v>0.909090909090909</v>
      </c>
      <c r="F96" s="19">
        <f t="shared" si="32"/>
        <v>0.0333333333333333</v>
      </c>
      <c r="G96" s="19">
        <f t="shared" si="33"/>
        <v>0.0666666666666667</v>
      </c>
      <c r="H96" s="20">
        <f t="shared" si="19"/>
        <v>1.36363636363636</v>
      </c>
      <c r="I96" s="1">
        <f t="shared" si="20"/>
        <v>0.72</v>
      </c>
      <c r="J96" s="1">
        <f t="shared" si="21"/>
        <v>0.694127646981464</v>
      </c>
      <c r="K96" s="1">
        <f t="shared" si="26"/>
        <v>0.7</v>
      </c>
      <c r="L96" s="1">
        <f t="shared" si="22"/>
        <v>10.0723376030385</v>
      </c>
      <c r="M96" s="1">
        <f t="shared" si="23"/>
        <v>1.22369013471788</v>
      </c>
      <c r="N96" s="1">
        <f t="shared" si="24"/>
        <v>0.3796875</v>
      </c>
      <c r="P96" s="26"/>
    </row>
    <row r="97" spans="1:14">
      <c r="A97" s="21" t="s">
        <v>171</v>
      </c>
      <c r="B97" s="1">
        <v>5</v>
      </c>
      <c r="C97" s="1">
        <v>5</v>
      </c>
      <c r="D97" s="1">
        <f t="shared" si="30"/>
        <v>0.454545454545454</v>
      </c>
      <c r="E97" s="1">
        <f t="shared" si="31"/>
        <v>0.909090909090909</v>
      </c>
      <c r="F97" s="19">
        <f t="shared" si="32"/>
        <v>0.0333333333333333</v>
      </c>
      <c r="G97" s="19">
        <f t="shared" si="33"/>
        <v>0.0666666666666667</v>
      </c>
      <c r="H97" s="20">
        <f t="shared" si="19"/>
        <v>1.36363636363636</v>
      </c>
      <c r="I97" s="1">
        <f t="shared" si="20"/>
        <v>0.72</v>
      </c>
      <c r="J97" s="1">
        <f t="shared" si="21"/>
        <v>0.694127646981464</v>
      </c>
      <c r="K97" s="1">
        <f t="shared" si="26"/>
        <v>0.7</v>
      </c>
      <c r="L97" s="1">
        <f t="shared" si="22"/>
        <v>10.0723376030385</v>
      </c>
      <c r="M97" s="1">
        <f t="shared" si="23"/>
        <v>1.22369013471788</v>
      </c>
      <c r="N97" s="1">
        <f t="shared" si="24"/>
        <v>0.3796875</v>
      </c>
    </row>
    <row r="98" spans="1:14">
      <c r="A98" s="1" t="s">
        <v>172</v>
      </c>
      <c r="B98" s="1">
        <v>5</v>
      </c>
      <c r="C98" s="1">
        <v>5</v>
      </c>
      <c r="D98" s="1">
        <f t="shared" si="30"/>
        <v>0.454545454545454</v>
      </c>
      <c r="E98" s="1">
        <f t="shared" si="31"/>
        <v>0.909090909090909</v>
      </c>
      <c r="F98" s="19">
        <f t="shared" si="32"/>
        <v>0.0333333333333333</v>
      </c>
      <c r="G98" s="19">
        <f t="shared" si="33"/>
        <v>0.0666666666666667</v>
      </c>
      <c r="H98" s="20">
        <f t="shared" si="19"/>
        <v>1.36363636363636</v>
      </c>
      <c r="I98" s="1">
        <f t="shared" si="20"/>
        <v>0.72</v>
      </c>
      <c r="J98" s="1">
        <f t="shared" si="21"/>
        <v>0.694127646981464</v>
      </c>
      <c r="K98" s="1">
        <f t="shared" si="26"/>
        <v>0.7</v>
      </c>
      <c r="L98" s="1">
        <f t="shared" si="22"/>
        <v>10.0723376030385</v>
      </c>
      <c r="M98" s="1">
        <f t="shared" si="23"/>
        <v>1.22369013471788</v>
      </c>
      <c r="N98" s="1">
        <f t="shared" si="24"/>
        <v>0.3796875</v>
      </c>
    </row>
    <row r="99" spans="1:14">
      <c r="A99" s="1" t="s">
        <v>173</v>
      </c>
      <c r="B99" s="1">
        <v>5</v>
      </c>
      <c r="C99" s="1">
        <v>5</v>
      </c>
      <c r="D99" s="1">
        <f t="shared" si="30"/>
        <v>0.454545454545454</v>
      </c>
      <c r="E99" s="1">
        <f t="shared" si="31"/>
        <v>0.909090909090909</v>
      </c>
      <c r="F99" s="19">
        <f t="shared" si="32"/>
        <v>0.0333333333333333</v>
      </c>
      <c r="G99" s="19">
        <f t="shared" si="33"/>
        <v>0.0666666666666667</v>
      </c>
      <c r="H99" s="20">
        <f t="shared" si="19"/>
        <v>1.36363636363636</v>
      </c>
      <c r="I99" s="1">
        <f t="shared" si="20"/>
        <v>0.72</v>
      </c>
      <c r="J99" s="1">
        <f t="shared" si="21"/>
        <v>0.694127646981464</v>
      </c>
      <c r="K99" s="1">
        <f t="shared" si="26"/>
        <v>0.7</v>
      </c>
      <c r="L99" s="1">
        <f t="shared" si="22"/>
        <v>10.0723376030385</v>
      </c>
      <c r="M99" s="1">
        <f t="shared" si="23"/>
        <v>1.22369013471788</v>
      </c>
      <c r="N99" s="1">
        <f t="shared" si="24"/>
        <v>0.3796875</v>
      </c>
    </row>
    <row r="100" spans="1:14">
      <c r="A100" s="1" t="s">
        <v>134</v>
      </c>
      <c r="B100" s="1">
        <v>5</v>
      </c>
      <c r="C100" s="1">
        <v>5</v>
      </c>
      <c r="D100" s="1">
        <f t="shared" si="30"/>
        <v>0.454545454545454</v>
      </c>
      <c r="E100" s="1">
        <f t="shared" si="31"/>
        <v>0.909090909090909</v>
      </c>
      <c r="F100" s="19">
        <f t="shared" si="32"/>
        <v>0.0333333333333333</v>
      </c>
      <c r="G100" s="19">
        <f t="shared" si="33"/>
        <v>0.0666666666666667</v>
      </c>
      <c r="H100" s="20">
        <f t="shared" si="19"/>
        <v>1.36363636363636</v>
      </c>
      <c r="I100" s="1">
        <f t="shared" si="20"/>
        <v>0.72</v>
      </c>
      <c r="J100" s="1">
        <f t="shared" si="21"/>
        <v>0.694127646981464</v>
      </c>
      <c r="K100" s="1">
        <f t="shared" si="26"/>
        <v>0.7</v>
      </c>
      <c r="L100" s="1">
        <f t="shared" si="22"/>
        <v>10.0723376030385</v>
      </c>
      <c r="M100" s="1">
        <f t="shared" si="23"/>
        <v>1.22369013471788</v>
      </c>
      <c r="N100" s="1">
        <f t="shared" si="24"/>
        <v>0.3796875</v>
      </c>
    </row>
    <row r="102" spans="6:14">
      <c r="F102" s="1" t="s">
        <v>174</v>
      </c>
      <c r="G102" s="1" t="s">
        <v>175</v>
      </c>
      <c r="H102" s="1" t="s">
        <v>4</v>
      </c>
      <c r="I102" s="1" t="s">
        <v>176</v>
      </c>
      <c r="J102" s="1" t="s">
        <v>177</v>
      </c>
      <c r="K102" s="1" t="s">
        <v>178</v>
      </c>
      <c r="L102" s="1" t="s">
        <v>178</v>
      </c>
      <c r="N102" s="2" t="s">
        <v>179</v>
      </c>
    </row>
    <row r="103" spans="5:14">
      <c r="E103" s="1" t="s">
        <v>180</v>
      </c>
      <c r="F103" s="1">
        <v>5</v>
      </c>
      <c r="G103" s="1">
        <v>5</v>
      </c>
      <c r="H103" s="1">
        <v>1.4</v>
      </c>
      <c r="I103" s="1">
        <f>30/(6.6/H103)/F103</f>
        <v>1.27272727272727</v>
      </c>
      <c r="J103" s="1">
        <f>30/(3.3/H103)/G103</f>
        <v>2.54545454545455</v>
      </c>
      <c r="K103" s="1">
        <f>ROUND(I103,2)*100</f>
        <v>127</v>
      </c>
      <c r="L103" s="1">
        <f>ROUND(J103,2)*100</f>
        <v>255</v>
      </c>
      <c r="N103" s="2">
        <f>30*100</f>
        <v>3000</v>
      </c>
    </row>
    <row r="104" spans="5:14">
      <c r="E104" s="1" t="s">
        <v>181</v>
      </c>
      <c r="F104" s="1">
        <v>5</v>
      </c>
      <c r="G104" s="1">
        <v>5</v>
      </c>
      <c r="H104" s="1">
        <v>1.3</v>
      </c>
      <c r="I104" s="1">
        <f>30/(6.6/H104)/F104</f>
        <v>1.18181818181818</v>
      </c>
      <c r="J104" s="1">
        <f>30/(3.3/H104)/G104</f>
        <v>2.36363636363636</v>
      </c>
      <c r="K104" s="1">
        <f>ROUND(I104,2)*100</f>
        <v>118</v>
      </c>
      <c r="L104" s="1">
        <f>ROUND(J104,2)*100</f>
        <v>236</v>
      </c>
      <c r="N104" s="2">
        <f>30*100</f>
        <v>3000</v>
      </c>
    </row>
    <row r="105" spans="5:14">
      <c r="E105" s="1" t="s">
        <v>182</v>
      </c>
      <c r="F105" s="1">
        <v>5</v>
      </c>
      <c r="G105" s="1">
        <v>1</v>
      </c>
      <c r="H105" s="1">
        <v>1.4</v>
      </c>
      <c r="I105" s="1">
        <f>30/(6.6/H105)/F105</f>
        <v>1.27272727272727</v>
      </c>
      <c r="J105" s="1">
        <f>30/(3.3/H105)/G105</f>
        <v>12.7272727272727</v>
      </c>
      <c r="K105" s="1">
        <f>ROUND(I105,2)*100</f>
        <v>127</v>
      </c>
      <c r="L105" s="1">
        <f>ROUND(J105,2)*100</f>
        <v>1273</v>
      </c>
      <c r="N105" s="2">
        <f>30*100</f>
        <v>3000</v>
      </c>
    </row>
    <row r="106" spans="5:14">
      <c r="E106" s="1" t="s">
        <v>183</v>
      </c>
      <c r="F106" s="1">
        <v>5</v>
      </c>
      <c r="G106" s="1">
        <v>5</v>
      </c>
      <c r="H106" s="1">
        <v>1.5</v>
      </c>
      <c r="I106" s="1">
        <f>30/(6.6/H106)/F106</f>
        <v>1.36363636363636</v>
      </c>
      <c r="J106" s="1">
        <f>30/(3.3/H106)/G106</f>
        <v>2.72727272727273</v>
      </c>
      <c r="K106" s="1">
        <f>ROUND(I106,2)*100</f>
        <v>136</v>
      </c>
      <c r="L106" s="1">
        <f>ROUND(J106,2)*100</f>
        <v>273</v>
      </c>
      <c r="N106" s="2">
        <f>30*100</f>
        <v>3000</v>
      </c>
    </row>
    <row r="107" spans="5:14">
      <c r="E107" s="1" t="s">
        <v>184</v>
      </c>
      <c r="F107" s="1">
        <v>5</v>
      </c>
      <c r="G107" s="1">
        <v>5</v>
      </c>
      <c r="H107" s="1">
        <v>1.1</v>
      </c>
      <c r="I107" s="1">
        <f>30/(6.6/H107)/F107</f>
        <v>1</v>
      </c>
      <c r="J107" s="1">
        <f>30/(3.3/H107)/G107</f>
        <v>2</v>
      </c>
      <c r="K107" s="1">
        <f>ROUND(I107,2)*100</f>
        <v>100</v>
      </c>
      <c r="L107" s="1">
        <f>ROUND(J107,2)*100</f>
        <v>200</v>
      </c>
      <c r="N107" s="2">
        <f>30*100</f>
        <v>3000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3"/>
  <sheetViews>
    <sheetView workbookViewId="0">
      <selection activeCell="F103" sqref="F103:G103"/>
    </sheetView>
  </sheetViews>
  <sheetFormatPr defaultColWidth="9" defaultRowHeight="16.5"/>
  <cols>
    <col min="1" max="1" width="14.875" style="1" customWidth="1"/>
    <col min="2" max="2" width="18" style="1" customWidth="1"/>
    <col min="3" max="3" width="11.25" style="1" customWidth="1"/>
    <col min="4" max="11" width="9.00833333333333" style="1" customWidth="1"/>
    <col min="12" max="14" width="9.00833333333333" style="2" customWidth="1"/>
    <col min="15" max="16" width="10.625" style="2" customWidth="1"/>
    <col min="17" max="18" width="12.625" style="1"/>
    <col min="19" max="22" width="9.00833333333333" style="1" customWidth="1"/>
    <col min="23" max="24" width="9.375" style="1"/>
    <col min="25" max="16384" width="9" style="1"/>
  </cols>
  <sheetData>
    <row r="1" spans="1:20">
      <c r="A1" s="1" t="s">
        <v>0</v>
      </c>
      <c r="G1" s="3" t="s">
        <v>1</v>
      </c>
      <c r="H1" s="4" t="s">
        <v>2</v>
      </c>
      <c r="I1" s="22"/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</row>
    <row r="2" spans="2:20">
      <c r="B2" s="5" t="s">
        <v>12</v>
      </c>
      <c r="C2" s="6">
        <v>60</v>
      </c>
      <c r="G2" s="7"/>
      <c r="H2" s="8" t="s">
        <v>13</v>
      </c>
      <c r="I2" s="23">
        <v>1.2</v>
      </c>
      <c r="L2" s="2" t="s">
        <v>14</v>
      </c>
      <c r="M2" s="2">
        <v>1.3</v>
      </c>
      <c r="N2" s="2">
        <v>7</v>
      </c>
      <c r="O2" s="2">
        <f>3/1.5</f>
        <v>2</v>
      </c>
      <c r="P2" s="2">
        <f>3/2</f>
        <v>1.5</v>
      </c>
      <c r="Q2" s="2">
        <v>19.5</v>
      </c>
      <c r="R2" s="2">
        <v>0.5</v>
      </c>
      <c r="S2" s="2">
        <v>3</v>
      </c>
      <c r="T2" s="2">
        <v>0.8</v>
      </c>
    </row>
    <row r="3" spans="2:20">
      <c r="B3" s="1" t="s">
        <v>15</v>
      </c>
      <c r="C3" s="2">
        <v>2</v>
      </c>
      <c r="G3" s="3" t="s">
        <v>16</v>
      </c>
      <c r="H3" s="4" t="s">
        <v>17</v>
      </c>
      <c r="I3" s="22">
        <f>3*1.5</f>
        <v>4.5</v>
      </c>
      <c r="L3" s="2" t="s">
        <v>18</v>
      </c>
      <c r="M3" s="2">
        <v>1.6</v>
      </c>
      <c r="N3" s="2">
        <v>5</v>
      </c>
      <c r="O3" s="2">
        <f>3/1</f>
        <v>3</v>
      </c>
      <c r="P3" s="2">
        <f>3/1.5</f>
        <v>2</v>
      </c>
      <c r="Q3" s="2">
        <v>20.8</v>
      </c>
      <c r="R3" s="2"/>
      <c r="S3" s="2" t="s">
        <v>19</v>
      </c>
      <c r="T3" s="2" t="s">
        <v>20</v>
      </c>
    </row>
    <row r="4" spans="2:20">
      <c r="B4" s="5" t="s">
        <v>21</v>
      </c>
      <c r="C4" s="6" t="str">
        <f>IF((D4-C3*2)&lt;0,"相交",IF((D4-C3*2)&lt;0=0,"相切","否"))</f>
        <v>相交</v>
      </c>
      <c r="D4" s="5">
        <f>((D6-D7)^2+(E6-E7)^2)^0.5</f>
        <v>3.99644842328786</v>
      </c>
      <c r="E4" s="5"/>
      <c r="G4" s="9"/>
      <c r="H4" s="8" t="s">
        <v>22</v>
      </c>
      <c r="I4" s="23">
        <f>1*1.5+2</f>
        <v>3.5</v>
      </c>
      <c r="L4" s="25" t="s">
        <v>23</v>
      </c>
      <c r="M4" s="25">
        <v>1.3</v>
      </c>
      <c r="N4" s="2">
        <v>8</v>
      </c>
      <c r="O4" s="2">
        <f>3/1</f>
        <v>3</v>
      </c>
      <c r="P4" s="2">
        <f>3/3</f>
        <v>1</v>
      </c>
      <c r="Q4" s="25">
        <v>14</v>
      </c>
      <c r="R4" s="2"/>
      <c r="S4" s="2">
        <v>4.6</v>
      </c>
      <c r="T4" s="2">
        <v>6.2</v>
      </c>
    </row>
    <row r="5" spans="2:18">
      <c r="B5" s="5"/>
      <c r="C5" s="6"/>
      <c r="D5" s="6" t="s">
        <v>24</v>
      </c>
      <c r="E5" s="6" t="s">
        <v>25</v>
      </c>
      <c r="F5" s="2"/>
      <c r="G5" s="3" t="s">
        <v>26</v>
      </c>
      <c r="H5" s="4" t="s">
        <v>27</v>
      </c>
      <c r="I5" s="22">
        <v>0.5</v>
      </c>
      <c r="J5" s="2"/>
      <c r="L5" s="2" t="s">
        <v>28</v>
      </c>
      <c r="M5" s="2">
        <v>1.2</v>
      </c>
      <c r="N5" s="2">
        <v>8</v>
      </c>
      <c r="O5" s="2">
        <f>3/0.75</f>
        <v>4</v>
      </c>
      <c r="P5" s="2">
        <f>3/1</f>
        <v>3</v>
      </c>
      <c r="Q5" s="2">
        <v>20</v>
      </c>
      <c r="R5" s="2"/>
    </row>
    <row r="6" spans="2:18">
      <c r="B6" s="5" t="s">
        <v>29</v>
      </c>
      <c r="C6" s="6" t="s">
        <v>30</v>
      </c>
      <c r="D6" s="6">
        <v>0</v>
      </c>
      <c r="E6" s="6">
        <v>4</v>
      </c>
      <c r="F6" s="2"/>
      <c r="G6" s="10"/>
      <c r="H6" s="1" t="s">
        <v>31</v>
      </c>
      <c r="I6" s="24">
        <v>15</v>
      </c>
      <c r="J6" s="2"/>
      <c r="L6" s="2" t="s">
        <v>32</v>
      </c>
      <c r="M6" s="2">
        <v>1.1</v>
      </c>
      <c r="N6" s="2">
        <v>7</v>
      </c>
      <c r="O6" s="2">
        <f>3/1.25</f>
        <v>2.4</v>
      </c>
      <c r="P6" s="2">
        <f>3/2</f>
        <v>1.5</v>
      </c>
      <c r="Q6" s="2">
        <v>20</v>
      </c>
      <c r="R6" s="2"/>
    </row>
    <row r="7" spans="2:10">
      <c r="B7" s="5" t="s">
        <v>33</v>
      </c>
      <c r="C7" s="6" t="s">
        <v>29</v>
      </c>
      <c r="D7" s="6">
        <f>ROUND(D6*COS(C2/180*PI())-E6*SIN(C2/180*PI()),2)</f>
        <v>-3.46</v>
      </c>
      <c r="E7" s="6">
        <f>ROUND(D6*SIN(C2/180*PI())+E6*COS(C2/180*PI()),2)</f>
        <v>2</v>
      </c>
      <c r="F7" s="2"/>
      <c r="G7" s="10"/>
      <c r="H7" s="1" t="s">
        <v>34</v>
      </c>
      <c r="I7" s="24">
        <f>90-I6</f>
        <v>75</v>
      </c>
      <c r="J7" s="2"/>
    </row>
    <row r="8" spans="2:12">
      <c r="B8" s="5" t="s">
        <v>35</v>
      </c>
      <c r="C8" s="6" t="s">
        <v>36</v>
      </c>
      <c r="D8" s="6">
        <f>ROUND(D6*COS((-1)*C2/180*PI())-E6*SIN((-1)*C2/180*PI()),2)</f>
        <v>3.46</v>
      </c>
      <c r="E8" s="6">
        <f>ROUND(D6*SIN((-1)*C2/180*PI())+E6*COS((-1)*C2/180*PI()),2)</f>
        <v>2</v>
      </c>
      <c r="F8" s="2"/>
      <c r="G8" s="7"/>
      <c r="H8" s="8" t="s">
        <v>37</v>
      </c>
      <c r="I8" s="23">
        <v>90</v>
      </c>
      <c r="J8" s="2"/>
      <c r="L8" s="1"/>
    </row>
    <row r="9" hidden="1" spans="11:23">
      <c r="K9" s="2"/>
      <c r="Q9" s="2" t="s">
        <v>38</v>
      </c>
      <c r="R9" s="2" t="s">
        <v>39</v>
      </c>
      <c r="S9" s="2" t="s">
        <v>40</v>
      </c>
      <c r="T9" s="2" t="s">
        <v>41</v>
      </c>
      <c r="U9" s="2" t="s">
        <v>42</v>
      </c>
      <c r="W9" s="2"/>
    </row>
    <row r="10" hidden="1" spans="2:23">
      <c r="B10" s="2" t="s">
        <v>43</v>
      </c>
      <c r="C10" s="1" t="s">
        <v>44</v>
      </c>
      <c r="D10" s="1" t="s">
        <v>45</v>
      </c>
      <c r="E10" s="1" t="s">
        <v>46</v>
      </c>
      <c r="F10" s="2" t="s">
        <v>47</v>
      </c>
      <c r="H10" s="2"/>
      <c r="I10" s="2"/>
      <c r="K10" s="2"/>
      <c r="O10" s="12"/>
      <c r="Q10" s="2">
        <v>1</v>
      </c>
      <c r="R10" s="2">
        <v>5</v>
      </c>
      <c r="S10" s="2">
        <f>PI()*R10^2-PI()*$S$2^2</f>
        <v>50.2654824574367</v>
      </c>
      <c r="T10" s="2">
        <f>S10/(PI()*$R$2^2)</f>
        <v>64</v>
      </c>
      <c r="U10" s="12">
        <v>0.5</v>
      </c>
      <c r="W10" s="2"/>
    </row>
    <row r="11" hidden="1" spans="1:23">
      <c r="A11" s="1" t="s">
        <v>48</v>
      </c>
      <c r="B11" s="2">
        <v>7</v>
      </c>
      <c r="C11" s="1">
        <f>PI()*(C3+I2)^2</f>
        <v>32.1699087727595</v>
      </c>
      <c r="D11" s="1">
        <f>PI()*(N4^2-S2^2)</f>
        <v>172.787595947439</v>
      </c>
      <c r="E11" s="11">
        <f t="shared" ref="E11:E16" si="0">C11/D11</f>
        <v>0.186181818181818</v>
      </c>
      <c r="F11" s="2">
        <v>6</v>
      </c>
      <c r="G11" s="12"/>
      <c r="H11" s="12"/>
      <c r="I11" s="12"/>
      <c r="K11" s="2"/>
      <c r="O11" s="12"/>
      <c r="Q11" s="2">
        <v>2</v>
      </c>
      <c r="R11" s="2">
        <f t="shared" ref="R11:R18" si="1">R10+0.5</f>
        <v>5.5</v>
      </c>
      <c r="S11" s="2">
        <f>PI()*R11^2-PI()*$S$2^2</f>
        <v>66.7588438887831</v>
      </c>
      <c r="T11" s="2">
        <f>S11/(PI()*$R$2^2)</f>
        <v>85</v>
      </c>
      <c r="U11" s="12">
        <f t="shared" ref="U11:U18" si="2">U10+2%</f>
        <v>0.52</v>
      </c>
      <c r="W11" s="2"/>
    </row>
    <row r="12" hidden="1" spans="1:23">
      <c r="A12" s="1" t="s">
        <v>48</v>
      </c>
      <c r="B12" s="2">
        <v>11</v>
      </c>
      <c r="C12" s="1">
        <f>PI()*(C3+I2)^2</f>
        <v>32.1699087727595</v>
      </c>
      <c r="D12" s="1">
        <f>PI()*(N4^2-S2^2)</f>
        <v>172.787595947439</v>
      </c>
      <c r="E12" s="11">
        <f>C11/D11</f>
        <v>0.186181818181818</v>
      </c>
      <c r="K12" s="2"/>
      <c r="O12" s="12"/>
      <c r="Q12" s="2">
        <v>3</v>
      </c>
      <c r="R12" s="2">
        <f t="shared" si="1"/>
        <v>6</v>
      </c>
      <c r="S12" s="2">
        <f>PI()*R12^2-PI()*$S$2^2</f>
        <v>84.8230016469244</v>
      </c>
      <c r="T12" s="2">
        <f>S12/(PI()*$R$2^2)</f>
        <v>108</v>
      </c>
      <c r="U12" s="12">
        <f t="shared" si="2"/>
        <v>0.54</v>
      </c>
      <c r="W12" s="2"/>
    </row>
    <row r="13" hidden="1" spans="1:23">
      <c r="A13" s="1" t="s">
        <v>48</v>
      </c>
      <c r="B13" s="12">
        <v>0.5</v>
      </c>
      <c r="E13" s="13">
        <f>E12*(1+B13)^F11</f>
        <v>2.12072727272727</v>
      </c>
      <c r="K13" s="2"/>
      <c r="O13" s="12"/>
      <c r="Q13" s="2">
        <v>4</v>
      </c>
      <c r="R13" s="2">
        <f t="shared" si="1"/>
        <v>6.5</v>
      </c>
      <c r="S13" s="2">
        <f>PI()*R13^2-PI()*$S$2^2</f>
        <v>104.457955731861</v>
      </c>
      <c r="T13" s="2">
        <f>S13/(PI()*$R$2^2)</f>
        <v>133</v>
      </c>
      <c r="U13" s="12">
        <f t="shared" si="2"/>
        <v>0.56</v>
      </c>
      <c r="W13" s="2"/>
    </row>
    <row r="14" hidden="1" spans="2:23">
      <c r="B14" s="2" t="s">
        <v>49</v>
      </c>
      <c r="C14" s="1" t="s">
        <v>44</v>
      </c>
      <c r="D14" s="1" t="s">
        <v>45</v>
      </c>
      <c r="E14" s="1" t="s">
        <v>46</v>
      </c>
      <c r="F14" s="2" t="s">
        <v>47</v>
      </c>
      <c r="K14" s="2"/>
      <c r="O14" s="12"/>
      <c r="Q14" s="2">
        <v>5</v>
      </c>
      <c r="R14" s="2">
        <f t="shared" si="1"/>
        <v>7</v>
      </c>
      <c r="S14" s="2">
        <f>PI()*R14^2-PI()*$S$2^2</f>
        <v>125.663706143592</v>
      </c>
      <c r="T14" s="2">
        <f>S14/(PI()*$R$2^2)</f>
        <v>160</v>
      </c>
      <c r="U14" s="12">
        <f t="shared" si="2"/>
        <v>0.58</v>
      </c>
      <c r="W14" s="2"/>
    </row>
    <row r="15" hidden="1" spans="1:23">
      <c r="A15" s="1" t="s">
        <v>50</v>
      </c>
      <c r="B15" s="2">
        <v>7</v>
      </c>
      <c r="C15" s="1">
        <f>PI()*((C3+I4/2)^2+(I3/2)^2)</f>
        <v>60.0829594999048</v>
      </c>
      <c r="D15" s="1">
        <f>PI()*((N3*2)^2-S2^2)</f>
        <v>285.884931476671</v>
      </c>
      <c r="E15" s="11">
        <f t="shared" si="0"/>
        <v>0.210164835164835</v>
      </c>
      <c r="F15" s="2">
        <v>5</v>
      </c>
      <c r="K15" s="2"/>
      <c r="O15" s="12"/>
      <c r="Q15" s="2">
        <v>6</v>
      </c>
      <c r="R15" s="2">
        <f t="shared" si="1"/>
        <v>7.5</v>
      </c>
      <c r="S15" s="2">
        <f>PI()*R15^2-PI()*$S$2^2</f>
        <v>148.440252882118</v>
      </c>
      <c r="T15" s="2">
        <f>S15/(PI()*$R$2^2)</f>
        <v>189</v>
      </c>
      <c r="U15" s="12">
        <f t="shared" si="2"/>
        <v>0.6</v>
      </c>
      <c r="W15" s="2"/>
    </row>
    <row r="16" hidden="1" spans="1:23">
      <c r="A16" s="1" t="s">
        <v>50</v>
      </c>
      <c r="B16" s="2">
        <v>11</v>
      </c>
      <c r="C16" s="1">
        <f>PI()*((C3+I4/2)^2+(I3/2)^2)</f>
        <v>60.0829594999048</v>
      </c>
      <c r="D16" s="1">
        <f>PI()*((N3*2)^2-S2^2)</f>
        <v>285.884931476671</v>
      </c>
      <c r="E16" s="11">
        <f t="shared" si="0"/>
        <v>0.210164835164835</v>
      </c>
      <c r="K16" s="2"/>
      <c r="O16" s="12"/>
      <c r="Q16" s="2">
        <v>7</v>
      </c>
      <c r="R16" s="2">
        <f t="shared" si="1"/>
        <v>8</v>
      </c>
      <c r="S16" s="2">
        <f>PI()*R16^2-PI()*$S$2^2</f>
        <v>172.787595947439</v>
      </c>
      <c r="T16" s="2">
        <f>S16/(PI()*$R$2^2)</f>
        <v>220</v>
      </c>
      <c r="U16" s="12">
        <f t="shared" si="2"/>
        <v>0.62</v>
      </c>
      <c r="W16" s="2"/>
    </row>
    <row r="17" hidden="1" spans="1:23">
      <c r="A17" s="1" t="s">
        <v>50</v>
      </c>
      <c r="B17" s="12">
        <f>B13</f>
        <v>0.5</v>
      </c>
      <c r="E17" s="13">
        <f>E16*(1+B17)^F15</f>
        <v>1.59593921703297</v>
      </c>
      <c r="K17" s="2"/>
      <c r="O17" s="12"/>
      <c r="Q17" s="2">
        <v>8</v>
      </c>
      <c r="R17" s="2">
        <f t="shared" si="1"/>
        <v>8.5</v>
      </c>
      <c r="S17" s="2">
        <f>PI()*R17^2-PI()*$S$2^2</f>
        <v>198.705735339554</v>
      </c>
      <c r="T17" s="2">
        <f>S17/(PI()*$R$2^2)</f>
        <v>253</v>
      </c>
      <c r="U17" s="12">
        <f t="shared" si="2"/>
        <v>0.64</v>
      </c>
      <c r="W17" s="2"/>
    </row>
    <row r="18" hidden="1" spans="2:23">
      <c r="B18" s="2" t="s">
        <v>51</v>
      </c>
      <c r="C18" s="1" t="s">
        <v>52</v>
      </c>
      <c r="D18" s="1" t="s">
        <v>53</v>
      </c>
      <c r="E18" s="1" t="s">
        <v>54</v>
      </c>
      <c r="F18" s="1" t="s">
        <v>55</v>
      </c>
      <c r="G18" s="1" t="s">
        <v>56</v>
      </c>
      <c r="H18" s="1" t="s">
        <v>57</v>
      </c>
      <c r="I18" s="1" t="s">
        <v>58</v>
      </c>
      <c r="K18" s="2"/>
      <c r="O18" s="12"/>
      <c r="Q18" s="2">
        <v>9</v>
      </c>
      <c r="R18" s="2">
        <f t="shared" si="1"/>
        <v>9</v>
      </c>
      <c r="S18" s="2">
        <f>PI()*R18^2-PI()*$S$2^2</f>
        <v>226.194671058465</v>
      </c>
      <c r="T18" s="2">
        <f>S18/(PI()*$R$2^2)</f>
        <v>288</v>
      </c>
      <c r="U18" s="12">
        <f t="shared" si="2"/>
        <v>0.66</v>
      </c>
      <c r="W18" s="2"/>
    </row>
    <row r="19" hidden="1" spans="1:23">
      <c r="A19" s="1" t="s">
        <v>59</v>
      </c>
      <c r="B19" s="2">
        <v>7</v>
      </c>
      <c r="C19" s="1">
        <f>(2*C3^2/(1-COS(I6/180*PI())))^0.5</f>
        <v>15.3225951510808</v>
      </c>
      <c r="D19" s="1">
        <f>COS(I6/2/180*PI())*C19</f>
        <v>15.1915082254503</v>
      </c>
      <c r="E19" s="1">
        <f>2*D19*I5/C19</f>
        <v>0.99144486137381</v>
      </c>
      <c r="F19" s="13">
        <f>($S$2-E19)*TAN($I$6/2/180*PI())*($S$2-E19)</f>
        <v>0.531124847517513</v>
      </c>
      <c r="G19" s="1">
        <f>C3*D19</f>
        <v>30.3830164509006</v>
      </c>
      <c r="H19" s="1">
        <f>($N$2-E19)*TAN($I$6/2/180*PI())*($N$2-E19)</f>
        <v>4.75301521325293</v>
      </c>
      <c r="I19" s="1">
        <f>_xlfn.IFS((D19+E19)&lt;S$2,0,AND(E19&lt;S$2,(D19+E19)&lt;N$2),H19-F19,AND(E19&lt;S$2,(D19+E19)&gt;=N$2),G19-F19,AND(E19&lt;N$2,(D19+E19)&lt;N$2),G19,AND(E19&lt;N$2,(D19+E19)&gt;=N$2),H19,E19&gt;=7,0)</f>
        <v>29.8518916033831</v>
      </c>
      <c r="K19" s="2"/>
      <c r="O19" s="12"/>
      <c r="R19" s="2"/>
      <c r="S19" s="2"/>
      <c r="T19" s="2"/>
      <c r="U19" s="2"/>
      <c r="V19" s="12"/>
      <c r="W19" s="2"/>
    </row>
    <row r="20" hidden="1" spans="1:23">
      <c r="A20" s="1" t="s">
        <v>59</v>
      </c>
      <c r="B20" s="2">
        <v>11</v>
      </c>
      <c r="C20" s="1" t="s">
        <v>52</v>
      </c>
      <c r="D20" s="1" t="s">
        <v>53</v>
      </c>
      <c r="E20" s="1" t="s">
        <v>54</v>
      </c>
      <c r="F20" s="1" t="s">
        <v>55</v>
      </c>
      <c r="G20" s="1" t="s">
        <v>56</v>
      </c>
      <c r="H20" s="1" t="s">
        <v>57</v>
      </c>
      <c r="I20" s="1" t="s">
        <v>60</v>
      </c>
      <c r="K20" s="2"/>
      <c r="O20" s="12"/>
      <c r="Q20" s="1" t="s">
        <v>61</v>
      </c>
      <c r="R20" s="2" t="s">
        <v>62</v>
      </c>
      <c r="S20" s="2" t="s">
        <v>40</v>
      </c>
      <c r="T20" s="2" t="s">
        <v>42</v>
      </c>
      <c r="U20" s="2" t="s">
        <v>63</v>
      </c>
      <c r="V20" s="12"/>
      <c r="W20" s="2"/>
    </row>
    <row r="21" hidden="1" spans="1:23">
      <c r="A21" s="1" t="s">
        <v>59</v>
      </c>
      <c r="B21" s="12">
        <f>B13</f>
        <v>0.5</v>
      </c>
      <c r="C21" s="1">
        <f>(2*C3^2/(1-COS($I$7/180*PI())))^0.5</f>
        <v>3.28535926340916</v>
      </c>
      <c r="D21" s="1">
        <f>COS($I$7/2/180*PI())*C21</f>
        <v>2.60645074568241</v>
      </c>
      <c r="E21" s="1">
        <f>2*D21*I5/C21</f>
        <v>0.793353340291235</v>
      </c>
      <c r="F21" s="13">
        <f>(S2-E21)*TAN(I7/2/180*PI())*(S2-E21)</f>
        <v>3.73633723090285</v>
      </c>
      <c r="G21" s="1">
        <f>C3*D21</f>
        <v>5.21290149136482</v>
      </c>
      <c r="H21" s="1">
        <f>(N2-E21)*TAN(I7/2/180*PI())*(N2-E21)</f>
        <v>29.5593253179915</v>
      </c>
      <c r="I21" s="1">
        <f>_xlfn.IFS((D21+E21)&lt;S$2,0,AND(E21&lt;S$2,(D21+E21)&lt;N$2),H21-F21,AND(E21&lt;S$2,(D21+E21)&gt;=N$2),G21-F21,AND(E21&lt;N$2,(D21+E21)&lt;N$2),G21,AND(E21&lt;N$2,(D21+E21)&gt;=N$2),H21,E21&gt;=7,0)</f>
        <v>25.8229880870886</v>
      </c>
      <c r="K21" s="2"/>
      <c r="O21" s="12"/>
      <c r="R21" s="2">
        <v>1.2</v>
      </c>
      <c r="S21" s="2">
        <f>PI()*R21^2</f>
        <v>4.5238934211693</v>
      </c>
      <c r="T21" s="12">
        <v>0.88</v>
      </c>
      <c r="U21" s="2">
        <f>((R21+0.5)/$R$2)^2*T21</f>
        <v>10.1728</v>
      </c>
      <c r="V21" s="12"/>
      <c r="W21" s="2"/>
    </row>
    <row r="22" hidden="1" spans="2:23">
      <c r="B22" s="2"/>
      <c r="C22" s="1" t="s">
        <v>52</v>
      </c>
      <c r="D22" s="1" t="s">
        <v>53</v>
      </c>
      <c r="E22" s="1" t="s">
        <v>54</v>
      </c>
      <c r="F22" s="1" t="s">
        <v>55</v>
      </c>
      <c r="G22" s="1" t="s">
        <v>56</v>
      </c>
      <c r="H22" s="1" t="s">
        <v>57</v>
      </c>
      <c r="I22" s="1" t="s">
        <v>64</v>
      </c>
      <c r="K22" s="2"/>
      <c r="O22" s="12"/>
      <c r="R22" s="2"/>
      <c r="S22" s="2"/>
      <c r="T22" s="2"/>
      <c r="U22" s="2"/>
      <c r="V22" s="12"/>
      <c r="W22" s="2"/>
    </row>
    <row r="23" hidden="1" spans="2:23">
      <c r="B23" s="2"/>
      <c r="C23" s="1">
        <f>(2*C3^2/(1-COS($I$8/180*PI())))^0.5</f>
        <v>2.82842712474619</v>
      </c>
      <c r="D23" s="1">
        <f>COS($I$8/2/180*PI())*C23</f>
        <v>2</v>
      </c>
      <c r="E23" s="1">
        <f>2*D23*$I$5/C23</f>
        <v>0.707106781186548</v>
      </c>
      <c r="F23" s="13">
        <f>($S$2-E23)*TAN($I$8/2/180*PI())*($S$2-E23)</f>
        <v>5.25735931288071</v>
      </c>
      <c r="G23" s="1">
        <f>C3*D23</f>
        <v>4</v>
      </c>
      <c r="H23" s="1">
        <f>($N$2-E23)*TAN($I$8/2/180*PI())*($N$2-E23)</f>
        <v>39.6005050633883</v>
      </c>
      <c r="I23" s="1">
        <f>_xlfn.IFS((D23+E23)&lt;S$2,0,AND(E23&lt;S$2,(D23+E23)&lt;N$2),H23-F23,AND(E23&lt;S$2,(D23+E23)&gt;=N$2),G23-F23,AND(E23&lt;N$2,(D23+E23)&lt;N$2),G23,AND(E23&lt;N$2,(D23+E23)&gt;=N$2),H23,E23&gt;=7,0)</f>
        <v>0</v>
      </c>
      <c r="K23" s="2"/>
      <c r="O23" s="12"/>
      <c r="Q23" s="1" t="s">
        <v>65</v>
      </c>
      <c r="R23" s="2" t="s">
        <v>66</v>
      </c>
      <c r="S23" s="2" t="s">
        <v>40</v>
      </c>
      <c r="T23" s="2" t="s">
        <v>42</v>
      </c>
      <c r="U23" s="2" t="s">
        <v>63</v>
      </c>
      <c r="V23" s="12"/>
      <c r="W23" s="2"/>
    </row>
    <row r="24" hidden="1" spans="2:23">
      <c r="B24" s="2"/>
      <c r="C24" s="1" t="s">
        <v>67</v>
      </c>
      <c r="D24" s="1" t="s">
        <v>68</v>
      </c>
      <c r="E24" s="1" t="s">
        <v>69</v>
      </c>
      <c r="F24" s="14" t="s">
        <v>70</v>
      </c>
      <c r="G24" s="15" t="s">
        <v>71</v>
      </c>
      <c r="H24" s="2" t="s">
        <v>47</v>
      </c>
      <c r="I24" s="2" t="s">
        <v>72</v>
      </c>
      <c r="K24" s="2"/>
      <c r="O24" s="12"/>
      <c r="R24" s="2" t="s">
        <v>73</v>
      </c>
      <c r="S24" s="2">
        <f>4*2</f>
        <v>8</v>
      </c>
      <c r="T24" s="12">
        <v>0.88</v>
      </c>
      <c r="U24" s="2">
        <f>S24/(PI()*$R$2^2)*T24</f>
        <v>8.96360639493555</v>
      </c>
      <c r="V24" s="27">
        <f>U24/U21</f>
        <v>0.881134633034715</v>
      </c>
      <c r="W24" s="2"/>
    </row>
    <row r="25" hidden="1" spans="2:22">
      <c r="B25" s="2"/>
      <c r="C25" s="1">
        <f>($I$5+C3*2)*($N$2-$S$2)</f>
        <v>18</v>
      </c>
      <c r="D25" s="1">
        <f>PI()*($N$2^2-$S$2^2)</f>
        <v>125.663706143592</v>
      </c>
      <c r="E25" s="11">
        <f t="shared" ref="E25:E28" si="3">C25/D25</f>
        <v>0.143239448782706</v>
      </c>
      <c r="F25" s="16">
        <f>SUM(I19,I21,I23,C25*3)/D25</f>
        <v>0.872764961787375</v>
      </c>
      <c r="G25" s="16">
        <f>E25*3</f>
        <v>0.429718346348117</v>
      </c>
      <c r="H25" s="2">
        <v>6</v>
      </c>
      <c r="I25" s="1">
        <f>E25*(1+B21)^H25</f>
        <v>1.63158684629051</v>
      </c>
      <c r="R25" s="2"/>
      <c r="S25" s="2"/>
      <c r="T25" s="12"/>
      <c r="U25" s="2"/>
      <c r="V25" s="27"/>
    </row>
    <row r="26" hidden="1" spans="2:22">
      <c r="B26" s="2" t="s">
        <v>43</v>
      </c>
      <c r="C26" s="1" t="s">
        <v>44</v>
      </c>
      <c r="D26" s="1" t="s">
        <v>45</v>
      </c>
      <c r="E26" s="1" t="s">
        <v>46</v>
      </c>
      <c r="F26" s="2" t="s">
        <v>47</v>
      </c>
      <c r="K26" s="2"/>
      <c r="Q26" s="1" t="s">
        <v>74</v>
      </c>
      <c r="R26" s="2" t="s">
        <v>66</v>
      </c>
      <c r="S26" s="2" t="s">
        <v>40</v>
      </c>
      <c r="T26" s="2" t="s">
        <v>42</v>
      </c>
      <c r="U26" s="2" t="s">
        <v>63</v>
      </c>
      <c r="V26" s="2"/>
    </row>
    <row r="27" hidden="1" spans="1:22">
      <c r="A27" s="1" t="s">
        <v>75</v>
      </c>
      <c r="B27" s="2">
        <v>0.5</v>
      </c>
      <c r="C27" s="1">
        <f>PI()*(B27+I2)^2</f>
        <v>9.0792027688745</v>
      </c>
      <c r="D27" s="1">
        <f>PI()*(N4^2-S2^2)</f>
        <v>172.787595947439</v>
      </c>
      <c r="E27" s="11">
        <f t="shared" si="3"/>
        <v>0.0525454545454545</v>
      </c>
      <c r="F27" s="2">
        <v>4</v>
      </c>
      <c r="K27" s="2"/>
      <c r="P27" s="12"/>
      <c r="Q27" s="2"/>
      <c r="R27" s="2" t="s">
        <v>76</v>
      </c>
      <c r="S27" s="2">
        <f>6.5*1.5</f>
        <v>9.75</v>
      </c>
      <c r="T27" s="12">
        <v>0.85</v>
      </c>
      <c r="U27" s="2">
        <f>S27/(PI()*$R$2^2)*T27</f>
        <v>10.5519727269927</v>
      </c>
      <c r="V27" s="2">
        <f>U27/U21</f>
        <v>1.0372731919425</v>
      </c>
    </row>
    <row r="28" hidden="1" spans="1:19">
      <c r="A28" s="1" t="s">
        <v>75</v>
      </c>
      <c r="B28" s="2">
        <v>0.9</v>
      </c>
      <c r="C28" s="1">
        <f>PI()*(B28+I2)^2</f>
        <v>13.854423602331</v>
      </c>
      <c r="D28" s="1">
        <f>PI()*(N4^2-S2^2)</f>
        <v>172.787595947439</v>
      </c>
      <c r="E28" s="11">
        <f t="shared" si="3"/>
        <v>0.0801818181818182</v>
      </c>
      <c r="K28" s="2"/>
      <c r="P28" s="12"/>
      <c r="Q28" s="2"/>
      <c r="R28" s="2"/>
      <c r="S28" s="2"/>
    </row>
    <row r="29" hidden="1" spans="1:19">
      <c r="A29" s="1" t="s">
        <v>75</v>
      </c>
      <c r="B29" s="12">
        <f>B13</f>
        <v>0.5</v>
      </c>
      <c r="E29" s="13">
        <f>(1-(1-E28)^((1+B29)*0.5))*3</f>
        <v>0.18228056726074</v>
      </c>
      <c r="K29" s="2"/>
      <c r="P29" s="12"/>
      <c r="Q29" s="2"/>
      <c r="R29" s="2"/>
      <c r="S29" s="2"/>
    </row>
    <row r="30" hidden="1" spans="2:17">
      <c r="B30" s="2" t="s">
        <v>49</v>
      </c>
      <c r="C30" s="1" t="s">
        <v>44</v>
      </c>
      <c r="D30" s="1" t="s">
        <v>45</v>
      </c>
      <c r="E30" s="1" t="s">
        <v>46</v>
      </c>
      <c r="F30" s="2" t="s">
        <v>47</v>
      </c>
      <c r="K30" s="2"/>
      <c r="P30" s="12"/>
      <c r="Q30" s="2"/>
    </row>
    <row r="31" hidden="1" spans="1:17">
      <c r="A31" s="1" t="s">
        <v>77</v>
      </c>
      <c r="B31" s="2">
        <f t="shared" ref="B31:B33" si="4">B27</f>
        <v>0.5</v>
      </c>
      <c r="C31" s="1">
        <f>PI()*((B31+I4/2)^2+(I3/2)^2)</f>
        <v>31.8086256175967</v>
      </c>
      <c r="D31" s="1">
        <f>PI()*((N3*2)^2-S2^2)</f>
        <v>285.884931476671</v>
      </c>
      <c r="E31" s="11">
        <f>C31/D31</f>
        <v>0.111263736263736</v>
      </c>
      <c r="F31" s="2">
        <v>3</v>
      </c>
      <c r="K31" s="2"/>
      <c r="P31" s="12"/>
      <c r="Q31" s="2"/>
    </row>
    <row r="32" hidden="1" spans="1:17">
      <c r="A32" s="1" t="s">
        <v>77</v>
      </c>
      <c r="B32" s="2">
        <f t="shared" si="4"/>
        <v>0.9</v>
      </c>
      <c r="C32" s="1">
        <f>PI()*((B32+I4/2)^2+(I3/2)^2)</f>
        <v>37.9661472186326</v>
      </c>
      <c r="D32" s="1">
        <f>PI()*((N3*2)^2-S2^2)</f>
        <v>285.884931476671</v>
      </c>
      <c r="E32" s="11">
        <f>C32/D32</f>
        <v>0.132802197802198</v>
      </c>
      <c r="K32" s="2"/>
      <c r="P32" s="12"/>
      <c r="Q32" s="2"/>
    </row>
    <row r="33" hidden="1" spans="1:17">
      <c r="A33" s="1" t="s">
        <v>77</v>
      </c>
      <c r="B33" s="12">
        <f t="shared" si="4"/>
        <v>0.5</v>
      </c>
      <c r="E33" s="13">
        <f>(1-(1-E32)^((1+B33)*0.5))*3</f>
        <v>0.304062118848676</v>
      </c>
      <c r="K33" s="2"/>
      <c r="P33" s="12"/>
      <c r="Q33" s="2"/>
    </row>
    <row r="34" hidden="1" spans="2:17">
      <c r="B34" s="2" t="s">
        <v>78</v>
      </c>
      <c r="C34" s="1" t="s">
        <v>52</v>
      </c>
      <c r="D34" s="1" t="s">
        <v>53</v>
      </c>
      <c r="E34" s="1" t="s">
        <v>54</v>
      </c>
      <c r="F34" s="1" t="s">
        <v>55</v>
      </c>
      <c r="G34" s="1" t="s">
        <v>56</v>
      </c>
      <c r="H34" s="1" t="s">
        <v>57</v>
      </c>
      <c r="I34" s="1" t="s">
        <v>58</v>
      </c>
      <c r="K34" s="2"/>
      <c r="P34" s="12"/>
      <c r="Q34" s="2"/>
    </row>
    <row r="35" hidden="1" spans="1:17">
      <c r="A35" s="1" t="s">
        <v>79</v>
      </c>
      <c r="B35" s="2">
        <f t="shared" ref="B35:B37" si="5">B31</f>
        <v>0.5</v>
      </c>
      <c r="C35" s="1">
        <f>(2*B35^2/(1-COS($I$6/180*PI())))^0.5</f>
        <v>3.8306487877702</v>
      </c>
      <c r="D35" s="1">
        <f>COS($I$6/2/180*PI())*C35</f>
        <v>3.79787705636258</v>
      </c>
      <c r="E35" s="1">
        <f>2*D35*$I$5/C35</f>
        <v>0.99144486137381</v>
      </c>
      <c r="F35" s="13">
        <f>($S$2-E35)*TAN($I$6/2/180*PI())*($S$2-E35)</f>
        <v>0.531124847517513</v>
      </c>
      <c r="G35" s="1">
        <f>B35*D35</f>
        <v>1.89893852818129</v>
      </c>
      <c r="H35" s="1">
        <f>($N$2-E35)*TAN($I$6/2/180*PI())*($N$2-E35)</f>
        <v>4.75301521325293</v>
      </c>
      <c r="I35" s="1">
        <f>_xlfn.IFS((D35+E35)&lt;S$2,0,AND(E35&lt;S$2,(D35+E35)&lt;N$2),H35-F35,AND(E35&lt;S$2,(D35+E35)&gt;=N$2),G35-F35,AND(E35&lt;N$2,(D35+E35)&lt;N$2),G35,AND(E35&lt;N$2,(D35+E35)&gt;=N$2),H35,E35&gt;=7,0)</f>
        <v>4.22189036573542</v>
      </c>
      <c r="K35" s="2"/>
      <c r="P35" s="12"/>
      <c r="Q35" s="2"/>
    </row>
    <row r="36" hidden="1" spans="1:17">
      <c r="A36" s="1" t="s">
        <v>79</v>
      </c>
      <c r="B36" s="2">
        <f t="shared" si="5"/>
        <v>0.9</v>
      </c>
      <c r="C36" s="1" t="s">
        <v>52</v>
      </c>
      <c r="D36" s="1" t="s">
        <v>53</v>
      </c>
      <c r="E36" s="1" t="s">
        <v>54</v>
      </c>
      <c r="F36" s="1" t="s">
        <v>55</v>
      </c>
      <c r="G36" s="1" t="s">
        <v>56</v>
      </c>
      <c r="H36" s="1" t="s">
        <v>57</v>
      </c>
      <c r="I36" s="1" t="s">
        <v>60</v>
      </c>
      <c r="K36" s="2"/>
      <c r="P36" s="12"/>
      <c r="Q36" s="2"/>
    </row>
    <row r="37" hidden="1" spans="1:17">
      <c r="A37" s="1" t="s">
        <v>79</v>
      </c>
      <c r="B37" s="12">
        <f t="shared" si="5"/>
        <v>0.5</v>
      </c>
      <c r="C37" s="1">
        <f>(2*B35^2/(1-COS($I$7/180*PI())))^0.5</f>
        <v>0.821339815852291</v>
      </c>
      <c r="D37" s="1">
        <f>COS($I$7/2/180*PI())*C37</f>
        <v>0.651612686420603</v>
      </c>
      <c r="E37" s="1">
        <f>2*D37*$I$5/C37</f>
        <v>0.793353340291235</v>
      </c>
      <c r="F37" s="13">
        <f>($S$2-E37)*TAN($I$6/2/180*PI())*($S$2-E37)</f>
        <v>0.641054121623861</v>
      </c>
      <c r="G37" s="1">
        <f>B35*D37</f>
        <v>0.325806343210301</v>
      </c>
      <c r="H37" s="1">
        <f>($N$2-E37)*TAN($I$6/2/180*PI())*($N$2-E37)</f>
        <v>5.07157843537054</v>
      </c>
      <c r="I37" s="1">
        <f>_xlfn.IFS((D37+E37)&lt;S$2,0,AND(E37&lt;S$2,(D37+E37)&lt;N$2),H37-F37,AND(E37&lt;S$2,(D37+E37)&gt;=N$2),G37-F37,AND(E37&lt;N$2,(D37+E37)&lt;N$2),G37,AND(E37&lt;N$2,(D37+E37)&gt;=N$2),H37,E37&gt;=7,0)</f>
        <v>0</v>
      </c>
      <c r="K37" s="2"/>
      <c r="P37" s="12"/>
      <c r="Q37" s="2"/>
    </row>
    <row r="38" hidden="1" spans="2:17">
      <c r="B38" s="2"/>
      <c r="C38" s="1" t="s">
        <v>52</v>
      </c>
      <c r="D38" s="1" t="s">
        <v>53</v>
      </c>
      <c r="E38" s="1" t="s">
        <v>54</v>
      </c>
      <c r="F38" s="1" t="s">
        <v>55</v>
      </c>
      <c r="G38" s="1" t="s">
        <v>56</v>
      </c>
      <c r="H38" s="1" t="s">
        <v>57</v>
      </c>
      <c r="I38" s="1" t="s">
        <v>64</v>
      </c>
      <c r="K38" s="2"/>
      <c r="P38" s="12"/>
      <c r="Q38" s="2"/>
    </row>
    <row r="39" hidden="1" spans="2:17">
      <c r="B39" s="2"/>
      <c r="C39" s="1">
        <f>(2*B35^2/(1-COS($I$8/180*PI())))^0.5</f>
        <v>0.707106781186548</v>
      </c>
      <c r="D39" s="1">
        <f>COS($I$8/2/180*PI())*C39</f>
        <v>0.5</v>
      </c>
      <c r="E39" s="1">
        <f>2*D39*$I$5/C39</f>
        <v>0.707106781186548</v>
      </c>
      <c r="F39" s="13">
        <f>($S$2-E39)*TAN($I$8/2/180*PI())*($S$2-E39)</f>
        <v>5.25735931288071</v>
      </c>
      <c r="G39" s="1">
        <f>B35*D39</f>
        <v>0.25</v>
      </c>
      <c r="H39" s="1">
        <f>($N$2-E39)*TAN($I$8/2/180*PI())*($N$2-E39)</f>
        <v>39.6005050633883</v>
      </c>
      <c r="I39" s="1">
        <f>_xlfn.IFS((D39+E39)&lt;S$2,0,AND(E39&lt;S$2,(D39+E39)&lt;N$2),H39-F39,AND(E39&lt;S$2,(D39+E39)&gt;=N$2),G39-F39,AND(E39&lt;N$2,(D39+E39)&lt;N$2),G39,AND(E39&lt;N$2,(D39+E39)&gt;=N$2),H39,E39&gt;=7,0)</f>
        <v>0</v>
      </c>
      <c r="K39" s="2"/>
      <c r="P39" s="12"/>
      <c r="Q39" s="2"/>
    </row>
    <row r="40" hidden="1" spans="2:17">
      <c r="B40" s="2"/>
      <c r="C40" s="1" t="s">
        <v>67</v>
      </c>
      <c r="D40" s="1" t="s">
        <v>68</v>
      </c>
      <c r="E40" s="1" t="s">
        <v>69</v>
      </c>
      <c r="F40" s="17" t="s">
        <v>80</v>
      </c>
      <c r="G40" s="5" t="s">
        <v>81</v>
      </c>
      <c r="K40" s="2"/>
      <c r="P40" s="12"/>
      <c r="Q40" s="2"/>
    </row>
    <row r="41" hidden="1" spans="3:17">
      <c r="C41" s="1">
        <f>($I$5+B35*2)*($N$2-$S$2)</f>
        <v>6</v>
      </c>
      <c r="D41" s="1">
        <f>PI()*($N$5^2-$S$2^2)</f>
        <v>172.787595947439</v>
      </c>
      <c r="E41" s="11">
        <f>C41/D41</f>
        <v>0.0347247148564135</v>
      </c>
      <c r="F41" s="18">
        <f>SUM(I35,I37,I39,C41*6)/D41</f>
        <v>0.232782278989348</v>
      </c>
      <c r="G41" s="17">
        <f>9*F41</f>
        <v>2.09504051090413</v>
      </c>
      <c r="K41" s="2"/>
      <c r="P41" s="12"/>
      <c r="Q41" s="2"/>
    </row>
    <row r="42" hidden="1" spans="3:18">
      <c r="C42" s="1" t="s">
        <v>52</v>
      </c>
      <c r="D42" s="1" t="s">
        <v>53</v>
      </c>
      <c r="E42" s="1" t="s">
        <v>54</v>
      </c>
      <c r="F42" s="1" t="s">
        <v>55</v>
      </c>
      <c r="G42" s="1" t="s">
        <v>56</v>
      </c>
      <c r="H42" s="1" t="s">
        <v>57</v>
      </c>
      <c r="I42" s="1" t="s">
        <v>58</v>
      </c>
      <c r="M42" s="1"/>
      <c r="Q42" s="2"/>
      <c r="R42" s="2"/>
    </row>
    <row r="43" hidden="1" spans="3:17">
      <c r="C43" s="1">
        <f>(2*B36^2/(1-COS($I$6/180*PI())))^0.5</f>
        <v>6.89516781798635</v>
      </c>
      <c r="D43" s="1">
        <f>COS($I$6/2/180*PI())*C43</f>
        <v>6.83617870145264</v>
      </c>
      <c r="E43" s="1">
        <f>2*D43*$I$5/C43</f>
        <v>0.99144486137381</v>
      </c>
      <c r="F43" s="13">
        <f>($S$2-E43)*TAN($I$6/2/180*PI())*($S$2-E43)</f>
        <v>0.531124847517513</v>
      </c>
      <c r="G43" s="1">
        <f>B36*D43</f>
        <v>6.15256083130737</v>
      </c>
      <c r="H43" s="1">
        <f>($N$2-E43)*TAN($I$6/2/180*PI())*($N$2-E43)</f>
        <v>4.75301521325293</v>
      </c>
      <c r="I43" s="1">
        <f>_xlfn.IFS((D43+E43)&lt;S$2,0,AND(E43&lt;S$2,(D43+E43)&lt;N$2),H43-F43,AND(E43&lt;S$2,(D43+E43)&gt;=N$2),G43-F43,AND(E43&lt;N$2,(D43+E43)&lt;N$2),G43,AND(E43&lt;N$2,(D43+E43)&gt;=N$2),H43,E43&gt;=7,0)</f>
        <v>5.62143598378986</v>
      </c>
      <c r="M43" s="1"/>
      <c r="N43" s="1"/>
      <c r="O43" s="1"/>
      <c r="Q43" s="2"/>
    </row>
    <row r="44" hidden="1" spans="3:17">
      <c r="C44" s="1" t="s">
        <v>52</v>
      </c>
      <c r="D44" s="1" t="s">
        <v>53</v>
      </c>
      <c r="E44" s="1" t="s">
        <v>54</v>
      </c>
      <c r="F44" s="1" t="s">
        <v>55</v>
      </c>
      <c r="G44" s="1" t="s">
        <v>56</v>
      </c>
      <c r="H44" s="1" t="s">
        <v>57</v>
      </c>
      <c r="I44" s="1" t="s">
        <v>60</v>
      </c>
      <c r="M44" s="1"/>
      <c r="N44" s="1"/>
      <c r="O44" s="1"/>
      <c r="Q44" s="2"/>
    </row>
    <row r="45" hidden="1" spans="3:17">
      <c r="C45" s="1">
        <f>(2*B36^2/(1-COS($I$7/180*PI())))^0.5</f>
        <v>1.47841166853412</v>
      </c>
      <c r="D45" s="1">
        <f>COS($I$7/2/180*PI())*C45</f>
        <v>1.17290283555709</v>
      </c>
      <c r="E45" s="1">
        <f>2*D45*$I$5/C45</f>
        <v>0.793353340291235</v>
      </c>
      <c r="F45" s="13">
        <f>($S$2-E45)*TAN($I$6/2/180*PI())*($S$2-E45)</f>
        <v>0.641054121623861</v>
      </c>
      <c r="G45" s="1">
        <f>B36*D45</f>
        <v>1.05561255200138</v>
      </c>
      <c r="H45" s="1">
        <f>($N$2-E45)*TAN($I$6/2/180*PI())*($N$2-E45)</f>
        <v>5.07157843537054</v>
      </c>
      <c r="I45" s="1">
        <f>_xlfn.IFS((D45+E45)&lt;S$2,0,AND(E45&lt;S$2,(D45+E45)&lt;N$2),H45-F45,AND(E45&lt;S$2,(D45+E45)&gt;=N$2),G45-F45,AND(E45&lt;N$2,(D45+E45)&lt;N$2),G45,AND(E45&lt;N$2,(D45+E45)&gt;=N$2),H45,E45&gt;=7,0)</f>
        <v>0</v>
      </c>
      <c r="M45" s="1"/>
      <c r="N45" s="1"/>
      <c r="O45" s="1"/>
      <c r="Q45" s="2"/>
    </row>
    <row r="46" hidden="1" spans="3:17">
      <c r="C46" s="1" t="s">
        <v>52</v>
      </c>
      <c r="D46" s="1" t="s">
        <v>53</v>
      </c>
      <c r="E46" s="1" t="s">
        <v>54</v>
      </c>
      <c r="F46" s="1" t="s">
        <v>55</v>
      </c>
      <c r="G46" s="1" t="s">
        <v>56</v>
      </c>
      <c r="H46" s="1" t="s">
        <v>57</v>
      </c>
      <c r="I46" s="1" t="s">
        <v>64</v>
      </c>
      <c r="M46" s="1"/>
      <c r="N46" s="1"/>
      <c r="O46" s="1"/>
      <c r="Q46" s="2"/>
    </row>
    <row r="47" hidden="1" spans="3:17">
      <c r="C47" s="1">
        <f>(2*B36^2/(1-COS($I$8/180*PI())))^0.5</f>
        <v>1.27279220613579</v>
      </c>
      <c r="D47" s="1">
        <f>COS($I$8/2/180*PI())*C47</f>
        <v>0.9</v>
      </c>
      <c r="E47" s="1">
        <f>2*D47*$I$5/C47</f>
        <v>0.707106781186548</v>
      </c>
      <c r="F47" s="13">
        <f>($S$2-E47)*TAN($I$8/2/180*PI())*($S$2-E47)</f>
        <v>5.25735931288071</v>
      </c>
      <c r="G47" s="1">
        <f>B36*D47</f>
        <v>0.81</v>
      </c>
      <c r="H47" s="1">
        <f>($N$2-E47)*TAN($I$8/2/180*PI())*($N$2-E47)</f>
        <v>39.6005050633883</v>
      </c>
      <c r="I47" s="1">
        <f>_xlfn.IFS((D47+E47)&lt;S$2,0,AND(E47&lt;S$2,(D47+E47)&lt;N$2),H47-F47,AND(E47&lt;S$2,(D47+E47)&gt;=N$2),G47-F47,AND(E47&lt;N$2,(D47+E47)&lt;N$2),G47,AND(E47&lt;N$2,(D47+E47)&gt;=N$2),H47,E47&gt;=7,0)</f>
        <v>0</v>
      </c>
      <c r="M47" s="1"/>
      <c r="N47" s="1"/>
      <c r="O47" s="1"/>
      <c r="Q47" s="2"/>
    </row>
    <row r="48" hidden="1" spans="3:16">
      <c r="C48" s="1" t="s">
        <v>67</v>
      </c>
      <c r="D48" s="1" t="s">
        <v>68</v>
      </c>
      <c r="E48" s="1" t="s">
        <v>69</v>
      </c>
      <c r="F48" s="14" t="s">
        <v>80</v>
      </c>
      <c r="G48" s="15" t="s">
        <v>82</v>
      </c>
      <c r="H48" s="2" t="s">
        <v>47</v>
      </c>
      <c r="I48" s="2" t="s">
        <v>72</v>
      </c>
      <c r="M48" s="1"/>
      <c r="N48" s="1"/>
      <c r="O48" s="1"/>
      <c r="P48" s="1"/>
    </row>
    <row r="49" hidden="1" spans="3:18">
      <c r="C49" s="1">
        <f>($I$5+B36*2)*($N$2-$S$2)</f>
        <v>9.2</v>
      </c>
      <c r="D49" s="1">
        <f>PI()*($N$5^2-$S$2^2)</f>
        <v>172.787595947439</v>
      </c>
      <c r="E49" s="11">
        <f>C49/D49</f>
        <v>0.0532445627798341</v>
      </c>
      <c r="F49" s="16">
        <f>SUM(I43,I45,I47,C49*6)/D49</f>
        <v>0.352001170282452</v>
      </c>
      <c r="G49" s="16">
        <f>E49*3</f>
        <v>0.159733688339502</v>
      </c>
      <c r="H49" s="2">
        <v>6</v>
      </c>
      <c r="I49" s="13">
        <f>(1-(1-E49)^((1+B37)*0.5))*3</f>
        <v>0.120615843356463</v>
      </c>
      <c r="M49" s="1"/>
      <c r="N49" s="26"/>
      <c r="O49" s="26"/>
      <c r="P49" s="26"/>
      <c r="Q49" s="26"/>
      <c r="R49" s="26"/>
    </row>
    <row r="50" spans="11:18">
      <c r="K50" s="1">
        <f>K56/K65</f>
        <v>0.6</v>
      </c>
      <c r="L50" s="2">
        <f>L56/L65</f>
        <v>0.862709705748733</v>
      </c>
      <c r="M50" s="1"/>
      <c r="Q50" s="2"/>
      <c r="R50" s="2"/>
    </row>
    <row r="51" spans="1:18">
      <c r="A51" s="1" t="s">
        <v>83</v>
      </c>
      <c r="B51" s="1" t="s">
        <v>84</v>
      </c>
      <c r="C51" s="1" t="s">
        <v>85</v>
      </c>
      <c r="D51" s="1" t="s">
        <v>86</v>
      </c>
      <c r="E51" s="1" t="s">
        <v>87</v>
      </c>
      <c r="F51" s="2" t="s">
        <v>88</v>
      </c>
      <c r="G51" s="2" t="s">
        <v>89</v>
      </c>
      <c r="H51" s="1" t="s">
        <v>90</v>
      </c>
      <c r="I51" s="1" t="s">
        <v>91</v>
      </c>
      <c r="J51" s="1" t="s">
        <v>92</v>
      </c>
      <c r="K51" s="1" t="s">
        <v>93</v>
      </c>
      <c r="L51" s="1" t="s">
        <v>94</v>
      </c>
      <c r="M51" s="1"/>
      <c r="Q51" s="2"/>
      <c r="R51" s="2"/>
    </row>
    <row r="52" spans="1:17">
      <c r="A52" s="1" t="s">
        <v>95</v>
      </c>
      <c r="B52" s="28">
        <v>3</v>
      </c>
      <c r="C52" s="28">
        <v>18</v>
      </c>
      <c r="D52" s="1">
        <f>B52*F52/$M$4*(ROUNDDOWN($Q$4/$M$4,0)/(ROUNDDOWN($Q$4/$M$4,0)+1))</f>
        <v>0</v>
      </c>
      <c r="E52" s="1">
        <f>C52*G52/$M$4*(1/(ROUNDDOWN($Q$4/$M$4,0)+1))</f>
        <v>0</v>
      </c>
      <c r="F52" s="29">
        <v>0</v>
      </c>
      <c r="G52" s="29">
        <v>0</v>
      </c>
      <c r="H52" s="31">
        <f t="shared" ref="H52:H66" si="6">E52+D52</f>
        <v>0</v>
      </c>
      <c r="I52" s="1">
        <v>1</v>
      </c>
      <c r="J52" s="1">
        <f t="shared" ref="J52:J66" si="7">H52*$U$21*I52</f>
        <v>0</v>
      </c>
      <c r="K52" s="1">
        <f t="shared" ref="K52:K66" si="8">H52*$E$13*$B$12/20</f>
        <v>0</v>
      </c>
      <c r="L52" s="1">
        <f t="shared" ref="L52:L66" si="9">MIN(H52*$E$29*12/20*(1+$B$29)^$F$27,6*(1+$B$29)^4/20/4)</f>
        <v>0</v>
      </c>
      <c r="M52" s="1"/>
      <c r="N52" s="1"/>
      <c r="O52" s="1"/>
      <c r="Q52" s="2"/>
    </row>
    <row r="53" spans="1:17">
      <c r="A53" s="1" t="s">
        <v>96</v>
      </c>
      <c r="B53" s="28">
        <v>3</v>
      </c>
      <c r="C53" s="28">
        <v>18</v>
      </c>
      <c r="D53" s="1">
        <f>B53*F53/$M$4*(ROUNDDOWN($Q$4/$M$4,0)/(ROUNDDOWN($Q$4/$M$4,0)+1))</f>
        <v>0.377622377622378</v>
      </c>
      <c r="E53" s="1">
        <f>C53*G53/$M$4*(1/(ROUNDDOWN($Q$4/$M$4,0)+1))</f>
        <v>0</v>
      </c>
      <c r="F53" s="29">
        <v>0.18</v>
      </c>
      <c r="G53" s="29">
        <v>0</v>
      </c>
      <c r="H53" s="31">
        <f t="shared" si="6"/>
        <v>0.377622377622378</v>
      </c>
      <c r="I53" s="1">
        <f t="shared" ref="I53:I66" si="10">$I$52</f>
        <v>1</v>
      </c>
      <c r="J53" s="1">
        <f t="shared" si="7"/>
        <v>3.84147692307692</v>
      </c>
      <c r="K53" s="1">
        <f t="shared" si="8"/>
        <v>0.440458741258741</v>
      </c>
      <c r="L53" s="1">
        <f t="shared" si="9"/>
        <v>0.209080909405195</v>
      </c>
      <c r="M53" s="1"/>
      <c r="N53" s="1"/>
      <c r="O53" s="1"/>
      <c r="Q53" s="2"/>
    </row>
    <row r="54" spans="1:17">
      <c r="A54" s="1" t="s">
        <v>97</v>
      </c>
      <c r="B54" s="28">
        <v>3</v>
      </c>
      <c r="C54" s="28">
        <v>18</v>
      </c>
      <c r="D54" s="1">
        <f>B54*F54/$M$4*(ROUNDDOWN($Q$4/$M$4,0)/(ROUNDDOWN($Q$4/$M$4,0)+1))</f>
        <v>0.377622377622378</v>
      </c>
      <c r="E54" s="1">
        <f>C54*G54/$M$4*(1/(ROUNDDOWN($Q$4/$M$4,0)+1))</f>
        <v>0</v>
      </c>
      <c r="F54" s="29">
        <v>0.18</v>
      </c>
      <c r="G54" s="29">
        <v>0</v>
      </c>
      <c r="H54" s="31">
        <f t="shared" si="6"/>
        <v>0.377622377622378</v>
      </c>
      <c r="I54" s="1">
        <f t="shared" si="10"/>
        <v>1</v>
      </c>
      <c r="J54" s="1">
        <f t="shared" si="7"/>
        <v>3.84147692307692</v>
      </c>
      <c r="K54" s="1">
        <f t="shared" si="8"/>
        <v>0.440458741258741</v>
      </c>
      <c r="L54" s="1">
        <f t="shared" si="9"/>
        <v>0.209080909405195</v>
      </c>
      <c r="M54" s="1"/>
      <c r="N54" s="1"/>
      <c r="O54" s="1"/>
      <c r="Q54" s="2"/>
    </row>
    <row r="55" spans="1:18">
      <c r="A55" s="1" t="s">
        <v>98</v>
      </c>
      <c r="B55" s="28">
        <v>3</v>
      </c>
      <c r="C55" s="28">
        <v>18</v>
      </c>
      <c r="D55" s="1">
        <f>B55*F55/$M$4*(ROUNDDOWN($Q$4/$M$4,0)/(ROUNDDOWN($Q$4/$M$4,0)+1))</f>
        <v>0.377622377622378</v>
      </c>
      <c r="E55" s="1">
        <f>C55*G55/$M$4*(1/(ROUNDDOWN($Q$4/$M$4,0)+1))</f>
        <v>0.213986013986014</v>
      </c>
      <c r="F55" s="29">
        <v>0.18</v>
      </c>
      <c r="G55" s="29">
        <v>0.17</v>
      </c>
      <c r="H55" s="31">
        <f t="shared" si="6"/>
        <v>0.591608391608392</v>
      </c>
      <c r="I55" s="1">
        <f t="shared" si="10"/>
        <v>1</v>
      </c>
      <c r="J55" s="1">
        <f t="shared" si="7"/>
        <v>6.01831384615385</v>
      </c>
      <c r="K55" s="1">
        <f t="shared" si="8"/>
        <v>0.690052027972027</v>
      </c>
      <c r="L55" s="1">
        <f t="shared" si="9"/>
        <v>0.327560091401472</v>
      </c>
      <c r="M55" s="1"/>
      <c r="Q55" s="2"/>
      <c r="R55" s="2"/>
    </row>
    <row r="56" spans="1:22">
      <c r="A56" s="1" t="s">
        <v>99</v>
      </c>
      <c r="B56" s="28">
        <v>3</v>
      </c>
      <c r="C56" s="28">
        <v>18</v>
      </c>
      <c r="D56" s="1">
        <f>B56*F56/$M$4*(ROUNDDOWN($Q$4/$M$4,0)/(ROUNDDOWN($Q$4/$M$4,0)+1))</f>
        <v>0.377622377622378</v>
      </c>
      <c r="E56" s="1">
        <f>C56*G56/$M$4*(1/(ROUNDDOWN($Q$4/$M$4,0)+1))</f>
        <v>0.213986013986014</v>
      </c>
      <c r="F56" s="29">
        <v>0.18</v>
      </c>
      <c r="G56" s="29">
        <v>0.17</v>
      </c>
      <c r="H56" s="31">
        <f t="shared" si="6"/>
        <v>0.591608391608392</v>
      </c>
      <c r="I56" s="1">
        <f t="shared" si="10"/>
        <v>1</v>
      </c>
      <c r="J56" s="1">
        <f t="shared" si="7"/>
        <v>6.01831384615385</v>
      </c>
      <c r="K56" s="1">
        <f t="shared" si="8"/>
        <v>0.690052027972027</v>
      </c>
      <c r="L56" s="1">
        <f t="shared" si="9"/>
        <v>0.327560091401472</v>
      </c>
      <c r="O56" s="1"/>
      <c r="Q56" s="2"/>
      <c r="R56" s="2"/>
      <c r="S56" s="2"/>
      <c r="T56" s="2"/>
      <c r="U56" s="2"/>
      <c r="V56" s="2"/>
    </row>
    <row r="57" spans="1:20">
      <c r="A57" s="1" t="s">
        <v>100</v>
      </c>
      <c r="B57" s="28">
        <v>3</v>
      </c>
      <c r="C57" s="28">
        <v>18</v>
      </c>
      <c r="D57" s="1">
        <f>B57*F57/$M$4*(ROUNDDOWN($Q$4/$M$4,0)/(ROUNDDOWN($Q$4/$M$4,0)+1))</f>
        <v>0.482517482517482</v>
      </c>
      <c r="E57" s="1">
        <f>C57*G57/$M$4*(1/(ROUNDDOWN($Q$4/$M$4,0)+1))</f>
        <v>0.251748251748252</v>
      </c>
      <c r="F57" s="29">
        <v>0.23</v>
      </c>
      <c r="G57" s="29">
        <v>0.2</v>
      </c>
      <c r="H57" s="31">
        <f t="shared" si="6"/>
        <v>0.734265734265734</v>
      </c>
      <c r="I57" s="1">
        <f t="shared" si="10"/>
        <v>1</v>
      </c>
      <c r="J57" s="1">
        <f t="shared" si="7"/>
        <v>7.46953846153846</v>
      </c>
      <c r="K57" s="1">
        <f t="shared" si="8"/>
        <v>0.856447552447551</v>
      </c>
      <c r="L57" s="1">
        <f t="shared" si="9"/>
        <v>0.3796875</v>
      </c>
      <c r="O57" s="1"/>
      <c r="Q57" s="2"/>
      <c r="R57" s="2"/>
      <c r="S57" s="2"/>
      <c r="T57" s="2"/>
    </row>
    <row r="58" spans="1:20">
      <c r="A58" s="1" t="s">
        <v>101</v>
      </c>
      <c r="B58" s="28">
        <v>3</v>
      </c>
      <c r="C58" s="28">
        <v>24</v>
      </c>
      <c r="D58" s="1">
        <f>B58*F58/$M$4*(ROUNDDOWN($Q$4/$M$4,0)/(ROUNDDOWN($Q$4/$M$4,0)+1))</f>
        <v>0.482517482517482</v>
      </c>
      <c r="E58" s="1">
        <f>C58*G58/$M$4*(1/(ROUNDDOWN($Q$4/$M$4,0)+1))</f>
        <v>0.335664335664336</v>
      </c>
      <c r="F58" s="29">
        <v>0.23</v>
      </c>
      <c r="G58" s="29">
        <v>0.2</v>
      </c>
      <c r="H58" s="31">
        <f t="shared" si="6"/>
        <v>0.818181818181818</v>
      </c>
      <c r="I58" s="1">
        <f t="shared" si="10"/>
        <v>1</v>
      </c>
      <c r="J58" s="1">
        <f t="shared" si="7"/>
        <v>8.3232</v>
      </c>
      <c r="K58" s="1">
        <f t="shared" si="8"/>
        <v>0.954327272727271</v>
      </c>
      <c r="L58" s="1">
        <f t="shared" si="9"/>
        <v>0.3796875</v>
      </c>
      <c r="O58" s="1"/>
      <c r="Q58" s="2"/>
      <c r="R58" s="2"/>
      <c r="S58" s="2"/>
      <c r="T58" s="2"/>
    </row>
    <row r="59" spans="1:20">
      <c r="A59" s="1" t="s">
        <v>102</v>
      </c>
      <c r="B59" s="28">
        <v>3</v>
      </c>
      <c r="C59" s="28">
        <v>24</v>
      </c>
      <c r="D59" s="1">
        <f>B59*F59/$M$4*(ROUNDDOWN($Q$4/$M$4,0)/(ROUNDDOWN($Q$4/$M$4,0)+1))</f>
        <v>0.482517482517482</v>
      </c>
      <c r="E59" s="1">
        <f>C59*G59/$M$4*(1/(ROUNDDOWN($Q$4/$M$4,0)+1))</f>
        <v>0.335664335664336</v>
      </c>
      <c r="F59" s="29">
        <v>0.23</v>
      </c>
      <c r="G59" s="29">
        <v>0.2</v>
      </c>
      <c r="H59" s="31">
        <f t="shared" si="6"/>
        <v>0.818181818181818</v>
      </c>
      <c r="I59" s="1">
        <f t="shared" si="10"/>
        <v>1</v>
      </c>
      <c r="J59" s="1">
        <f t="shared" si="7"/>
        <v>8.3232</v>
      </c>
      <c r="K59" s="1">
        <f t="shared" si="8"/>
        <v>0.954327272727271</v>
      </c>
      <c r="L59" s="1">
        <f t="shared" si="9"/>
        <v>0.3796875</v>
      </c>
      <c r="O59" s="1"/>
      <c r="Q59" s="2"/>
      <c r="R59" s="2"/>
      <c r="S59" s="2"/>
      <c r="T59" s="2"/>
    </row>
    <row r="60" spans="1:20">
      <c r="A60" s="1" t="s">
        <v>103</v>
      </c>
      <c r="B60" s="28">
        <v>3</v>
      </c>
      <c r="C60" s="28">
        <v>24</v>
      </c>
      <c r="D60" s="1">
        <f>B60*F60/$M$4*(ROUNDDOWN($Q$4/$M$4,0)/(ROUNDDOWN($Q$4/$M$4,0)+1))</f>
        <v>0.482517482517482</v>
      </c>
      <c r="E60" s="1">
        <f>C60*G60/$M$4*(1/(ROUNDDOWN($Q$4/$M$4,0)+1))</f>
        <v>0.335664335664336</v>
      </c>
      <c r="F60" s="29">
        <v>0.23</v>
      </c>
      <c r="G60" s="29">
        <v>0.2</v>
      </c>
      <c r="H60" s="31">
        <f t="shared" si="6"/>
        <v>0.818181818181818</v>
      </c>
      <c r="I60" s="1">
        <f t="shared" si="10"/>
        <v>1</v>
      </c>
      <c r="J60" s="1">
        <f t="shared" si="7"/>
        <v>8.3232</v>
      </c>
      <c r="K60" s="1">
        <f t="shared" si="8"/>
        <v>0.954327272727271</v>
      </c>
      <c r="L60" s="1">
        <f t="shared" si="9"/>
        <v>0.3796875</v>
      </c>
      <c r="O60" s="1"/>
      <c r="Q60" s="2"/>
      <c r="R60" s="2"/>
      <c r="S60" s="2"/>
      <c r="T60" s="2"/>
    </row>
    <row r="61" spans="1:20">
      <c r="A61" s="1" t="s">
        <v>104</v>
      </c>
      <c r="B61" s="28">
        <v>3</v>
      </c>
      <c r="C61" s="28">
        <v>36</v>
      </c>
      <c r="D61" s="1">
        <f>B61*F61/$M$4*(ROUNDDOWN($Q$4/$M$4,0)/(ROUNDDOWN($Q$4/$M$4,0)+1))</f>
        <v>0.482517482517482</v>
      </c>
      <c r="E61" s="1">
        <f>C61*G61/$M$4*(1/(ROUNDDOWN($Q$4/$M$4,0)+1))</f>
        <v>0.503496503496504</v>
      </c>
      <c r="F61" s="29">
        <v>0.23</v>
      </c>
      <c r="G61" s="29">
        <v>0.2</v>
      </c>
      <c r="H61" s="31">
        <f t="shared" si="6"/>
        <v>0.986013986013986</v>
      </c>
      <c r="I61" s="1">
        <f t="shared" si="10"/>
        <v>1</v>
      </c>
      <c r="J61" s="1">
        <f t="shared" si="7"/>
        <v>10.0305230769231</v>
      </c>
      <c r="K61" s="1">
        <f t="shared" si="8"/>
        <v>1.15008671328671</v>
      </c>
      <c r="L61" s="1">
        <f t="shared" si="9"/>
        <v>0.3796875</v>
      </c>
      <c r="O61" s="1"/>
      <c r="Q61" s="2"/>
      <c r="R61" s="2"/>
      <c r="S61" s="2"/>
      <c r="T61" s="2"/>
    </row>
    <row r="62" spans="1:20">
      <c r="A62" s="1" t="s">
        <v>105</v>
      </c>
      <c r="B62" s="28">
        <v>3</v>
      </c>
      <c r="C62" s="28">
        <v>36</v>
      </c>
      <c r="D62" s="1">
        <f>B62*F62/$M$4*(ROUNDDOWN($Q$4/$M$4,0)/(ROUNDDOWN($Q$4/$M$4,0)+1))</f>
        <v>0.482517482517482</v>
      </c>
      <c r="E62" s="1">
        <f>C62*G62/$M$4*(1/(ROUNDDOWN($Q$4/$M$4,0)+1))</f>
        <v>0.503496503496504</v>
      </c>
      <c r="F62" s="29">
        <v>0.23</v>
      </c>
      <c r="G62" s="29">
        <v>0.2</v>
      </c>
      <c r="H62" s="31">
        <f t="shared" si="6"/>
        <v>0.986013986013986</v>
      </c>
      <c r="I62" s="1">
        <f t="shared" si="10"/>
        <v>1</v>
      </c>
      <c r="J62" s="1">
        <f t="shared" si="7"/>
        <v>10.0305230769231</v>
      </c>
      <c r="K62" s="1">
        <f t="shared" si="8"/>
        <v>1.15008671328671</v>
      </c>
      <c r="L62" s="1">
        <f t="shared" si="9"/>
        <v>0.3796875</v>
      </c>
      <c r="O62" s="1"/>
      <c r="Q62" s="2"/>
      <c r="R62" s="2"/>
      <c r="S62" s="2"/>
      <c r="T62" s="2"/>
    </row>
    <row r="63" spans="1:20">
      <c r="A63" s="1" t="s">
        <v>106</v>
      </c>
      <c r="B63" s="28">
        <v>3</v>
      </c>
      <c r="C63" s="28">
        <v>36</v>
      </c>
      <c r="D63" s="1">
        <f>B63*F63/$M$4*(ROUNDDOWN($Q$4/$M$4,0)/(ROUNDDOWN($Q$4/$M$4,0)+1))</f>
        <v>0.482517482517482</v>
      </c>
      <c r="E63" s="1">
        <f>C63*G63/$M$4*(1/(ROUNDDOWN($Q$4/$M$4,0)+1))</f>
        <v>0.503496503496504</v>
      </c>
      <c r="F63" s="29">
        <v>0.23</v>
      </c>
      <c r="G63" s="29">
        <v>0.2</v>
      </c>
      <c r="H63" s="31">
        <f t="shared" si="6"/>
        <v>0.986013986013986</v>
      </c>
      <c r="I63" s="1">
        <f t="shared" si="10"/>
        <v>1</v>
      </c>
      <c r="J63" s="1">
        <f t="shared" si="7"/>
        <v>10.0305230769231</v>
      </c>
      <c r="K63" s="1">
        <f t="shared" si="8"/>
        <v>1.15008671328671</v>
      </c>
      <c r="L63" s="1">
        <f t="shared" si="9"/>
        <v>0.3796875</v>
      </c>
      <c r="O63" s="1"/>
      <c r="Q63" s="2"/>
      <c r="R63" s="2"/>
      <c r="S63" s="2"/>
      <c r="T63" s="2"/>
    </row>
    <row r="64" spans="1:20">
      <c r="A64" s="1" t="s">
        <v>107</v>
      </c>
      <c r="B64" s="28">
        <v>3</v>
      </c>
      <c r="C64" s="28">
        <v>36</v>
      </c>
      <c r="D64" s="1">
        <f>B64*F64/$M$4*(ROUNDDOWN($Q$4/$M$4,0)/(ROUNDDOWN($Q$4/$M$4,0)+1))</f>
        <v>0.482517482517482</v>
      </c>
      <c r="E64" s="1">
        <f>C64*G64/$M$4*(1/(ROUNDDOWN($Q$4/$M$4,0)+1))</f>
        <v>0.503496503496504</v>
      </c>
      <c r="F64" s="29">
        <v>0.23</v>
      </c>
      <c r="G64" s="29">
        <v>0.2</v>
      </c>
      <c r="H64" s="31">
        <f t="shared" si="6"/>
        <v>0.986013986013986</v>
      </c>
      <c r="I64" s="1">
        <f t="shared" si="10"/>
        <v>1</v>
      </c>
      <c r="J64" s="1">
        <f t="shared" si="7"/>
        <v>10.0305230769231</v>
      </c>
      <c r="K64" s="1">
        <f t="shared" si="8"/>
        <v>1.15008671328671</v>
      </c>
      <c r="L64" s="1">
        <f t="shared" si="9"/>
        <v>0.3796875</v>
      </c>
      <c r="O64" s="1"/>
      <c r="Q64" s="2"/>
      <c r="R64" s="2"/>
      <c r="S64" s="2"/>
      <c r="T64" s="2"/>
    </row>
    <row r="65" spans="1:20">
      <c r="A65" s="1" t="s">
        <v>108</v>
      </c>
      <c r="B65" s="28">
        <v>3</v>
      </c>
      <c r="C65" s="28">
        <v>36</v>
      </c>
      <c r="D65" s="1">
        <f>B65*F65/$M$4*(ROUNDDOWN($Q$4/$M$4,0)/(ROUNDDOWN($Q$4/$M$4,0)+1))</f>
        <v>0.482517482517482</v>
      </c>
      <c r="E65" s="1">
        <f>C65*G65/$M$4*(1/(ROUNDDOWN($Q$4/$M$4,0)+1))</f>
        <v>0.503496503496504</v>
      </c>
      <c r="F65" s="29">
        <v>0.23</v>
      </c>
      <c r="G65" s="29">
        <v>0.2</v>
      </c>
      <c r="H65" s="31">
        <f t="shared" si="6"/>
        <v>0.986013986013986</v>
      </c>
      <c r="I65" s="1">
        <f t="shared" si="10"/>
        <v>1</v>
      </c>
      <c r="J65" s="1">
        <f t="shared" si="7"/>
        <v>10.0305230769231</v>
      </c>
      <c r="K65" s="1">
        <f t="shared" si="8"/>
        <v>1.15008671328671</v>
      </c>
      <c r="L65" s="1">
        <f t="shared" si="9"/>
        <v>0.3796875</v>
      </c>
      <c r="O65" s="1"/>
      <c r="Q65" s="2"/>
      <c r="R65" s="2"/>
      <c r="S65" s="2"/>
      <c r="T65" s="2"/>
    </row>
    <row r="66" spans="1:20">
      <c r="A66" s="1" t="s">
        <v>109</v>
      </c>
      <c r="B66" s="28">
        <v>3</v>
      </c>
      <c r="C66" s="28">
        <v>36</v>
      </c>
      <c r="D66" s="1">
        <f>B66*F66/$M$4*(ROUNDDOWN($Q$4/$M$4,0)/(ROUNDDOWN($Q$4/$M$4,0)+1))</f>
        <v>0.482517482517482</v>
      </c>
      <c r="E66" s="1">
        <f>C66*G66/$M$4*(1/(ROUNDDOWN($Q$4/$M$4,0)+1))</f>
        <v>0.503496503496504</v>
      </c>
      <c r="F66" s="29">
        <v>0.23</v>
      </c>
      <c r="G66" s="29">
        <v>0.2</v>
      </c>
      <c r="H66" s="31">
        <f t="shared" si="6"/>
        <v>0.986013986013986</v>
      </c>
      <c r="I66" s="1">
        <f t="shared" si="10"/>
        <v>1</v>
      </c>
      <c r="J66" s="1">
        <f t="shared" si="7"/>
        <v>10.0305230769231</v>
      </c>
      <c r="K66" s="1">
        <f t="shared" si="8"/>
        <v>1.15008671328671</v>
      </c>
      <c r="L66" s="1">
        <f t="shared" si="9"/>
        <v>0.3796875</v>
      </c>
      <c r="O66" s="1"/>
      <c r="Q66" s="2"/>
      <c r="R66" s="2"/>
      <c r="S66" s="2"/>
      <c r="T66" s="2"/>
    </row>
    <row r="67" hidden="1" spans="12:20">
      <c r="L67" s="2">
        <f>L73/L82</f>
        <v>0.559931156703701</v>
      </c>
      <c r="M67" s="2">
        <f>M73/M83</f>
        <v>0.83176633060678</v>
      </c>
      <c r="O67" s="1"/>
      <c r="Q67" s="2"/>
      <c r="R67" s="2"/>
      <c r="S67" s="2"/>
      <c r="T67" s="2"/>
    </row>
    <row r="68" hidden="1" spans="1:20">
      <c r="A68" s="1" t="s">
        <v>65</v>
      </c>
      <c r="B68" s="1" t="s">
        <v>110</v>
      </c>
      <c r="C68" s="1" t="s">
        <v>85</v>
      </c>
      <c r="D68" s="1" t="s">
        <v>86</v>
      </c>
      <c r="E68" s="1" t="s">
        <v>87</v>
      </c>
      <c r="F68" s="2" t="s">
        <v>88</v>
      </c>
      <c r="G68" s="2" t="s">
        <v>89</v>
      </c>
      <c r="H68" s="1" t="s">
        <v>111</v>
      </c>
      <c r="I68" s="1" t="s">
        <v>112</v>
      </c>
      <c r="J68" s="1" t="s">
        <v>91</v>
      </c>
      <c r="K68" s="1" t="s">
        <v>92</v>
      </c>
      <c r="L68" s="1" t="s">
        <v>93</v>
      </c>
      <c r="M68" s="1" t="s">
        <v>94</v>
      </c>
      <c r="O68" s="1"/>
      <c r="Q68" s="2"/>
      <c r="R68" s="2"/>
      <c r="S68" s="2"/>
      <c r="T68" s="2"/>
    </row>
    <row r="69" hidden="1" spans="1:20">
      <c r="A69" s="1" t="s">
        <v>113</v>
      </c>
      <c r="B69" s="1">
        <v>3</v>
      </c>
      <c r="C69" s="1">
        <v>12</v>
      </c>
      <c r="D69" s="20">
        <f>(B69*F69/$M$3*(ROUNDDOWN($Q$3/$M$3,0)/(ROUNDDOWN($Q$3/$M$3,0)+1)))</f>
        <v>0</v>
      </c>
      <c r="E69" s="20">
        <f>C69*G69/$M$4*(1/(ROUNDDOWN($Q$4/$M$4,0)+1))</f>
        <v>0</v>
      </c>
      <c r="F69" s="19">
        <v>0</v>
      </c>
      <c r="G69" s="19">
        <v>0</v>
      </c>
      <c r="H69" s="1" t="e">
        <f t="shared" ref="H69:H83" si="11">H52/SUM(D69,E69)</f>
        <v>#DIV/0!</v>
      </c>
      <c r="I69" s="1" t="e">
        <f t="shared" ref="I69:I83" si="12">H69/$V$24</f>
        <v>#DIV/0!</v>
      </c>
      <c r="J69" s="1">
        <v>1.25</v>
      </c>
      <c r="K69" s="1">
        <f t="shared" ref="K69:K83" si="13">SUM(D69,E69)*$U$24*J69</f>
        <v>0</v>
      </c>
      <c r="L69" s="1">
        <f t="shared" ref="L69:L83" si="14">SUM(D69,E69)*$E$17*$B$16/20</f>
        <v>0</v>
      </c>
      <c r="M69" s="1">
        <f t="shared" ref="M69:M83" si="15">MIN(SUM(D69:E69)*$E$33*12/20*(1+$B$33)^$F$31,6*(1+$B$33)^4/20/4)</f>
        <v>0</v>
      </c>
      <c r="O69" s="1"/>
      <c r="Q69" s="2"/>
      <c r="R69" s="2"/>
      <c r="S69" s="2"/>
      <c r="T69" s="2"/>
    </row>
    <row r="70" hidden="1" spans="1:20">
      <c r="A70" s="21" t="s">
        <v>114</v>
      </c>
      <c r="B70" s="1">
        <v>3</v>
      </c>
      <c r="C70" s="1">
        <v>12</v>
      </c>
      <c r="D70" s="20">
        <f>(B70*F70/$M$3*(ROUNDDOWN($Q$3/$M$3,0)/(ROUNDDOWN($Q$3/$M$3,0)+1)))</f>
        <v>0.261160714285714</v>
      </c>
      <c r="E70" s="20">
        <f>C70*G70/$M$4*(1/(ROUNDDOWN($Q$4/$M$4,0)+1))</f>
        <v>0</v>
      </c>
      <c r="F70" s="19">
        <v>0.15</v>
      </c>
      <c r="G70" s="19">
        <v>0</v>
      </c>
      <c r="H70" s="1">
        <f t="shared" si="11"/>
        <v>1.44593867670791</v>
      </c>
      <c r="I70" s="1">
        <f t="shared" si="12"/>
        <v>1.64099630464865</v>
      </c>
      <c r="J70" s="1">
        <f t="shared" ref="J70:J83" si="16">$J$69</f>
        <v>1.25</v>
      </c>
      <c r="K70" s="1">
        <f t="shared" si="13"/>
        <v>2.9261773108467</v>
      </c>
      <c r="L70" s="1">
        <f t="shared" si="14"/>
        <v>0.229238144232303</v>
      </c>
      <c r="M70" s="1">
        <f t="shared" si="15"/>
        <v>0.160803387295139</v>
      </c>
      <c r="O70" s="1"/>
      <c r="Q70" s="2"/>
      <c r="R70" s="2"/>
      <c r="S70" s="2"/>
      <c r="T70" s="2"/>
    </row>
    <row r="71" hidden="1" spans="1:20">
      <c r="A71" s="1" t="s">
        <v>115</v>
      </c>
      <c r="B71" s="1">
        <v>3</v>
      </c>
      <c r="C71" s="1">
        <v>12</v>
      </c>
      <c r="D71" s="20">
        <f>(B71*F71/$M$3*(ROUNDDOWN($Q$3/$M$3,0)/(ROUNDDOWN($Q$3/$M$3,0)+1)))</f>
        <v>0.261160714285714</v>
      </c>
      <c r="E71" s="20">
        <f>C71*G71/$M$4*(1/(ROUNDDOWN($Q$4/$M$4,0)+1))</f>
        <v>0</v>
      </c>
      <c r="F71" s="19">
        <v>0.15</v>
      </c>
      <c r="G71" s="19">
        <v>0</v>
      </c>
      <c r="H71" s="1">
        <f t="shared" si="11"/>
        <v>1.44593867670791</v>
      </c>
      <c r="I71" s="1">
        <f t="shared" si="12"/>
        <v>1.64099630464865</v>
      </c>
      <c r="J71" s="1">
        <f t="shared" si="16"/>
        <v>1.25</v>
      </c>
      <c r="K71" s="1">
        <f t="shared" si="13"/>
        <v>2.9261773108467</v>
      </c>
      <c r="L71" s="1">
        <f t="shared" si="14"/>
        <v>0.229238144232303</v>
      </c>
      <c r="M71" s="1">
        <f t="shared" si="15"/>
        <v>0.160803387295139</v>
      </c>
      <c r="O71" s="1"/>
      <c r="Q71" s="2"/>
      <c r="R71" s="2"/>
      <c r="S71" s="2"/>
      <c r="T71" s="2"/>
    </row>
    <row r="72" hidden="1" spans="1:20">
      <c r="A72" s="21" t="s">
        <v>116</v>
      </c>
      <c r="B72" s="1">
        <v>3</v>
      </c>
      <c r="C72" s="1">
        <v>12</v>
      </c>
      <c r="D72" s="20">
        <f>(B72*F72/$M$3*(ROUNDDOWN($Q$3/$M$3,0)/(ROUNDDOWN($Q$3/$M$3,0)+1)))</f>
        <v>0.261160714285714</v>
      </c>
      <c r="E72" s="20">
        <f>C72*G72/$M$4*(1/(ROUNDDOWN($Q$4/$M$4,0)+1))</f>
        <v>0.251748251748252</v>
      </c>
      <c r="F72" s="19">
        <v>0.15</v>
      </c>
      <c r="G72" s="19">
        <v>0.3</v>
      </c>
      <c r="H72" s="1">
        <f t="shared" si="11"/>
        <v>1.15343741440701</v>
      </c>
      <c r="I72" s="1">
        <f t="shared" si="12"/>
        <v>1.30903652082595</v>
      </c>
      <c r="J72" s="1">
        <f t="shared" si="16"/>
        <v>1.25</v>
      </c>
      <c r="K72" s="1">
        <f t="shared" si="13"/>
        <v>5.74689260995229</v>
      </c>
      <c r="L72" s="1">
        <f t="shared" si="14"/>
        <v>0.450214343513791</v>
      </c>
      <c r="M72" s="1">
        <f t="shared" si="15"/>
        <v>0.315811278652262</v>
      </c>
      <c r="O72" s="1"/>
      <c r="Q72" s="2"/>
      <c r="R72" s="2"/>
      <c r="S72" s="2"/>
      <c r="T72" s="2"/>
    </row>
    <row r="73" hidden="1" spans="1:22">
      <c r="A73" s="1" t="s">
        <v>117</v>
      </c>
      <c r="B73" s="1">
        <v>3</v>
      </c>
      <c r="C73" s="1">
        <v>12</v>
      </c>
      <c r="D73" s="20">
        <f>(B73*F73/$M$3*(ROUNDDOWN($Q$3/$M$3,0)/(ROUNDDOWN($Q$3/$M$3,0)+1)))</f>
        <v>0.261160714285714</v>
      </c>
      <c r="E73" s="20">
        <f>C73*G73/$M$4*(1/(ROUNDDOWN($Q$4/$M$4,0)+1))</f>
        <v>0.251748251748252</v>
      </c>
      <c r="F73" s="19">
        <v>0.15</v>
      </c>
      <c r="G73" s="19">
        <v>0.3</v>
      </c>
      <c r="H73" s="1">
        <f t="shared" si="11"/>
        <v>1.15343741440701</v>
      </c>
      <c r="I73" s="1">
        <f t="shared" si="12"/>
        <v>1.30903652082595</v>
      </c>
      <c r="J73" s="1">
        <f t="shared" si="16"/>
        <v>1.25</v>
      </c>
      <c r="K73" s="1">
        <f t="shared" si="13"/>
        <v>5.74689260995229</v>
      </c>
      <c r="L73" s="1">
        <f t="shared" si="14"/>
        <v>0.450214343513791</v>
      </c>
      <c r="M73" s="1">
        <f t="shared" si="15"/>
        <v>0.315811278652262</v>
      </c>
      <c r="Q73" s="2"/>
      <c r="R73" s="2"/>
      <c r="S73" s="30"/>
      <c r="T73" s="2"/>
      <c r="V73" s="2"/>
    </row>
    <row r="74" hidden="1" spans="1:22">
      <c r="A74" s="1" t="s">
        <v>118</v>
      </c>
      <c r="B74" s="1">
        <v>3</v>
      </c>
      <c r="C74" s="1">
        <v>12</v>
      </c>
      <c r="D74" s="20">
        <f>(B74*F74/$M$3*(ROUNDDOWN($Q$3/$M$3,0)/(ROUNDDOWN($Q$3/$M$3,0)+1)))</f>
        <v>0.261160714285714</v>
      </c>
      <c r="E74" s="20">
        <f>C74*G74/$M$4*(1/(ROUNDDOWN($Q$4/$M$4,0)+1))</f>
        <v>0.251748251748252</v>
      </c>
      <c r="F74" s="19">
        <v>0.15</v>
      </c>
      <c r="G74" s="19">
        <v>0.3</v>
      </c>
      <c r="H74" s="1">
        <f t="shared" si="11"/>
        <v>1.4315712590158</v>
      </c>
      <c r="I74" s="1">
        <f t="shared" si="12"/>
        <v>1.62469071733717</v>
      </c>
      <c r="J74" s="1">
        <f t="shared" si="16"/>
        <v>1.25</v>
      </c>
      <c r="K74" s="1">
        <f t="shared" si="13"/>
        <v>5.74689260995229</v>
      </c>
      <c r="L74" s="1">
        <f t="shared" si="14"/>
        <v>0.450214343513791</v>
      </c>
      <c r="M74" s="1">
        <f t="shared" si="15"/>
        <v>0.315811278652262</v>
      </c>
      <c r="O74" s="1"/>
      <c r="Q74" s="2"/>
      <c r="R74" s="2"/>
      <c r="S74" s="2"/>
      <c r="T74" s="2"/>
      <c r="U74" s="2"/>
      <c r="V74" s="2"/>
    </row>
    <row r="75" hidden="1" spans="1:22">
      <c r="A75" s="21" t="s">
        <v>119</v>
      </c>
      <c r="B75" s="1">
        <v>4</v>
      </c>
      <c r="C75" s="1">
        <v>12</v>
      </c>
      <c r="D75" s="20">
        <f>(B75*F75/$M$3*(ROUNDDOWN($Q$3/$M$3,0)/(ROUNDDOWN($Q$3/$M$3,0)+1)))</f>
        <v>0.348214285714286</v>
      </c>
      <c r="E75" s="20">
        <f>C75*G75/$M$4*(1/(ROUNDDOWN($Q$4/$M$4,0)+1))</f>
        <v>0.251748251748252</v>
      </c>
      <c r="F75" s="19">
        <v>0.15</v>
      </c>
      <c r="G75" s="19">
        <v>0.3</v>
      </c>
      <c r="H75" s="1">
        <f t="shared" si="11"/>
        <v>1.36372151108336</v>
      </c>
      <c r="I75" s="1">
        <f t="shared" si="12"/>
        <v>1.54768801492522</v>
      </c>
      <c r="J75" s="1">
        <f t="shared" si="16"/>
        <v>1.25</v>
      </c>
      <c r="K75" s="1">
        <f t="shared" si="13"/>
        <v>6.7222850469012</v>
      </c>
      <c r="L75" s="1">
        <f t="shared" si="14"/>
        <v>0.526627058257892</v>
      </c>
      <c r="M75" s="1">
        <f t="shared" si="15"/>
        <v>0.369412407750642</v>
      </c>
      <c r="O75" s="1"/>
      <c r="Q75" s="2"/>
      <c r="R75" s="2"/>
      <c r="S75" s="2"/>
      <c r="T75" s="2"/>
      <c r="V75" s="2"/>
    </row>
    <row r="76" hidden="1" spans="1:22">
      <c r="A76" s="21" t="s">
        <v>120</v>
      </c>
      <c r="B76" s="1">
        <v>4</v>
      </c>
      <c r="C76" s="1">
        <v>12</v>
      </c>
      <c r="D76" s="20">
        <f>(B76*F76/$M$3*(ROUNDDOWN($Q$3/$M$3,0)/(ROUNDDOWN($Q$3/$M$3,0)+1)))</f>
        <v>0.464285714285714</v>
      </c>
      <c r="E76" s="20">
        <f>C76*G76/$M$4*(1/(ROUNDDOWN($Q$4/$M$4,0)+1))</f>
        <v>0.335664335664336</v>
      </c>
      <c r="F76" s="19">
        <v>0.2</v>
      </c>
      <c r="G76" s="19">
        <v>0.4</v>
      </c>
      <c r="H76" s="1">
        <f t="shared" si="11"/>
        <v>1.02279113331252</v>
      </c>
      <c r="I76" s="1">
        <f t="shared" si="12"/>
        <v>1.16076601119391</v>
      </c>
      <c r="J76" s="1">
        <f t="shared" si="16"/>
        <v>1.25</v>
      </c>
      <c r="K76" s="1">
        <f t="shared" si="13"/>
        <v>8.9630467292016</v>
      </c>
      <c r="L76" s="1">
        <f t="shared" si="14"/>
        <v>0.702169411010522</v>
      </c>
      <c r="M76" s="1">
        <f t="shared" si="15"/>
        <v>0.3796875</v>
      </c>
      <c r="O76" s="1"/>
      <c r="Q76" s="2"/>
      <c r="R76" s="2"/>
      <c r="S76" s="2"/>
      <c r="T76" s="2"/>
      <c r="V76" s="2"/>
    </row>
    <row r="77" hidden="1" spans="1:22">
      <c r="A77" s="1" t="s">
        <v>121</v>
      </c>
      <c r="B77" s="1">
        <v>4</v>
      </c>
      <c r="C77" s="1">
        <v>12</v>
      </c>
      <c r="D77" s="20">
        <f>(B77*F77/$M$3*(ROUNDDOWN($Q$3/$M$3,0)/(ROUNDDOWN($Q$3/$M$3,0)+1)))</f>
        <v>0.464285714285714</v>
      </c>
      <c r="E77" s="20">
        <f>C77*G77/$M$4*(1/(ROUNDDOWN($Q$4/$M$4,0)+1))</f>
        <v>0.335664335664336</v>
      </c>
      <c r="F77" s="19">
        <v>0.2</v>
      </c>
      <c r="G77" s="19">
        <v>0.4</v>
      </c>
      <c r="H77" s="1">
        <f t="shared" si="11"/>
        <v>1.02279113331252</v>
      </c>
      <c r="I77" s="1">
        <f t="shared" si="12"/>
        <v>1.16076601119391</v>
      </c>
      <c r="J77" s="1">
        <f t="shared" si="16"/>
        <v>1.25</v>
      </c>
      <c r="K77" s="1">
        <f t="shared" si="13"/>
        <v>8.9630467292016</v>
      </c>
      <c r="L77" s="1">
        <f t="shared" si="14"/>
        <v>0.702169411010522</v>
      </c>
      <c r="M77" s="1">
        <f t="shared" si="15"/>
        <v>0.3796875</v>
      </c>
      <c r="O77" s="1"/>
      <c r="Q77" s="2"/>
      <c r="R77" s="2"/>
      <c r="S77" s="2"/>
      <c r="T77" s="2"/>
      <c r="V77" s="2"/>
    </row>
    <row r="78" hidden="1" spans="1:22">
      <c r="A78" s="1" t="s">
        <v>122</v>
      </c>
      <c r="B78" s="1">
        <v>4</v>
      </c>
      <c r="C78" s="1">
        <v>12</v>
      </c>
      <c r="D78" s="20">
        <f>(B78*F78/$M$3*(ROUNDDOWN($Q$3/$M$3,0)/(ROUNDDOWN($Q$3/$M$3,0)+1)))</f>
        <v>0.464285714285714</v>
      </c>
      <c r="E78" s="20">
        <f>C78*G78/$M$4*(1/(ROUNDDOWN($Q$4/$M$4,0)+1))</f>
        <v>0.335664335664336</v>
      </c>
      <c r="F78" s="19">
        <v>0.2</v>
      </c>
      <c r="G78" s="19">
        <v>0.4</v>
      </c>
      <c r="H78" s="1">
        <f t="shared" si="11"/>
        <v>1.23259444270996</v>
      </c>
      <c r="I78" s="1">
        <f t="shared" si="12"/>
        <v>1.39887185964395</v>
      </c>
      <c r="J78" s="1">
        <f t="shared" si="16"/>
        <v>1.25</v>
      </c>
      <c r="K78" s="1">
        <f t="shared" si="13"/>
        <v>8.9630467292016</v>
      </c>
      <c r="L78" s="1">
        <f t="shared" si="14"/>
        <v>0.702169411010522</v>
      </c>
      <c r="M78" s="1">
        <f t="shared" si="15"/>
        <v>0.3796875</v>
      </c>
      <c r="O78" s="1"/>
      <c r="Q78" s="2"/>
      <c r="R78" s="2"/>
      <c r="S78" s="2"/>
      <c r="T78" s="2"/>
      <c r="V78" s="2"/>
    </row>
    <row r="79" hidden="1" spans="1:22">
      <c r="A79" s="1" t="s">
        <v>123</v>
      </c>
      <c r="B79" s="1">
        <v>4</v>
      </c>
      <c r="C79" s="1">
        <v>12</v>
      </c>
      <c r="D79" s="20">
        <f>(B79*F79/$M$3*(ROUNDDOWN($Q$3/$M$3,0)/(ROUNDDOWN($Q$3/$M$3,0)+1)))</f>
        <v>0.464285714285714</v>
      </c>
      <c r="E79" s="20">
        <f>C79*G79/$M$4*(1/(ROUNDDOWN($Q$4/$M$4,0)+1))</f>
        <v>0.335664335664336</v>
      </c>
      <c r="F79" s="19">
        <v>0.2</v>
      </c>
      <c r="G79" s="19">
        <v>0.4</v>
      </c>
      <c r="H79" s="1">
        <f t="shared" si="11"/>
        <v>1.23259444270996</v>
      </c>
      <c r="I79" s="1">
        <f t="shared" si="12"/>
        <v>1.39887185964395</v>
      </c>
      <c r="J79" s="1">
        <f t="shared" si="16"/>
        <v>1.25</v>
      </c>
      <c r="K79" s="1">
        <f t="shared" si="13"/>
        <v>8.9630467292016</v>
      </c>
      <c r="L79" s="1">
        <f t="shared" si="14"/>
        <v>0.702169411010522</v>
      </c>
      <c r="M79" s="1">
        <f t="shared" si="15"/>
        <v>0.3796875</v>
      </c>
      <c r="O79" s="1"/>
      <c r="Q79" s="2"/>
      <c r="R79" s="2"/>
      <c r="S79" s="2"/>
      <c r="T79" s="2"/>
      <c r="V79" s="2"/>
    </row>
    <row r="80" hidden="1" spans="1:22">
      <c r="A80" s="21" t="s">
        <v>124</v>
      </c>
      <c r="B80" s="1">
        <v>5</v>
      </c>
      <c r="C80" s="1">
        <v>12</v>
      </c>
      <c r="D80" s="20">
        <f>(B80*F80/$M$3*(ROUNDDOWN($Q$3/$M$3,0)/(ROUNDDOWN($Q$3/$M$3,0)+1)))</f>
        <v>0.580357142857143</v>
      </c>
      <c r="E80" s="20">
        <f>C80*G80/$M$4*(1/(ROUNDDOWN($Q$4/$M$4,0)+1))</f>
        <v>0.335664335664336</v>
      </c>
      <c r="F80" s="19">
        <v>0.2</v>
      </c>
      <c r="G80" s="19">
        <v>0.4</v>
      </c>
      <c r="H80" s="1">
        <f t="shared" si="11"/>
        <v>1.07640924272374</v>
      </c>
      <c r="I80" s="1">
        <f t="shared" si="12"/>
        <v>1.22161722212244</v>
      </c>
      <c r="J80" s="1">
        <f t="shared" si="16"/>
        <v>1.25</v>
      </c>
      <c r="K80" s="1">
        <f t="shared" si="13"/>
        <v>10.2635699784668</v>
      </c>
      <c r="L80" s="1">
        <f t="shared" si="14"/>
        <v>0.804053030669324</v>
      </c>
      <c r="M80" s="1">
        <f t="shared" si="15"/>
        <v>0.3796875</v>
      </c>
      <c r="O80" s="1"/>
      <c r="Q80" s="2"/>
      <c r="R80" s="2"/>
      <c r="S80" s="2"/>
      <c r="T80" s="2"/>
      <c r="V80" s="2"/>
    </row>
    <row r="81" hidden="1" spans="1:22">
      <c r="A81" s="1" t="s">
        <v>125</v>
      </c>
      <c r="B81" s="1">
        <v>5</v>
      </c>
      <c r="C81" s="1">
        <v>12</v>
      </c>
      <c r="D81" s="20">
        <f>(B81*F81/$M$3*(ROUNDDOWN($Q$3/$M$3,0)/(ROUNDDOWN($Q$3/$M$3,0)+1)))</f>
        <v>0.580357142857143</v>
      </c>
      <c r="E81" s="20">
        <f>C81*G81/$M$4*(1/(ROUNDDOWN($Q$4/$M$4,0)+1))</f>
        <v>0.335664335664336</v>
      </c>
      <c r="F81" s="19">
        <v>0.2</v>
      </c>
      <c r="G81" s="19">
        <v>0.4</v>
      </c>
      <c r="H81" s="1">
        <f t="shared" si="11"/>
        <v>1.07640924272374</v>
      </c>
      <c r="I81" s="1">
        <f t="shared" si="12"/>
        <v>1.22161722212244</v>
      </c>
      <c r="J81" s="1">
        <f t="shared" si="16"/>
        <v>1.25</v>
      </c>
      <c r="K81" s="1">
        <f t="shared" si="13"/>
        <v>10.2635699784668</v>
      </c>
      <c r="L81" s="1">
        <f t="shared" si="14"/>
        <v>0.804053030669324</v>
      </c>
      <c r="M81" s="1">
        <f t="shared" si="15"/>
        <v>0.3796875</v>
      </c>
      <c r="O81" s="1"/>
      <c r="Q81" s="2"/>
      <c r="R81" s="2"/>
      <c r="S81" s="2"/>
      <c r="T81" s="2"/>
      <c r="V81" s="2"/>
    </row>
    <row r="82" hidden="1" spans="1:22">
      <c r="A82" s="1" t="s">
        <v>126</v>
      </c>
      <c r="B82" s="1">
        <v>5</v>
      </c>
      <c r="C82" s="1">
        <v>12</v>
      </c>
      <c r="D82" s="20">
        <f>(B82*F82/$M$3*(ROUNDDOWN($Q$3/$M$3,0)/(ROUNDDOWN($Q$3/$M$3,0)+1)))</f>
        <v>0.580357142857143</v>
      </c>
      <c r="E82" s="20">
        <f>C82*G82/$M$4*(1/(ROUNDDOWN($Q$4/$M$4,0)+1))</f>
        <v>0.335664335664336</v>
      </c>
      <c r="F82" s="19">
        <v>0.2</v>
      </c>
      <c r="G82" s="19">
        <v>0.4</v>
      </c>
      <c r="H82" s="1">
        <f t="shared" si="11"/>
        <v>1.07640924272374</v>
      </c>
      <c r="I82" s="1">
        <f t="shared" si="12"/>
        <v>1.22161722212244</v>
      </c>
      <c r="J82" s="1">
        <f t="shared" si="16"/>
        <v>1.25</v>
      </c>
      <c r="K82" s="1">
        <f t="shared" si="13"/>
        <v>10.2635699784668</v>
      </c>
      <c r="L82" s="1">
        <f t="shared" si="14"/>
        <v>0.804053030669324</v>
      </c>
      <c r="M82" s="1">
        <f t="shared" si="15"/>
        <v>0.3796875</v>
      </c>
      <c r="O82" s="1"/>
      <c r="Q82" s="2"/>
      <c r="R82" s="2"/>
      <c r="S82" s="2"/>
      <c r="T82" s="2"/>
      <c r="V82" s="2"/>
    </row>
    <row r="83" hidden="1" spans="1:22">
      <c r="A83" s="1" t="s">
        <v>127</v>
      </c>
      <c r="B83" s="1">
        <v>5</v>
      </c>
      <c r="C83" s="1">
        <v>12</v>
      </c>
      <c r="D83" s="20">
        <f>(B83*F83/$M$3*(ROUNDDOWN($Q$3/$M$3,0)/(ROUNDDOWN($Q$3/$M$3,0)+1)))</f>
        <v>0.580357142857143</v>
      </c>
      <c r="E83" s="20">
        <f>C83*G83/$M$4*(1/(ROUNDDOWN($Q$4/$M$4,0)+1))</f>
        <v>0.335664335664336</v>
      </c>
      <c r="F83" s="19">
        <v>0.2</v>
      </c>
      <c r="G83" s="19">
        <v>0.4</v>
      </c>
      <c r="H83" s="1">
        <f t="shared" si="11"/>
        <v>1.07640924272374</v>
      </c>
      <c r="I83" s="1">
        <f t="shared" si="12"/>
        <v>1.22161722212244</v>
      </c>
      <c r="J83" s="1">
        <f t="shared" si="16"/>
        <v>1.25</v>
      </c>
      <c r="K83" s="1">
        <f t="shared" si="13"/>
        <v>10.2635699784668</v>
      </c>
      <c r="L83" s="1">
        <f t="shared" si="14"/>
        <v>0.804053030669324</v>
      </c>
      <c r="M83" s="1">
        <f t="shared" si="15"/>
        <v>0.3796875</v>
      </c>
      <c r="O83" s="1"/>
      <c r="Q83" s="2"/>
      <c r="R83" s="2"/>
      <c r="S83" s="2"/>
      <c r="T83" s="2"/>
      <c r="V83" s="2"/>
    </row>
    <row r="84" hidden="1" spans="13:22">
      <c r="M84" s="2">
        <f>M90/M99</f>
        <v>0.5</v>
      </c>
      <c r="N84" s="2">
        <f>N90/N99</f>
        <v>1</v>
      </c>
      <c r="O84" s="1"/>
      <c r="Q84" s="2"/>
      <c r="R84" s="2"/>
      <c r="S84" s="2"/>
      <c r="T84" s="2"/>
      <c r="V84" s="2"/>
    </row>
    <row r="85" hidden="1" spans="1:22">
      <c r="A85" s="1" t="s">
        <v>74</v>
      </c>
      <c r="B85" s="1" t="s">
        <v>84</v>
      </c>
      <c r="C85" s="1" t="s">
        <v>85</v>
      </c>
      <c r="D85" s="1" t="s">
        <v>86</v>
      </c>
      <c r="E85" s="1" t="s">
        <v>87</v>
      </c>
      <c r="F85" s="2" t="s">
        <v>88</v>
      </c>
      <c r="G85" s="2" t="s">
        <v>89</v>
      </c>
      <c r="H85" s="1" t="s">
        <v>90</v>
      </c>
      <c r="I85" s="1" t="s">
        <v>111</v>
      </c>
      <c r="J85" s="1" t="s">
        <v>112</v>
      </c>
      <c r="K85" s="1" t="s">
        <v>91</v>
      </c>
      <c r="L85" s="1" t="s">
        <v>92</v>
      </c>
      <c r="M85" s="1" t="s">
        <v>93</v>
      </c>
      <c r="N85" s="1" t="s">
        <v>94</v>
      </c>
      <c r="O85" s="1"/>
      <c r="Q85" s="2"/>
      <c r="R85" s="2"/>
      <c r="S85" s="2"/>
      <c r="T85" s="2"/>
      <c r="V85" s="2"/>
    </row>
    <row r="86" hidden="1" spans="1:22">
      <c r="A86" s="1" t="s">
        <v>128</v>
      </c>
      <c r="B86" s="1">
        <v>5</v>
      </c>
      <c r="C86" s="1">
        <v>5</v>
      </c>
      <c r="D86" s="1">
        <f t="shared" ref="D86:D100" si="17">B86*F86/$M$6*0.5*3</f>
        <v>0</v>
      </c>
      <c r="E86" s="1">
        <f t="shared" ref="E86:E100" si="18">C86*G86/$M$6*0.5*3</f>
        <v>0</v>
      </c>
      <c r="F86" s="19">
        <v>0</v>
      </c>
      <c r="G86" s="19">
        <v>0</v>
      </c>
      <c r="H86" s="20">
        <f t="shared" ref="H86:H100" si="19">SUM(D86:E86)</f>
        <v>0</v>
      </c>
      <c r="I86" s="1" t="e">
        <f t="shared" ref="I86:I100" si="20">H52/H86</f>
        <v>#DIV/0!</v>
      </c>
      <c r="J86" s="1" t="e">
        <f t="shared" ref="J86:J100" si="21">I86/$V$27</f>
        <v>#DIV/0!</v>
      </c>
      <c r="K86" s="1">
        <v>0.7</v>
      </c>
      <c r="L86" s="1">
        <f t="shared" ref="L86:L100" si="22">H86*$U$27*K86</f>
        <v>0</v>
      </c>
      <c r="M86" s="1">
        <f t="shared" ref="M86:M100" si="23">H86*$I$25*$B$20/20</f>
        <v>0</v>
      </c>
      <c r="N86" s="1">
        <f t="shared" ref="N86:N100" si="24">MIN(H86*$I$49*12/20*(1+$B$37)^$H$49,6*(1+$B$37)^4/20/4)</f>
        <v>0</v>
      </c>
      <c r="O86" s="1"/>
      <c r="Q86" s="2"/>
      <c r="R86" s="2"/>
      <c r="S86" s="2"/>
      <c r="T86" s="2"/>
      <c r="V86" s="2"/>
    </row>
    <row r="87" hidden="1" spans="1:22">
      <c r="A87" s="21" t="s">
        <v>129</v>
      </c>
      <c r="B87" s="1">
        <v>5</v>
      </c>
      <c r="C87" s="1">
        <v>5</v>
      </c>
      <c r="D87" s="1">
        <f t="shared" si="17"/>
        <v>0.227272727272727</v>
      </c>
      <c r="E87" s="1">
        <f t="shared" si="18"/>
        <v>0</v>
      </c>
      <c r="F87" s="19">
        <f t="shared" ref="F87:F92" si="25">1/30</f>
        <v>0.0333333333333333</v>
      </c>
      <c r="G87" s="19">
        <v>0</v>
      </c>
      <c r="H87" s="20">
        <f t="shared" si="19"/>
        <v>0.227272727272727</v>
      </c>
      <c r="I87" s="1">
        <f t="shared" si="20"/>
        <v>1.66153846153846</v>
      </c>
      <c r="J87" s="1">
        <f t="shared" si="21"/>
        <v>1.60183303149569</v>
      </c>
      <c r="K87" s="1">
        <f t="shared" ref="K87:K100" si="26">$K$86</f>
        <v>0.7</v>
      </c>
      <c r="L87" s="1">
        <f t="shared" si="22"/>
        <v>1.67872293383974</v>
      </c>
      <c r="M87" s="1">
        <f t="shared" si="23"/>
        <v>0.203948355786313</v>
      </c>
      <c r="N87" s="1">
        <f t="shared" si="24"/>
        <v>0.187348614645301</v>
      </c>
      <c r="O87" s="1"/>
      <c r="Q87" s="2"/>
      <c r="R87" s="2"/>
      <c r="S87" s="2"/>
      <c r="T87" s="2"/>
      <c r="V87" s="2"/>
    </row>
    <row r="88" hidden="1" spans="1:22">
      <c r="A88" s="1" t="s">
        <v>130</v>
      </c>
      <c r="B88" s="1">
        <v>5</v>
      </c>
      <c r="C88" s="1">
        <v>5</v>
      </c>
      <c r="D88" s="1">
        <f t="shared" si="17"/>
        <v>0.227272727272727</v>
      </c>
      <c r="E88" s="1">
        <f t="shared" si="18"/>
        <v>0</v>
      </c>
      <c r="F88" s="19">
        <f t="shared" si="25"/>
        <v>0.0333333333333333</v>
      </c>
      <c r="G88" s="19">
        <v>0</v>
      </c>
      <c r="H88" s="20">
        <f t="shared" si="19"/>
        <v>0.227272727272727</v>
      </c>
      <c r="I88" s="1">
        <f t="shared" si="20"/>
        <v>1.66153846153846</v>
      </c>
      <c r="J88" s="1">
        <f t="shared" si="21"/>
        <v>1.60183303149569</v>
      </c>
      <c r="K88" s="1">
        <f t="shared" si="26"/>
        <v>0.7</v>
      </c>
      <c r="L88" s="1">
        <f t="shared" si="22"/>
        <v>1.67872293383974</v>
      </c>
      <c r="M88" s="1">
        <f t="shared" si="23"/>
        <v>0.203948355786313</v>
      </c>
      <c r="N88" s="1">
        <f t="shared" si="24"/>
        <v>0.187348614645301</v>
      </c>
      <c r="O88" s="1"/>
      <c r="Q88" s="2"/>
      <c r="R88" s="2"/>
      <c r="S88" s="2"/>
      <c r="T88" s="2"/>
      <c r="V88" s="2"/>
    </row>
    <row r="89" hidden="1" spans="1:22">
      <c r="A89" s="21" t="s">
        <v>131</v>
      </c>
      <c r="B89" s="1">
        <v>5</v>
      </c>
      <c r="C89" s="1">
        <v>5</v>
      </c>
      <c r="D89" s="1">
        <f t="shared" si="17"/>
        <v>0.227272727272727</v>
      </c>
      <c r="E89" s="1">
        <f t="shared" si="18"/>
        <v>0.454545454545454</v>
      </c>
      <c r="F89" s="19">
        <f t="shared" si="25"/>
        <v>0.0333333333333333</v>
      </c>
      <c r="G89" s="19">
        <f t="shared" ref="G89:G92" si="27">2/30</f>
        <v>0.0666666666666667</v>
      </c>
      <c r="H89" s="20">
        <f t="shared" si="19"/>
        <v>0.681818181818182</v>
      </c>
      <c r="I89" s="1">
        <f t="shared" si="20"/>
        <v>0.867692307692308</v>
      </c>
      <c r="J89" s="1">
        <f t="shared" si="21"/>
        <v>0.836512805336636</v>
      </c>
      <c r="K89" s="1">
        <f t="shared" si="26"/>
        <v>0.7</v>
      </c>
      <c r="L89" s="1">
        <f t="shared" si="22"/>
        <v>5.03616880151922</v>
      </c>
      <c r="M89" s="1">
        <f t="shared" si="23"/>
        <v>0.61184506735894</v>
      </c>
      <c r="N89" s="1">
        <f t="shared" si="24"/>
        <v>0.3796875</v>
      </c>
      <c r="O89" s="1"/>
      <c r="Q89" s="2"/>
      <c r="R89" s="2"/>
      <c r="S89" s="2"/>
      <c r="T89" s="2"/>
      <c r="V89" s="2"/>
    </row>
    <row r="90" hidden="1" spans="1:14">
      <c r="A90" s="1" t="s">
        <v>132</v>
      </c>
      <c r="B90" s="1">
        <v>5</v>
      </c>
      <c r="C90" s="1">
        <v>5</v>
      </c>
      <c r="D90" s="1">
        <f t="shared" si="17"/>
        <v>0.227272727272727</v>
      </c>
      <c r="E90" s="1">
        <f t="shared" si="18"/>
        <v>0.454545454545454</v>
      </c>
      <c r="F90" s="19">
        <f t="shared" si="25"/>
        <v>0.0333333333333333</v>
      </c>
      <c r="G90" s="19">
        <f t="shared" si="27"/>
        <v>0.0666666666666667</v>
      </c>
      <c r="H90" s="20">
        <f t="shared" si="19"/>
        <v>0.681818181818182</v>
      </c>
      <c r="I90" s="1">
        <f t="shared" si="20"/>
        <v>0.867692307692308</v>
      </c>
      <c r="J90" s="1">
        <f t="shared" si="21"/>
        <v>0.836512805336636</v>
      </c>
      <c r="K90" s="1">
        <f t="shared" si="26"/>
        <v>0.7</v>
      </c>
      <c r="L90" s="1">
        <f t="shared" si="22"/>
        <v>5.03616880151922</v>
      </c>
      <c r="M90" s="1">
        <f t="shared" si="23"/>
        <v>0.61184506735894</v>
      </c>
      <c r="N90" s="1">
        <f t="shared" si="24"/>
        <v>0.3796875</v>
      </c>
    </row>
    <row r="91" hidden="1" spans="1:14">
      <c r="A91" s="1" t="s">
        <v>133</v>
      </c>
      <c r="B91" s="1">
        <v>5</v>
      </c>
      <c r="C91" s="1">
        <v>5</v>
      </c>
      <c r="D91" s="1">
        <f t="shared" si="17"/>
        <v>0.227272727272727</v>
      </c>
      <c r="E91" s="1">
        <f t="shared" si="18"/>
        <v>0.454545454545454</v>
      </c>
      <c r="F91" s="19">
        <f t="shared" si="25"/>
        <v>0.0333333333333333</v>
      </c>
      <c r="G91" s="19">
        <f t="shared" si="27"/>
        <v>0.0666666666666667</v>
      </c>
      <c r="H91" s="20">
        <f t="shared" si="19"/>
        <v>0.681818181818182</v>
      </c>
      <c r="I91" s="1">
        <f t="shared" si="20"/>
        <v>1.07692307692308</v>
      </c>
      <c r="J91" s="1">
        <f t="shared" si="21"/>
        <v>1.03822511300646</v>
      </c>
      <c r="K91" s="1">
        <f t="shared" si="26"/>
        <v>0.7</v>
      </c>
      <c r="L91" s="1">
        <f t="shared" si="22"/>
        <v>5.03616880151922</v>
      </c>
      <c r="M91" s="1">
        <f t="shared" si="23"/>
        <v>0.61184506735894</v>
      </c>
      <c r="N91" s="1">
        <f t="shared" si="24"/>
        <v>0.3796875</v>
      </c>
    </row>
    <row r="92" hidden="1" spans="1:18">
      <c r="A92" s="21" t="s">
        <v>134</v>
      </c>
      <c r="B92" s="1">
        <v>5</v>
      </c>
      <c r="C92" s="1">
        <v>5</v>
      </c>
      <c r="D92" s="1">
        <f t="shared" si="17"/>
        <v>0.227272727272727</v>
      </c>
      <c r="E92" s="1">
        <f t="shared" si="18"/>
        <v>0.454545454545454</v>
      </c>
      <c r="F92" s="19">
        <f t="shared" si="25"/>
        <v>0.0333333333333333</v>
      </c>
      <c r="G92" s="19">
        <f t="shared" si="27"/>
        <v>0.0666666666666667</v>
      </c>
      <c r="H92" s="20">
        <f t="shared" si="19"/>
        <v>0.681818181818182</v>
      </c>
      <c r="I92" s="1">
        <f t="shared" si="20"/>
        <v>1.2</v>
      </c>
      <c r="J92" s="1">
        <f t="shared" si="21"/>
        <v>1.15687941163577</v>
      </c>
      <c r="K92" s="1">
        <f t="shared" si="26"/>
        <v>0.7</v>
      </c>
      <c r="L92" s="1">
        <f t="shared" si="22"/>
        <v>5.03616880151922</v>
      </c>
      <c r="M92" s="1">
        <f t="shared" si="23"/>
        <v>0.61184506735894</v>
      </c>
      <c r="N92" s="1">
        <f t="shared" si="24"/>
        <v>0.3796875</v>
      </c>
      <c r="Q92" s="2"/>
      <c r="R92" s="2"/>
    </row>
    <row r="93" hidden="1" spans="1:18">
      <c r="A93" s="21" t="s">
        <v>135</v>
      </c>
      <c r="B93" s="1">
        <v>5</v>
      </c>
      <c r="C93" s="1">
        <v>5</v>
      </c>
      <c r="D93" s="1">
        <f t="shared" si="17"/>
        <v>0.454545454545454</v>
      </c>
      <c r="E93" s="1">
        <f t="shared" si="18"/>
        <v>0.909090909090909</v>
      </c>
      <c r="F93" s="19">
        <f t="shared" ref="F93:F100" si="28">2/30</f>
        <v>0.0666666666666667</v>
      </c>
      <c r="G93" s="19">
        <f t="shared" ref="G93:G100" si="29">4/30</f>
        <v>0.133333333333333</v>
      </c>
      <c r="H93" s="20">
        <f t="shared" si="19"/>
        <v>1.36363636363636</v>
      </c>
      <c r="I93" s="1">
        <f t="shared" si="20"/>
        <v>0.600000000000002</v>
      </c>
      <c r="J93" s="1">
        <f t="shared" si="21"/>
        <v>0.578439705817888</v>
      </c>
      <c r="K93" s="1">
        <f t="shared" si="26"/>
        <v>0.7</v>
      </c>
      <c r="L93" s="1">
        <f t="shared" si="22"/>
        <v>10.0723376030384</v>
      </c>
      <c r="M93" s="1">
        <f t="shared" si="23"/>
        <v>1.22369013471788</v>
      </c>
      <c r="N93" s="1">
        <f t="shared" si="24"/>
        <v>0.3796875</v>
      </c>
      <c r="Q93" s="2"/>
      <c r="R93" s="2"/>
    </row>
    <row r="94" hidden="1" spans="1:18">
      <c r="A94" s="1" t="s">
        <v>136</v>
      </c>
      <c r="B94" s="1">
        <v>5</v>
      </c>
      <c r="C94" s="1">
        <v>5</v>
      </c>
      <c r="D94" s="1">
        <f t="shared" si="17"/>
        <v>0.454545454545454</v>
      </c>
      <c r="E94" s="1">
        <f t="shared" si="18"/>
        <v>0.909090909090909</v>
      </c>
      <c r="F94" s="19">
        <f t="shared" si="28"/>
        <v>0.0666666666666667</v>
      </c>
      <c r="G94" s="19">
        <f t="shared" si="29"/>
        <v>0.133333333333333</v>
      </c>
      <c r="H94" s="20">
        <f t="shared" si="19"/>
        <v>1.36363636363636</v>
      </c>
      <c r="I94" s="1">
        <f t="shared" si="20"/>
        <v>0.600000000000002</v>
      </c>
      <c r="J94" s="1">
        <f t="shared" si="21"/>
        <v>0.578439705817888</v>
      </c>
      <c r="K94" s="1">
        <f t="shared" si="26"/>
        <v>0.7</v>
      </c>
      <c r="L94" s="1">
        <f t="shared" si="22"/>
        <v>10.0723376030384</v>
      </c>
      <c r="M94" s="1">
        <f t="shared" si="23"/>
        <v>1.22369013471788</v>
      </c>
      <c r="N94" s="1">
        <f t="shared" si="24"/>
        <v>0.3796875</v>
      </c>
      <c r="Q94" s="2"/>
      <c r="R94" s="2"/>
    </row>
    <row r="95" hidden="1" spans="1:18">
      <c r="A95" s="1" t="s">
        <v>137</v>
      </c>
      <c r="B95" s="1">
        <v>5</v>
      </c>
      <c r="C95" s="1">
        <v>5</v>
      </c>
      <c r="D95" s="1">
        <f t="shared" si="17"/>
        <v>0.454545454545454</v>
      </c>
      <c r="E95" s="1">
        <f t="shared" si="18"/>
        <v>0.909090909090909</v>
      </c>
      <c r="F95" s="19">
        <f t="shared" si="28"/>
        <v>0.0666666666666667</v>
      </c>
      <c r="G95" s="19">
        <f t="shared" si="29"/>
        <v>0.133333333333333</v>
      </c>
      <c r="H95" s="20">
        <f t="shared" si="19"/>
        <v>1.36363636363636</v>
      </c>
      <c r="I95" s="1">
        <f t="shared" si="20"/>
        <v>0.723076923076925</v>
      </c>
      <c r="J95" s="1">
        <f t="shared" si="21"/>
        <v>0.697094004447199</v>
      </c>
      <c r="K95" s="1">
        <f t="shared" si="26"/>
        <v>0.7</v>
      </c>
      <c r="L95" s="1">
        <f t="shared" si="22"/>
        <v>10.0723376030384</v>
      </c>
      <c r="M95" s="1">
        <f t="shared" si="23"/>
        <v>1.22369013471788</v>
      </c>
      <c r="N95" s="1">
        <f t="shared" si="24"/>
        <v>0.3796875</v>
      </c>
      <c r="Q95" s="2"/>
      <c r="R95" s="2"/>
    </row>
    <row r="96" hidden="1" spans="1:14">
      <c r="A96" s="1" t="s">
        <v>138</v>
      </c>
      <c r="B96" s="1">
        <v>5</v>
      </c>
      <c r="C96" s="1">
        <v>5</v>
      </c>
      <c r="D96" s="1">
        <f t="shared" si="17"/>
        <v>0.454545454545454</v>
      </c>
      <c r="E96" s="1">
        <f t="shared" si="18"/>
        <v>0.909090909090909</v>
      </c>
      <c r="F96" s="19">
        <f t="shared" si="28"/>
        <v>0.0666666666666667</v>
      </c>
      <c r="G96" s="19">
        <f t="shared" si="29"/>
        <v>0.133333333333333</v>
      </c>
      <c r="H96" s="20">
        <f t="shared" si="19"/>
        <v>1.36363636363636</v>
      </c>
      <c r="I96" s="1">
        <f t="shared" si="20"/>
        <v>0.723076923076925</v>
      </c>
      <c r="J96" s="1">
        <f t="shared" si="21"/>
        <v>0.697094004447199</v>
      </c>
      <c r="K96" s="1">
        <f t="shared" si="26"/>
        <v>0.7</v>
      </c>
      <c r="L96" s="1">
        <f t="shared" si="22"/>
        <v>10.0723376030384</v>
      </c>
      <c r="M96" s="1">
        <f t="shared" si="23"/>
        <v>1.22369013471788</v>
      </c>
      <c r="N96" s="1">
        <f t="shared" si="24"/>
        <v>0.3796875</v>
      </c>
    </row>
    <row r="97" hidden="1" spans="1:14">
      <c r="A97" s="21" t="s">
        <v>139</v>
      </c>
      <c r="B97" s="1">
        <v>5</v>
      </c>
      <c r="C97" s="1">
        <v>5</v>
      </c>
      <c r="D97" s="1">
        <f t="shared" si="17"/>
        <v>0.454545454545454</v>
      </c>
      <c r="E97" s="1">
        <f t="shared" si="18"/>
        <v>0.909090909090909</v>
      </c>
      <c r="F97" s="19">
        <f t="shared" si="28"/>
        <v>0.0666666666666667</v>
      </c>
      <c r="G97" s="19">
        <f t="shared" si="29"/>
        <v>0.133333333333333</v>
      </c>
      <c r="H97" s="20">
        <f t="shared" si="19"/>
        <v>1.36363636363636</v>
      </c>
      <c r="I97" s="1">
        <f t="shared" si="20"/>
        <v>0.723076923076925</v>
      </c>
      <c r="J97" s="1">
        <f t="shared" si="21"/>
        <v>0.697094004447199</v>
      </c>
      <c r="K97" s="1">
        <f t="shared" si="26"/>
        <v>0.7</v>
      </c>
      <c r="L97" s="1">
        <f t="shared" si="22"/>
        <v>10.0723376030384</v>
      </c>
      <c r="M97" s="1">
        <f t="shared" si="23"/>
        <v>1.22369013471788</v>
      </c>
      <c r="N97" s="1">
        <f t="shared" si="24"/>
        <v>0.3796875</v>
      </c>
    </row>
    <row r="98" hidden="1" spans="1:14">
      <c r="A98" s="1" t="s">
        <v>140</v>
      </c>
      <c r="B98" s="1">
        <v>5</v>
      </c>
      <c r="C98" s="1">
        <v>5</v>
      </c>
      <c r="D98" s="1">
        <f t="shared" si="17"/>
        <v>0.454545454545454</v>
      </c>
      <c r="E98" s="1">
        <f t="shared" si="18"/>
        <v>0.909090909090909</v>
      </c>
      <c r="F98" s="19">
        <f t="shared" si="28"/>
        <v>0.0666666666666667</v>
      </c>
      <c r="G98" s="19">
        <f t="shared" si="29"/>
        <v>0.133333333333333</v>
      </c>
      <c r="H98" s="20">
        <f t="shared" si="19"/>
        <v>1.36363636363636</v>
      </c>
      <c r="I98" s="1">
        <f t="shared" si="20"/>
        <v>0.723076923076925</v>
      </c>
      <c r="J98" s="1">
        <f t="shared" si="21"/>
        <v>0.697094004447199</v>
      </c>
      <c r="K98" s="1">
        <f t="shared" si="26"/>
        <v>0.7</v>
      </c>
      <c r="L98" s="1">
        <f t="shared" si="22"/>
        <v>10.0723376030384</v>
      </c>
      <c r="M98" s="1">
        <f t="shared" si="23"/>
        <v>1.22369013471788</v>
      </c>
      <c r="N98" s="1">
        <f t="shared" si="24"/>
        <v>0.3796875</v>
      </c>
    </row>
    <row r="99" hidden="1" spans="1:14">
      <c r="A99" s="1" t="s">
        <v>141</v>
      </c>
      <c r="B99" s="1">
        <v>5</v>
      </c>
      <c r="C99" s="1">
        <v>5</v>
      </c>
      <c r="D99" s="1">
        <f t="shared" si="17"/>
        <v>0.454545454545454</v>
      </c>
      <c r="E99" s="1">
        <f t="shared" si="18"/>
        <v>0.909090909090909</v>
      </c>
      <c r="F99" s="19">
        <f t="shared" si="28"/>
        <v>0.0666666666666667</v>
      </c>
      <c r="G99" s="19">
        <f t="shared" si="29"/>
        <v>0.133333333333333</v>
      </c>
      <c r="H99" s="20">
        <f t="shared" si="19"/>
        <v>1.36363636363636</v>
      </c>
      <c r="I99" s="1">
        <f t="shared" si="20"/>
        <v>0.723076923076925</v>
      </c>
      <c r="J99" s="1">
        <f t="shared" si="21"/>
        <v>0.697094004447199</v>
      </c>
      <c r="K99" s="1">
        <f t="shared" si="26"/>
        <v>0.7</v>
      </c>
      <c r="L99" s="1">
        <f t="shared" si="22"/>
        <v>10.0723376030384</v>
      </c>
      <c r="M99" s="1">
        <f t="shared" si="23"/>
        <v>1.22369013471788</v>
      </c>
      <c r="N99" s="1">
        <f t="shared" si="24"/>
        <v>0.3796875</v>
      </c>
    </row>
    <row r="100" hidden="1" spans="1:14">
      <c r="A100" s="1" t="s">
        <v>142</v>
      </c>
      <c r="B100" s="1">
        <v>5</v>
      </c>
      <c r="C100" s="1">
        <v>5</v>
      </c>
      <c r="D100" s="1">
        <f t="shared" si="17"/>
        <v>0.454545454545454</v>
      </c>
      <c r="E100" s="1">
        <f t="shared" si="18"/>
        <v>0.909090909090909</v>
      </c>
      <c r="F100" s="19">
        <f t="shared" si="28"/>
        <v>0.0666666666666667</v>
      </c>
      <c r="G100" s="19">
        <f t="shared" si="29"/>
        <v>0.133333333333333</v>
      </c>
      <c r="H100" s="20">
        <f t="shared" si="19"/>
        <v>1.36363636363636</v>
      </c>
      <c r="I100" s="1">
        <f t="shared" si="20"/>
        <v>0.723076923076925</v>
      </c>
      <c r="J100" s="1">
        <f t="shared" si="21"/>
        <v>0.697094004447199</v>
      </c>
      <c r="K100" s="1">
        <f t="shared" si="26"/>
        <v>0.7</v>
      </c>
      <c r="L100" s="1">
        <f t="shared" si="22"/>
        <v>10.0723376030384</v>
      </c>
      <c r="M100" s="1">
        <f t="shared" si="23"/>
        <v>1.22369013471788</v>
      </c>
      <c r="N100" s="1">
        <f t="shared" si="24"/>
        <v>0.3796875</v>
      </c>
    </row>
    <row r="103" spans="6:7">
      <c r="F103" s="1">
        <f>F66-F56</f>
        <v>0.05</v>
      </c>
      <c r="G103" s="1">
        <f>G66-G56</f>
        <v>0.03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3"/>
  <sheetViews>
    <sheetView workbookViewId="0">
      <selection activeCell="G103" sqref="F103:G103"/>
    </sheetView>
  </sheetViews>
  <sheetFormatPr defaultColWidth="9" defaultRowHeight="16.5"/>
  <cols>
    <col min="1" max="1" width="14.875" style="1" customWidth="1"/>
    <col min="2" max="2" width="18" style="1" customWidth="1"/>
    <col min="3" max="3" width="11.25" style="1" customWidth="1"/>
    <col min="4" max="11" width="9.00833333333333" style="1" customWidth="1"/>
    <col min="12" max="14" width="9.00833333333333" style="2" customWidth="1"/>
    <col min="15" max="16" width="10.625" style="2" customWidth="1"/>
    <col min="17" max="18" width="12.625" style="1"/>
    <col min="19" max="22" width="9.00833333333333" style="1" customWidth="1"/>
    <col min="23" max="24" width="9.375" style="1"/>
    <col min="25" max="16384" width="9" style="1"/>
  </cols>
  <sheetData>
    <row r="1" spans="1:20">
      <c r="A1" s="1" t="s">
        <v>0</v>
      </c>
      <c r="G1" s="3" t="s">
        <v>1</v>
      </c>
      <c r="H1" s="4" t="s">
        <v>2</v>
      </c>
      <c r="I1" s="22"/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</row>
    <row r="2" spans="2:20">
      <c r="B2" s="5" t="s">
        <v>12</v>
      </c>
      <c r="C2" s="6">
        <v>60</v>
      </c>
      <c r="G2" s="7"/>
      <c r="H2" s="8" t="s">
        <v>13</v>
      </c>
      <c r="I2" s="23">
        <v>1.2</v>
      </c>
      <c r="L2" s="2" t="s">
        <v>14</v>
      </c>
      <c r="M2" s="2">
        <v>1.3</v>
      </c>
      <c r="N2" s="2">
        <v>7</v>
      </c>
      <c r="O2" s="2">
        <f>3/1.5</f>
        <v>2</v>
      </c>
      <c r="P2" s="2">
        <f>3/2</f>
        <v>1.5</v>
      </c>
      <c r="Q2" s="2">
        <v>19.5</v>
      </c>
      <c r="R2" s="2">
        <v>0.5</v>
      </c>
      <c r="S2" s="2">
        <v>3</v>
      </c>
      <c r="T2" s="2">
        <v>0.8</v>
      </c>
    </row>
    <row r="3" spans="2:20">
      <c r="B3" s="1" t="s">
        <v>15</v>
      </c>
      <c r="C3" s="2">
        <v>2</v>
      </c>
      <c r="G3" s="3" t="s">
        <v>16</v>
      </c>
      <c r="H3" s="4" t="s">
        <v>17</v>
      </c>
      <c r="I3" s="22">
        <f>3*1.5</f>
        <v>4.5</v>
      </c>
      <c r="L3" s="2" t="s">
        <v>18</v>
      </c>
      <c r="M3" s="2">
        <v>1.6</v>
      </c>
      <c r="N3" s="2">
        <v>5</v>
      </c>
      <c r="O3" s="2">
        <f>3/1</f>
        <v>3</v>
      </c>
      <c r="P3" s="2">
        <f>3/1.5</f>
        <v>2</v>
      </c>
      <c r="Q3" s="2">
        <v>20.8</v>
      </c>
      <c r="R3" s="2"/>
      <c r="S3" s="2" t="s">
        <v>19</v>
      </c>
      <c r="T3" s="2" t="s">
        <v>20</v>
      </c>
    </row>
    <row r="4" spans="2:20">
      <c r="B4" s="5" t="s">
        <v>21</v>
      </c>
      <c r="C4" s="6" t="str">
        <f>IF((D4-C3*2)&lt;0,"相交",IF((D4-C3*2)&lt;0=0,"相切","否"))</f>
        <v>相交</v>
      </c>
      <c r="D4" s="5">
        <f>((D6-D7)^2+(E6-E7)^2)^0.5</f>
        <v>3.99644842328786</v>
      </c>
      <c r="E4" s="5"/>
      <c r="G4" s="9"/>
      <c r="H4" s="8" t="s">
        <v>22</v>
      </c>
      <c r="I4" s="23">
        <f>1*1.5+2</f>
        <v>3.5</v>
      </c>
      <c r="L4" s="25" t="s">
        <v>23</v>
      </c>
      <c r="M4" s="25">
        <v>1.4</v>
      </c>
      <c r="N4" s="2">
        <v>8</v>
      </c>
      <c r="O4" s="2">
        <f>3/1</f>
        <v>3</v>
      </c>
      <c r="P4" s="2">
        <f>3/3</f>
        <v>1</v>
      </c>
      <c r="Q4" s="25">
        <v>14</v>
      </c>
      <c r="R4" s="2"/>
      <c r="S4" s="2">
        <v>4.6</v>
      </c>
      <c r="T4" s="2">
        <v>6.2</v>
      </c>
    </row>
    <row r="5" spans="2:18">
      <c r="B5" s="5"/>
      <c r="C5" s="6"/>
      <c r="D5" s="6" t="s">
        <v>24</v>
      </c>
      <c r="E5" s="6" t="s">
        <v>25</v>
      </c>
      <c r="F5" s="2"/>
      <c r="G5" s="3" t="s">
        <v>26</v>
      </c>
      <c r="H5" s="4" t="s">
        <v>27</v>
      </c>
      <c r="I5" s="22">
        <v>0.5</v>
      </c>
      <c r="J5" s="2"/>
      <c r="L5" s="2" t="s">
        <v>28</v>
      </c>
      <c r="M5" s="2">
        <v>1.2</v>
      </c>
      <c r="N5" s="2">
        <v>8</v>
      </c>
      <c r="O5" s="2">
        <f>3/0.75</f>
        <v>4</v>
      </c>
      <c r="P5" s="2">
        <f>3/1</f>
        <v>3</v>
      </c>
      <c r="Q5" s="2">
        <v>20</v>
      </c>
      <c r="R5" s="2"/>
    </row>
    <row r="6" spans="2:18">
      <c r="B6" s="5" t="s">
        <v>29</v>
      </c>
      <c r="C6" s="6" t="s">
        <v>30</v>
      </c>
      <c r="D6" s="6">
        <v>0</v>
      </c>
      <c r="E6" s="6">
        <v>4</v>
      </c>
      <c r="F6" s="2"/>
      <c r="G6" s="10"/>
      <c r="H6" s="1" t="s">
        <v>31</v>
      </c>
      <c r="I6" s="24">
        <v>15</v>
      </c>
      <c r="J6" s="2"/>
      <c r="L6" s="2" t="s">
        <v>32</v>
      </c>
      <c r="M6" s="2">
        <v>1.1</v>
      </c>
      <c r="N6" s="2">
        <v>7</v>
      </c>
      <c r="O6" s="2">
        <f>3/1.25</f>
        <v>2.4</v>
      </c>
      <c r="P6" s="2">
        <f>3/2</f>
        <v>1.5</v>
      </c>
      <c r="Q6" s="2">
        <v>20</v>
      </c>
      <c r="R6" s="2"/>
    </row>
    <row r="7" spans="2:10">
      <c r="B7" s="5" t="s">
        <v>33</v>
      </c>
      <c r="C7" s="6" t="s">
        <v>29</v>
      </c>
      <c r="D7" s="6">
        <f>ROUND(D6*COS(C2/180*PI())-E6*SIN(C2/180*PI()),2)</f>
        <v>-3.46</v>
      </c>
      <c r="E7" s="6">
        <f>ROUND(D6*SIN(C2/180*PI())+E6*COS(C2/180*PI()),2)</f>
        <v>2</v>
      </c>
      <c r="F7" s="2"/>
      <c r="G7" s="10"/>
      <c r="H7" s="1" t="s">
        <v>34</v>
      </c>
      <c r="I7" s="24">
        <f>90-I6</f>
        <v>75</v>
      </c>
      <c r="J7" s="2"/>
    </row>
    <row r="8" spans="2:12">
      <c r="B8" s="5" t="s">
        <v>35</v>
      </c>
      <c r="C8" s="6" t="s">
        <v>36</v>
      </c>
      <c r="D8" s="6">
        <f>ROUND(D6*COS((-1)*C2/180*PI())-E6*SIN((-1)*C2/180*PI()),2)</f>
        <v>3.46</v>
      </c>
      <c r="E8" s="6">
        <f>ROUND(D6*SIN((-1)*C2/180*PI())+E6*COS((-1)*C2/180*PI()),2)</f>
        <v>2</v>
      </c>
      <c r="F8" s="2"/>
      <c r="G8" s="7"/>
      <c r="H8" s="8" t="s">
        <v>37</v>
      </c>
      <c r="I8" s="23">
        <v>90</v>
      </c>
      <c r="J8" s="2"/>
      <c r="L8" s="1"/>
    </row>
    <row r="9" hidden="1" spans="11:23">
      <c r="K9" s="2"/>
      <c r="Q9" s="2" t="s">
        <v>38</v>
      </c>
      <c r="R9" s="2" t="s">
        <v>39</v>
      </c>
      <c r="S9" s="2" t="s">
        <v>40</v>
      </c>
      <c r="T9" s="2" t="s">
        <v>41</v>
      </c>
      <c r="U9" s="2" t="s">
        <v>42</v>
      </c>
      <c r="W9" s="2"/>
    </row>
    <row r="10" hidden="1" spans="2:23">
      <c r="B10" s="2" t="s">
        <v>43</v>
      </c>
      <c r="C10" s="1" t="s">
        <v>44</v>
      </c>
      <c r="D10" s="1" t="s">
        <v>45</v>
      </c>
      <c r="E10" s="1" t="s">
        <v>46</v>
      </c>
      <c r="F10" s="2" t="s">
        <v>47</v>
      </c>
      <c r="H10" s="2"/>
      <c r="I10" s="2"/>
      <c r="K10" s="2"/>
      <c r="O10" s="12"/>
      <c r="Q10" s="2">
        <v>1</v>
      </c>
      <c r="R10" s="2">
        <v>5</v>
      </c>
      <c r="S10" s="2">
        <f>PI()*R10^2-PI()*$S$2^2</f>
        <v>50.2654824574367</v>
      </c>
      <c r="T10" s="2">
        <f>S10/(PI()*$R$2^2)</f>
        <v>64</v>
      </c>
      <c r="U10" s="12">
        <v>0.5</v>
      </c>
      <c r="W10" s="2"/>
    </row>
    <row r="11" hidden="1" spans="1:23">
      <c r="A11" s="1" t="s">
        <v>48</v>
      </c>
      <c r="B11" s="2">
        <v>7</v>
      </c>
      <c r="C11" s="1">
        <f>PI()*(C3+I2)^2</f>
        <v>32.1699087727595</v>
      </c>
      <c r="D11" s="1">
        <f>PI()*(N4^2-S2^2)</f>
        <v>172.787595947439</v>
      </c>
      <c r="E11" s="11">
        <f t="shared" ref="E11:E16" si="0">C11/D11</f>
        <v>0.186181818181818</v>
      </c>
      <c r="F11" s="2">
        <v>6</v>
      </c>
      <c r="G11" s="12"/>
      <c r="H11" s="12"/>
      <c r="I11" s="12"/>
      <c r="K11" s="2"/>
      <c r="O11" s="12"/>
      <c r="Q11" s="2">
        <v>2</v>
      </c>
      <c r="R11" s="2">
        <f t="shared" ref="R11:R18" si="1">R10+0.5</f>
        <v>5.5</v>
      </c>
      <c r="S11" s="2">
        <f>PI()*R11^2-PI()*$S$2^2</f>
        <v>66.7588438887831</v>
      </c>
      <c r="T11" s="2">
        <f>S11/(PI()*$R$2^2)</f>
        <v>85</v>
      </c>
      <c r="U11" s="12">
        <f t="shared" ref="U11:U18" si="2">U10+2%</f>
        <v>0.52</v>
      </c>
      <c r="W11" s="2"/>
    </row>
    <row r="12" hidden="1" spans="1:23">
      <c r="A12" s="1" t="s">
        <v>48</v>
      </c>
      <c r="B12" s="2">
        <v>11</v>
      </c>
      <c r="C12" s="1">
        <f>PI()*(C3+I2)^2</f>
        <v>32.1699087727595</v>
      </c>
      <c r="D12" s="1">
        <f>PI()*(N4^2-S2^2)</f>
        <v>172.787595947439</v>
      </c>
      <c r="E12" s="11">
        <f>C11/D11</f>
        <v>0.186181818181818</v>
      </c>
      <c r="K12" s="2"/>
      <c r="O12" s="12"/>
      <c r="Q12" s="2">
        <v>3</v>
      </c>
      <c r="R12" s="2">
        <f t="shared" si="1"/>
        <v>6</v>
      </c>
      <c r="S12" s="2">
        <f>PI()*R12^2-PI()*$S$2^2</f>
        <v>84.8230016469244</v>
      </c>
      <c r="T12" s="2">
        <f>S12/(PI()*$R$2^2)</f>
        <v>108</v>
      </c>
      <c r="U12" s="12">
        <f t="shared" si="2"/>
        <v>0.54</v>
      </c>
      <c r="W12" s="2"/>
    </row>
    <row r="13" hidden="1" spans="1:23">
      <c r="A13" s="1" t="s">
        <v>48</v>
      </c>
      <c r="B13" s="12">
        <v>0.5</v>
      </c>
      <c r="E13" s="13">
        <f>E12*(1+B13)^F11</f>
        <v>2.12072727272727</v>
      </c>
      <c r="K13" s="2"/>
      <c r="O13" s="12"/>
      <c r="Q13" s="2">
        <v>4</v>
      </c>
      <c r="R13" s="2">
        <f t="shared" si="1"/>
        <v>6.5</v>
      </c>
      <c r="S13" s="2">
        <f>PI()*R13^2-PI()*$S$2^2</f>
        <v>104.457955731861</v>
      </c>
      <c r="T13" s="2">
        <f>S13/(PI()*$R$2^2)</f>
        <v>133</v>
      </c>
      <c r="U13" s="12">
        <f t="shared" si="2"/>
        <v>0.56</v>
      </c>
      <c r="W13" s="2"/>
    </row>
    <row r="14" hidden="1" spans="2:23">
      <c r="B14" s="2" t="s">
        <v>49</v>
      </c>
      <c r="C14" s="1" t="s">
        <v>44</v>
      </c>
      <c r="D14" s="1" t="s">
        <v>45</v>
      </c>
      <c r="E14" s="1" t="s">
        <v>46</v>
      </c>
      <c r="F14" s="2" t="s">
        <v>47</v>
      </c>
      <c r="K14" s="2"/>
      <c r="O14" s="12"/>
      <c r="Q14" s="2">
        <v>5</v>
      </c>
      <c r="R14" s="2">
        <f t="shared" si="1"/>
        <v>7</v>
      </c>
      <c r="S14" s="2">
        <f>PI()*R14^2-PI()*$S$2^2</f>
        <v>125.663706143592</v>
      </c>
      <c r="T14" s="2">
        <f>S14/(PI()*$R$2^2)</f>
        <v>160</v>
      </c>
      <c r="U14" s="12">
        <f t="shared" si="2"/>
        <v>0.58</v>
      </c>
      <c r="W14" s="2"/>
    </row>
    <row r="15" hidden="1" spans="1:23">
      <c r="A15" s="1" t="s">
        <v>50</v>
      </c>
      <c r="B15" s="2">
        <v>7</v>
      </c>
      <c r="C15" s="1">
        <f>PI()*((C3+I4/2)^2+(I3/2)^2)</f>
        <v>60.0829594999048</v>
      </c>
      <c r="D15" s="1">
        <f>PI()*((N3*2)^2-S2^2)</f>
        <v>285.884931476671</v>
      </c>
      <c r="E15" s="11">
        <f t="shared" si="0"/>
        <v>0.210164835164835</v>
      </c>
      <c r="F15" s="2">
        <v>5</v>
      </c>
      <c r="K15" s="2"/>
      <c r="O15" s="12"/>
      <c r="Q15" s="2">
        <v>6</v>
      </c>
      <c r="R15" s="2">
        <f t="shared" si="1"/>
        <v>7.5</v>
      </c>
      <c r="S15" s="2">
        <f>PI()*R15^2-PI()*$S$2^2</f>
        <v>148.440252882118</v>
      </c>
      <c r="T15" s="2">
        <f>S15/(PI()*$R$2^2)</f>
        <v>189</v>
      </c>
      <c r="U15" s="12">
        <f t="shared" si="2"/>
        <v>0.6</v>
      </c>
      <c r="W15" s="2"/>
    </row>
    <row r="16" hidden="1" spans="1:23">
      <c r="A16" s="1" t="s">
        <v>50</v>
      </c>
      <c r="B16" s="2">
        <v>11</v>
      </c>
      <c r="C16" s="1">
        <f>PI()*((C3+I4/2)^2+(I3/2)^2)</f>
        <v>60.0829594999048</v>
      </c>
      <c r="D16" s="1">
        <f>PI()*((N3*2)^2-S2^2)</f>
        <v>285.884931476671</v>
      </c>
      <c r="E16" s="11">
        <f t="shared" si="0"/>
        <v>0.210164835164835</v>
      </c>
      <c r="K16" s="2"/>
      <c r="O16" s="12"/>
      <c r="Q16" s="2">
        <v>7</v>
      </c>
      <c r="R16" s="2">
        <f t="shared" si="1"/>
        <v>8</v>
      </c>
      <c r="S16" s="2">
        <f>PI()*R16^2-PI()*$S$2^2</f>
        <v>172.787595947439</v>
      </c>
      <c r="T16" s="2">
        <f>S16/(PI()*$R$2^2)</f>
        <v>220</v>
      </c>
      <c r="U16" s="12">
        <f t="shared" si="2"/>
        <v>0.62</v>
      </c>
      <c r="W16" s="2"/>
    </row>
    <row r="17" hidden="1" spans="1:23">
      <c r="A17" s="1" t="s">
        <v>50</v>
      </c>
      <c r="B17" s="12">
        <f>B13</f>
        <v>0.5</v>
      </c>
      <c r="E17" s="13">
        <f>E16*(1+B17)^F15</f>
        <v>1.59593921703297</v>
      </c>
      <c r="K17" s="2"/>
      <c r="O17" s="12"/>
      <c r="Q17" s="2">
        <v>8</v>
      </c>
      <c r="R17" s="2">
        <f t="shared" si="1"/>
        <v>8.5</v>
      </c>
      <c r="S17" s="2">
        <f>PI()*R17^2-PI()*$S$2^2</f>
        <v>198.705735339554</v>
      </c>
      <c r="T17" s="2">
        <f>S17/(PI()*$R$2^2)</f>
        <v>253</v>
      </c>
      <c r="U17" s="12">
        <f t="shared" si="2"/>
        <v>0.64</v>
      </c>
      <c r="W17" s="2"/>
    </row>
    <row r="18" hidden="1" spans="2:23">
      <c r="B18" s="2" t="s">
        <v>51</v>
      </c>
      <c r="C18" s="1" t="s">
        <v>52</v>
      </c>
      <c r="D18" s="1" t="s">
        <v>53</v>
      </c>
      <c r="E18" s="1" t="s">
        <v>54</v>
      </c>
      <c r="F18" s="1" t="s">
        <v>55</v>
      </c>
      <c r="G18" s="1" t="s">
        <v>56</v>
      </c>
      <c r="H18" s="1" t="s">
        <v>57</v>
      </c>
      <c r="I18" s="1" t="s">
        <v>58</v>
      </c>
      <c r="K18" s="2"/>
      <c r="O18" s="12"/>
      <c r="Q18" s="2">
        <v>9</v>
      </c>
      <c r="R18" s="2">
        <f t="shared" si="1"/>
        <v>9</v>
      </c>
      <c r="S18" s="2">
        <f>PI()*R18^2-PI()*$S$2^2</f>
        <v>226.194671058465</v>
      </c>
      <c r="T18" s="2">
        <f>S18/(PI()*$R$2^2)</f>
        <v>288</v>
      </c>
      <c r="U18" s="12">
        <f t="shared" si="2"/>
        <v>0.66</v>
      </c>
      <c r="W18" s="2"/>
    </row>
    <row r="19" hidden="1" spans="1:23">
      <c r="A19" s="1" t="s">
        <v>59</v>
      </c>
      <c r="B19" s="2">
        <v>7</v>
      </c>
      <c r="C19" s="1">
        <f>(2*C3^2/(1-COS(I6/180*PI())))^0.5</f>
        <v>15.3225951510808</v>
      </c>
      <c r="D19" s="1">
        <f>COS(I6/2/180*PI())*C19</f>
        <v>15.1915082254503</v>
      </c>
      <c r="E19" s="1">
        <f>2*D19*I5/C19</f>
        <v>0.99144486137381</v>
      </c>
      <c r="F19" s="13">
        <f>($S$2-E19)*TAN($I$6/2/180*PI())*($S$2-E19)</f>
        <v>0.531124847517513</v>
      </c>
      <c r="G19" s="1">
        <f>C3*D19</f>
        <v>30.3830164509006</v>
      </c>
      <c r="H19" s="1">
        <f>($N$2-E19)*TAN($I$6/2/180*PI())*($N$2-E19)</f>
        <v>4.75301521325293</v>
      </c>
      <c r="I19" s="1">
        <f>_xlfn.IFS((D19+E19)&lt;S$2,0,AND(E19&lt;S$2,(D19+E19)&lt;N$2),H19-F19,AND(E19&lt;S$2,(D19+E19)&gt;=N$2),G19-F19,AND(E19&lt;N$2,(D19+E19)&lt;N$2),G19,AND(E19&lt;N$2,(D19+E19)&gt;=N$2),H19,E19&gt;=7,0)</f>
        <v>29.8518916033831</v>
      </c>
      <c r="K19" s="2"/>
      <c r="O19" s="12"/>
      <c r="R19" s="2"/>
      <c r="S19" s="2"/>
      <c r="T19" s="2"/>
      <c r="U19" s="2"/>
      <c r="V19" s="12"/>
      <c r="W19" s="2"/>
    </row>
    <row r="20" hidden="1" spans="1:23">
      <c r="A20" s="1" t="s">
        <v>59</v>
      </c>
      <c r="B20" s="2">
        <v>11</v>
      </c>
      <c r="C20" s="1" t="s">
        <v>52</v>
      </c>
      <c r="D20" s="1" t="s">
        <v>53</v>
      </c>
      <c r="E20" s="1" t="s">
        <v>54</v>
      </c>
      <c r="F20" s="1" t="s">
        <v>55</v>
      </c>
      <c r="G20" s="1" t="s">
        <v>56</v>
      </c>
      <c r="H20" s="1" t="s">
        <v>57</v>
      </c>
      <c r="I20" s="1" t="s">
        <v>60</v>
      </c>
      <c r="K20" s="2"/>
      <c r="O20" s="12"/>
      <c r="Q20" s="1" t="s">
        <v>61</v>
      </c>
      <c r="R20" s="2" t="s">
        <v>62</v>
      </c>
      <c r="S20" s="2" t="s">
        <v>40</v>
      </c>
      <c r="T20" s="2" t="s">
        <v>42</v>
      </c>
      <c r="U20" s="2" t="s">
        <v>63</v>
      </c>
      <c r="V20" s="12"/>
      <c r="W20" s="2"/>
    </row>
    <row r="21" hidden="1" spans="1:23">
      <c r="A21" s="1" t="s">
        <v>59</v>
      </c>
      <c r="B21" s="12">
        <f>B13</f>
        <v>0.5</v>
      </c>
      <c r="C21" s="1">
        <f>(2*C3^2/(1-COS($I$7/180*PI())))^0.5</f>
        <v>3.28535926340916</v>
      </c>
      <c r="D21" s="1">
        <f>COS($I$7/2/180*PI())*C21</f>
        <v>2.60645074568241</v>
      </c>
      <c r="E21" s="1">
        <f>2*D21*I5/C21</f>
        <v>0.793353340291235</v>
      </c>
      <c r="F21" s="13">
        <f>(S2-E21)*TAN(I7/2/180*PI())*(S2-E21)</f>
        <v>3.73633723090285</v>
      </c>
      <c r="G21" s="1">
        <f>C3*D21</f>
        <v>5.21290149136482</v>
      </c>
      <c r="H21" s="1">
        <f>(N2-E21)*TAN(I7/2/180*PI())*(N2-E21)</f>
        <v>29.5593253179915</v>
      </c>
      <c r="I21" s="1">
        <f>_xlfn.IFS((D21+E21)&lt;S$2,0,AND(E21&lt;S$2,(D21+E21)&lt;N$2),H21-F21,AND(E21&lt;S$2,(D21+E21)&gt;=N$2),G21-F21,AND(E21&lt;N$2,(D21+E21)&lt;N$2),G21,AND(E21&lt;N$2,(D21+E21)&gt;=N$2),H21,E21&gt;=7,0)</f>
        <v>25.8229880870886</v>
      </c>
      <c r="K21" s="2"/>
      <c r="O21" s="12"/>
      <c r="R21" s="2">
        <v>1.2</v>
      </c>
      <c r="S21" s="2">
        <f>PI()*R21^2</f>
        <v>4.5238934211693</v>
      </c>
      <c r="T21" s="12">
        <v>0.88</v>
      </c>
      <c r="U21" s="2">
        <f>((R21+0.5)/$R$2)^2*T21</f>
        <v>10.1728</v>
      </c>
      <c r="V21" s="12"/>
      <c r="W21" s="2"/>
    </row>
    <row r="22" hidden="1" spans="2:23">
      <c r="B22" s="2"/>
      <c r="C22" s="1" t="s">
        <v>52</v>
      </c>
      <c r="D22" s="1" t="s">
        <v>53</v>
      </c>
      <c r="E22" s="1" t="s">
        <v>54</v>
      </c>
      <c r="F22" s="1" t="s">
        <v>55</v>
      </c>
      <c r="G22" s="1" t="s">
        <v>56</v>
      </c>
      <c r="H22" s="1" t="s">
        <v>57</v>
      </c>
      <c r="I22" s="1" t="s">
        <v>64</v>
      </c>
      <c r="K22" s="2"/>
      <c r="O22" s="12"/>
      <c r="R22" s="2"/>
      <c r="S22" s="2"/>
      <c r="T22" s="2"/>
      <c r="U22" s="2"/>
      <c r="V22" s="12"/>
      <c r="W22" s="2"/>
    </row>
    <row r="23" hidden="1" spans="2:23">
      <c r="B23" s="2"/>
      <c r="C23" s="1">
        <f>(2*C3^2/(1-COS($I$8/180*PI())))^0.5</f>
        <v>2.82842712474619</v>
      </c>
      <c r="D23" s="1">
        <f>COS($I$8/2/180*PI())*C23</f>
        <v>2</v>
      </c>
      <c r="E23" s="1">
        <f>2*D23*$I$5/C23</f>
        <v>0.707106781186548</v>
      </c>
      <c r="F23" s="13">
        <f>($S$2-E23)*TAN($I$8/2/180*PI())*($S$2-E23)</f>
        <v>5.25735931288071</v>
      </c>
      <c r="G23" s="1">
        <f>C3*D23</f>
        <v>4</v>
      </c>
      <c r="H23" s="1">
        <f>($N$2-E23)*TAN($I$8/2/180*PI())*($N$2-E23)</f>
        <v>39.6005050633883</v>
      </c>
      <c r="I23" s="1">
        <f>_xlfn.IFS((D23+E23)&lt;S$2,0,AND(E23&lt;S$2,(D23+E23)&lt;N$2),H23-F23,AND(E23&lt;S$2,(D23+E23)&gt;=N$2),G23-F23,AND(E23&lt;N$2,(D23+E23)&lt;N$2),G23,AND(E23&lt;N$2,(D23+E23)&gt;=N$2),H23,E23&gt;=7,0)</f>
        <v>0</v>
      </c>
      <c r="K23" s="2"/>
      <c r="O23" s="12"/>
      <c r="Q23" s="1" t="s">
        <v>65</v>
      </c>
      <c r="R23" s="2" t="s">
        <v>66</v>
      </c>
      <c r="S23" s="2" t="s">
        <v>40</v>
      </c>
      <c r="T23" s="2" t="s">
        <v>42</v>
      </c>
      <c r="U23" s="2" t="s">
        <v>63</v>
      </c>
      <c r="V23" s="12"/>
      <c r="W23" s="2"/>
    </row>
    <row r="24" hidden="1" spans="2:23">
      <c r="B24" s="2"/>
      <c r="C24" s="1" t="s">
        <v>67</v>
      </c>
      <c r="D24" s="1" t="s">
        <v>68</v>
      </c>
      <c r="E24" s="1" t="s">
        <v>69</v>
      </c>
      <c r="F24" s="14" t="s">
        <v>70</v>
      </c>
      <c r="G24" s="15" t="s">
        <v>71</v>
      </c>
      <c r="H24" s="2" t="s">
        <v>47</v>
      </c>
      <c r="I24" s="2" t="s">
        <v>72</v>
      </c>
      <c r="K24" s="2"/>
      <c r="O24" s="12"/>
      <c r="R24" s="2" t="s">
        <v>73</v>
      </c>
      <c r="S24" s="2">
        <f>4*2</f>
        <v>8</v>
      </c>
      <c r="T24" s="12">
        <v>0.88</v>
      </c>
      <c r="U24" s="2">
        <f>S24/(PI()*$R$2^2)*T24</f>
        <v>8.96360639493555</v>
      </c>
      <c r="V24" s="27">
        <f>U24/U21</f>
        <v>0.881134633034715</v>
      </c>
      <c r="W24" s="2"/>
    </row>
    <row r="25" hidden="1" spans="2:22">
      <c r="B25" s="2"/>
      <c r="C25" s="1">
        <f>($I$5+C3*2)*($N$2-$S$2)</f>
        <v>18</v>
      </c>
      <c r="D25" s="1">
        <f>PI()*($N$2^2-$S$2^2)</f>
        <v>125.663706143592</v>
      </c>
      <c r="E25" s="11">
        <f t="shared" ref="E25:E28" si="3">C25/D25</f>
        <v>0.143239448782706</v>
      </c>
      <c r="F25" s="16">
        <f>SUM(I19,I21,I23,C25*3)/D25</f>
        <v>0.872764961787375</v>
      </c>
      <c r="G25" s="16">
        <f>E25*3</f>
        <v>0.429718346348117</v>
      </c>
      <c r="H25" s="2">
        <v>6</v>
      </c>
      <c r="I25" s="1">
        <f>E25*(1+B21)^H25</f>
        <v>1.63158684629051</v>
      </c>
      <c r="R25" s="2"/>
      <c r="S25" s="2"/>
      <c r="T25" s="12"/>
      <c r="U25" s="2"/>
      <c r="V25" s="27"/>
    </row>
    <row r="26" hidden="1" spans="2:22">
      <c r="B26" s="2" t="s">
        <v>43</v>
      </c>
      <c r="C26" s="1" t="s">
        <v>44</v>
      </c>
      <c r="D26" s="1" t="s">
        <v>45</v>
      </c>
      <c r="E26" s="1" t="s">
        <v>46</v>
      </c>
      <c r="F26" s="2" t="s">
        <v>47</v>
      </c>
      <c r="K26" s="2"/>
      <c r="Q26" s="1" t="s">
        <v>74</v>
      </c>
      <c r="R26" s="2" t="s">
        <v>66</v>
      </c>
      <c r="S26" s="2" t="s">
        <v>40</v>
      </c>
      <c r="T26" s="2" t="s">
        <v>42</v>
      </c>
      <c r="U26" s="2" t="s">
        <v>63</v>
      </c>
      <c r="V26" s="2"/>
    </row>
    <row r="27" hidden="1" spans="1:22">
      <c r="A27" s="1" t="s">
        <v>75</v>
      </c>
      <c r="B27" s="2">
        <v>0.5</v>
      </c>
      <c r="C27" s="1">
        <f>PI()*(B27+I2)^2</f>
        <v>9.0792027688745</v>
      </c>
      <c r="D27" s="1">
        <f>PI()*(N4^2-S2^2)</f>
        <v>172.787595947439</v>
      </c>
      <c r="E27" s="11">
        <f t="shared" si="3"/>
        <v>0.0525454545454545</v>
      </c>
      <c r="F27" s="2">
        <v>4</v>
      </c>
      <c r="K27" s="2"/>
      <c r="P27" s="12"/>
      <c r="Q27" s="2"/>
      <c r="R27" s="2" t="s">
        <v>76</v>
      </c>
      <c r="S27" s="2">
        <f>6.5*1.5</f>
        <v>9.75</v>
      </c>
      <c r="T27" s="12">
        <v>0.85</v>
      </c>
      <c r="U27" s="2">
        <f>S27/(PI()*$R$2^2)*T27</f>
        <v>10.5519727269927</v>
      </c>
      <c r="V27" s="2">
        <f>U27/U21</f>
        <v>1.0372731919425</v>
      </c>
    </row>
    <row r="28" hidden="1" spans="1:19">
      <c r="A28" s="1" t="s">
        <v>75</v>
      </c>
      <c r="B28" s="2">
        <v>0.9</v>
      </c>
      <c r="C28" s="1">
        <f>PI()*(B28+I2)^2</f>
        <v>13.854423602331</v>
      </c>
      <c r="D28" s="1">
        <f>PI()*(N4^2-S2^2)</f>
        <v>172.787595947439</v>
      </c>
      <c r="E28" s="11">
        <f t="shared" si="3"/>
        <v>0.0801818181818182</v>
      </c>
      <c r="K28" s="2"/>
      <c r="P28" s="12"/>
      <c r="Q28" s="2"/>
      <c r="R28" s="2"/>
      <c r="S28" s="2"/>
    </row>
    <row r="29" hidden="1" spans="1:19">
      <c r="A29" s="1" t="s">
        <v>75</v>
      </c>
      <c r="B29" s="12">
        <f>B13</f>
        <v>0.5</v>
      </c>
      <c r="E29" s="13">
        <f>(1-(1-E28)^((1+B29)*0.5))*3</f>
        <v>0.18228056726074</v>
      </c>
      <c r="K29" s="2"/>
      <c r="P29" s="12"/>
      <c r="Q29" s="2"/>
      <c r="R29" s="2"/>
      <c r="S29" s="2"/>
    </row>
    <row r="30" hidden="1" spans="2:17">
      <c r="B30" s="2" t="s">
        <v>49</v>
      </c>
      <c r="C30" s="1" t="s">
        <v>44</v>
      </c>
      <c r="D30" s="1" t="s">
        <v>45</v>
      </c>
      <c r="E30" s="1" t="s">
        <v>46</v>
      </c>
      <c r="F30" s="2" t="s">
        <v>47</v>
      </c>
      <c r="K30" s="2"/>
      <c r="P30" s="12"/>
      <c r="Q30" s="2"/>
    </row>
    <row r="31" hidden="1" spans="1:17">
      <c r="A31" s="1" t="s">
        <v>77</v>
      </c>
      <c r="B31" s="2">
        <f t="shared" ref="B31:B33" si="4">B27</f>
        <v>0.5</v>
      </c>
      <c r="C31" s="1">
        <f>PI()*((B31+I4/2)^2+(I3/2)^2)</f>
        <v>31.8086256175967</v>
      </c>
      <c r="D31" s="1">
        <f>PI()*((N3*2)^2-S2^2)</f>
        <v>285.884931476671</v>
      </c>
      <c r="E31" s="11">
        <f>C31/D31</f>
        <v>0.111263736263736</v>
      </c>
      <c r="F31" s="2">
        <v>3</v>
      </c>
      <c r="K31" s="2"/>
      <c r="P31" s="12"/>
      <c r="Q31" s="2"/>
    </row>
    <row r="32" hidden="1" spans="1:17">
      <c r="A32" s="1" t="s">
        <v>77</v>
      </c>
      <c r="B32" s="2">
        <f t="shared" si="4"/>
        <v>0.9</v>
      </c>
      <c r="C32" s="1">
        <f>PI()*((B32+I4/2)^2+(I3/2)^2)</f>
        <v>37.9661472186326</v>
      </c>
      <c r="D32" s="1">
        <f>PI()*((N3*2)^2-S2^2)</f>
        <v>285.884931476671</v>
      </c>
      <c r="E32" s="11">
        <f>C32/D32</f>
        <v>0.132802197802198</v>
      </c>
      <c r="K32" s="2"/>
      <c r="P32" s="12"/>
      <c r="Q32" s="2"/>
    </row>
    <row r="33" hidden="1" spans="1:17">
      <c r="A33" s="1" t="s">
        <v>77</v>
      </c>
      <c r="B33" s="12">
        <f t="shared" si="4"/>
        <v>0.5</v>
      </c>
      <c r="E33" s="13">
        <f>(1-(1-E32)^((1+B33)*0.5))*3</f>
        <v>0.304062118848676</v>
      </c>
      <c r="K33" s="2"/>
      <c r="P33" s="12"/>
      <c r="Q33" s="2"/>
    </row>
    <row r="34" hidden="1" spans="2:17">
      <c r="B34" s="2" t="s">
        <v>78</v>
      </c>
      <c r="C34" s="1" t="s">
        <v>52</v>
      </c>
      <c r="D34" s="1" t="s">
        <v>53</v>
      </c>
      <c r="E34" s="1" t="s">
        <v>54</v>
      </c>
      <c r="F34" s="1" t="s">
        <v>55</v>
      </c>
      <c r="G34" s="1" t="s">
        <v>56</v>
      </c>
      <c r="H34" s="1" t="s">
        <v>57</v>
      </c>
      <c r="I34" s="1" t="s">
        <v>58</v>
      </c>
      <c r="K34" s="2"/>
      <c r="P34" s="12"/>
      <c r="Q34" s="2"/>
    </row>
    <row r="35" hidden="1" spans="1:17">
      <c r="A35" s="1" t="s">
        <v>79</v>
      </c>
      <c r="B35" s="2">
        <f t="shared" ref="B35:B37" si="5">B31</f>
        <v>0.5</v>
      </c>
      <c r="C35" s="1">
        <f>(2*B35^2/(1-COS($I$6/180*PI())))^0.5</f>
        <v>3.8306487877702</v>
      </c>
      <c r="D35" s="1">
        <f>COS($I$6/2/180*PI())*C35</f>
        <v>3.79787705636258</v>
      </c>
      <c r="E35" s="1">
        <f>2*D35*$I$5/C35</f>
        <v>0.99144486137381</v>
      </c>
      <c r="F35" s="13">
        <f>($S$2-E35)*TAN($I$6/2/180*PI())*($S$2-E35)</f>
        <v>0.531124847517513</v>
      </c>
      <c r="G35" s="1">
        <f>B35*D35</f>
        <v>1.89893852818129</v>
      </c>
      <c r="H35" s="1">
        <f>($N$2-E35)*TAN($I$6/2/180*PI())*($N$2-E35)</f>
        <v>4.75301521325293</v>
      </c>
      <c r="I35" s="1">
        <f>_xlfn.IFS((D35+E35)&lt;S$2,0,AND(E35&lt;S$2,(D35+E35)&lt;N$2),H35-F35,AND(E35&lt;S$2,(D35+E35)&gt;=N$2),G35-F35,AND(E35&lt;N$2,(D35+E35)&lt;N$2),G35,AND(E35&lt;N$2,(D35+E35)&gt;=N$2),H35,E35&gt;=7,0)</f>
        <v>4.22189036573542</v>
      </c>
      <c r="K35" s="2"/>
      <c r="P35" s="12"/>
      <c r="Q35" s="2"/>
    </row>
    <row r="36" hidden="1" spans="1:17">
      <c r="A36" s="1" t="s">
        <v>79</v>
      </c>
      <c r="B36" s="2">
        <f t="shared" si="5"/>
        <v>0.9</v>
      </c>
      <c r="C36" s="1" t="s">
        <v>52</v>
      </c>
      <c r="D36" s="1" t="s">
        <v>53</v>
      </c>
      <c r="E36" s="1" t="s">
        <v>54</v>
      </c>
      <c r="F36" s="1" t="s">
        <v>55</v>
      </c>
      <c r="G36" s="1" t="s">
        <v>56</v>
      </c>
      <c r="H36" s="1" t="s">
        <v>57</v>
      </c>
      <c r="I36" s="1" t="s">
        <v>60</v>
      </c>
      <c r="K36" s="2"/>
      <c r="P36" s="12"/>
      <c r="Q36" s="2"/>
    </row>
    <row r="37" hidden="1" spans="1:17">
      <c r="A37" s="1" t="s">
        <v>79</v>
      </c>
      <c r="B37" s="12">
        <f t="shared" si="5"/>
        <v>0.5</v>
      </c>
      <c r="C37" s="1">
        <f>(2*B35^2/(1-COS($I$7/180*PI())))^0.5</f>
        <v>0.821339815852291</v>
      </c>
      <c r="D37" s="1">
        <f>COS($I$7/2/180*PI())*C37</f>
        <v>0.651612686420603</v>
      </c>
      <c r="E37" s="1">
        <f>2*D37*$I$5/C37</f>
        <v>0.793353340291235</v>
      </c>
      <c r="F37" s="13">
        <f>($S$2-E37)*TAN($I$6/2/180*PI())*($S$2-E37)</f>
        <v>0.641054121623861</v>
      </c>
      <c r="G37" s="1">
        <f>B35*D37</f>
        <v>0.325806343210301</v>
      </c>
      <c r="H37" s="1">
        <f>($N$2-E37)*TAN($I$6/2/180*PI())*($N$2-E37)</f>
        <v>5.07157843537054</v>
      </c>
      <c r="I37" s="1">
        <f>_xlfn.IFS((D37+E37)&lt;S$2,0,AND(E37&lt;S$2,(D37+E37)&lt;N$2),H37-F37,AND(E37&lt;S$2,(D37+E37)&gt;=N$2),G37-F37,AND(E37&lt;N$2,(D37+E37)&lt;N$2),G37,AND(E37&lt;N$2,(D37+E37)&gt;=N$2),H37,E37&gt;=7,0)</f>
        <v>0</v>
      </c>
      <c r="K37" s="2"/>
      <c r="P37" s="12"/>
      <c r="Q37" s="2"/>
    </row>
    <row r="38" hidden="1" spans="2:17">
      <c r="B38" s="2"/>
      <c r="C38" s="1" t="s">
        <v>52</v>
      </c>
      <c r="D38" s="1" t="s">
        <v>53</v>
      </c>
      <c r="E38" s="1" t="s">
        <v>54</v>
      </c>
      <c r="F38" s="1" t="s">
        <v>55</v>
      </c>
      <c r="G38" s="1" t="s">
        <v>56</v>
      </c>
      <c r="H38" s="1" t="s">
        <v>57</v>
      </c>
      <c r="I38" s="1" t="s">
        <v>64</v>
      </c>
      <c r="K38" s="2"/>
      <c r="P38" s="12"/>
      <c r="Q38" s="2"/>
    </row>
    <row r="39" hidden="1" spans="2:17">
      <c r="B39" s="2"/>
      <c r="C39" s="1">
        <f>(2*B35^2/(1-COS($I$8/180*PI())))^0.5</f>
        <v>0.707106781186548</v>
      </c>
      <c r="D39" s="1">
        <f>COS($I$8/2/180*PI())*C39</f>
        <v>0.5</v>
      </c>
      <c r="E39" s="1">
        <f>2*D39*$I$5/C39</f>
        <v>0.707106781186548</v>
      </c>
      <c r="F39" s="13">
        <f>($S$2-E39)*TAN($I$8/2/180*PI())*($S$2-E39)</f>
        <v>5.25735931288071</v>
      </c>
      <c r="G39" s="1">
        <f>B35*D39</f>
        <v>0.25</v>
      </c>
      <c r="H39" s="1">
        <f>($N$2-E39)*TAN($I$8/2/180*PI())*($N$2-E39)</f>
        <v>39.6005050633883</v>
      </c>
      <c r="I39" s="1">
        <f>_xlfn.IFS((D39+E39)&lt;S$2,0,AND(E39&lt;S$2,(D39+E39)&lt;N$2),H39-F39,AND(E39&lt;S$2,(D39+E39)&gt;=N$2),G39-F39,AND(E39&lt;N$2,(D39+E39)&lt;N$2),G39,AND(E39&lt;N$2,(D39+E39)&gt;=N$2),H39,E39&gt;=7,0)</f>
        <v>0</v>
      </c>
      <c r="K39" s="2"/>
      <c r="P39" s="12"/>
      <c r="Q39" s="2"/>
    </row>
    <row r="40" hidden="1" spans="2:17">
      <c r="B40" s="2"/>
      <c r="C40" s="1" t="s">
        <v>67</v>
      </c>
      <c r="D40" s="1" t="s">
        <v>68</v>
      </c>
      <c r="E40" s="1" t="s">
        <v>69</v>
      </c>
      <c r="F40" s="17" t="s">
        <v>80</v>
      </c>
      <c r="G40" s="5" t="s">
        <v>81</v>
      </c>
      <c r="K40" s="2"/>
      <c r="P40" s="12"/>
      <c r="Q40" s="2"/>
    </row>
    <row r="41" hidden="1" spans="3:17">
      <c r="C41" s="1">
        <f>($I$5+B35*2)*($N$2-$S$2)</f>
        <v>6</v>
      </c>
      <c r="D41" s="1">
        <f>PI()*($N$5^2-$S$2^2)</f>
        <v>172.787595947439</v>
      </c>
      <c r="E41" s="11">
        <f>C41/D41</f>
        <v>0.0347247148564135</v>
      </c>
      <c r="F41" s="18">
        <f>SUM(I35,I37,I39,C41*6)/D41</f>
        <v>0.232782278989348</v>
      </c>
      <c r="G41" s="17">
        <f>9*F41</f>
        <v>2.09504051090413</v>
      </c>
      <c r="K41" s="2"/>
      <c r="P41" s="12"/>
      <c r="Q41" s="2"/>
    </row>
    <row r="42" hidden="1" spans="3:18">
      <c r="C42" s="1" t="s">
        <v>52</v>
      </c>
      <c r="D42" s="1" t="s">
        <v>53</v>
      </c>
      <c r="E42" s="1" t="s">
        <v>54</v>
      </c>
      <c r="F42" s="1" t="s">
        <v>55</v>
      </c>
      <c r="G42" s="1" t="s">
        <v>56</v>
      </c>
      <c r="H42" s="1" t="s">
        <v>57</v>
      </c>
      <c r="I42" s="1" t="s">
        <v>58</v>
      </c>
      <c r="M42" s="1"/>
      <c r="Q42" s="2"/>
      <c r="R42" s="2"/>
    </row>
    <row r="43" hidden="1" spans="3:17">
      <c r="C43" s="1">
        <f>(2*B36^2/(1-COS($I$6/180*PI())))^0.5</f>
        <v>6.89516781798635</v>
      </c>
      <c r="D43" s="1">
        <f>COS($I$6/2/180*PI())*C43</f>
        <v>6.83617870145264</v>
      </c>
      <c r="E43" s="1">
        <f>2*D43*$I$5/C43</f>
        <v>0.99144486137381</v>
      </c>
      <c r="F43" s="13">
        <f>($S$2-E43)*TAN($I$6/2/180*PI())*($S$2-E43)</f>
        <v>0.531124847517513</v>
      </c>
      <c r="G43" s="1">
        <f>B36*D43</f>
        <v>6.15256083130737</v>
      </c>
      <c r="H43" s="1">
        <f>($N$2-E43)*TAN($I$6/2/180*PI())*($N$2-E43)</f>
        <v>4.75301521325293</v>
      </c>
      <c r="I43" s="1">
        <f>_xlfn.IFS((D43+E43)&lt;S$2,0,AND(E43&lt;S$2,(D43+E43)&lt;N$2),H43-F43,AND(E43&lt;S$2,(D43+E43)&gt;=N$2),G43-F43,AND(E43&lt;N$2,(D43+E43)&lt;N$2),G43,AND(E43&lt;N$2,(D43+E43)&gt;=N$2),H43,E43&gt;=7,0)</f>
        <v>5.62143598378986</v>
      </c>
      <c r="M43" s="1"/>
      <c r="N43" s="1"/>
      <c r="O43" s="1"/>
      <c r="Q43" s="2"/>
    </row>
    <row r="44" hidden="1" spans="3:17">
      <c r="C44" s="1" t="s">
        <v>52</v>
      </c>
      <c r="D44" s="1" t="s">
        <v>53</v>
      </c>
      <c r="E44" s="1" t="s">
        <v>54</v>
      </c>
      <c r="F44" s="1" t="s">
        <v>55</v>
      </c>
      <c r="G44" s="1" t="s">
        <v>56</v>
      </c>
      <c r="H44" s="1" t="s">
        <v>57</v>
      </c>
      <c r="I44" s="1" t="s">
        <v>60</v>
      </c>
      <c r="M44" s="1"/>
      <c r="N44" s="1"/>
      <c r="O44" s="1"/>
      <c r="Q44" s="2"/>
    </row>
    <row r="45" hidden="1" spans="3:17">
      <c r="C45" s="1">
        <f>(2*B36^2/(1-COS($I$7/180*PI())))^0.5</f>
        <v>1.47841166853412</v>
      </c>
      <c r="D45" s="1">
        <f>COS($I$7/2/180*PI())*C45</f>
        <v>1.17290283555709</v>
      </c>
      <c r="E45" s="1">
        <f>2*D45*$I$5/C45</f>
        <v>0.793353340291235</v>
      </c>
      <c r="F45" s="13">
        <f>($S$2-E45)*TAN($I$6/2/180*PI())*($S$2-E45)</f>
        <v>0.641054121623861</v>
      </c>
      <c r="G45" s="1">
        <f>B36*D45</f>
        <v>1.05561255200138</v>
      </c>
      <c r="H45" s="1">
        <f>($N$2-E45)*TAN($I$6/2/180*PI())*($N$2-E45)</f>
        <v>5.07157843537054</v>
      </c>
      <c r="I45" s="1">
        <f>_xlfn.IFS((D45+E45)&lt;S$2,0,AND(E45&lt;S$2,(D45+E45)&lt;N$2),H45-F45,AND(E45&lt;S$2,(D45+E45)&gt;=N$2),G45-F45,AND(E45&lt;N$2,(D45+E45)&lt;N$2),G45,AND(E45&lt;N$2,(D45+E45)&gt;=N$2),H45,E45&gt;=7,0)</f>
        <v>0</v>
      </c>
      <c r="M45" s="1"/>
      <c r="N45" s="1"/>
      <c r="O45" s="1"/>
      <c r="Q45" s="2"/>
    </row>
    <row r="46" hidden="1" spans="3:17">
      <c r="C46" s="1" t="s">
        <v>52</v>
      </c>
      <c r="D46" s="1" t="s">
        <v>53</v>
      </c>
      <c r="E46" s="1" t="s">
        <v>54</v>
      </c>
      <c r="F46" s="1" t="s">
        <v>55</v>
      </c>
      <c r="G46" s="1" t="s">
        <v>56</v>
      </c>
      <c r="H46" s="1" t="s">
        <v>57</v>
      </c>
      <c r="I46" s="1" t="s">
        <v>64</v>
      </c>
      <c r="M46" s="1"/>
      <c r="N46" s="1"/>
      <c r="O46" s="1"/>
      <c r="Q46" s="2"/>
    </row>
    <row r="47" hidden="1" spans="3:17">
      <c r="C47" s="1">
        <f>(2*B36^2/(1-COS($I$8/180*PI())))^0.5</f>
        <v>1.27279220613579</v>
      </c>
      <c r="D47" s="1">
        <f>COS($I$8/2/180*PI())*C47</f>
        <v>0.9</v>
      </c>
      <c r="E47" s="1">
        <f>2*D47*$I$5/C47</f>
        <v>0.707106781186548</v>
      </c>
      <c r="F47" s="13">
        <f>($S$2-E47)*TAN($I$8/2/180*PI())*($S$2-E47)</f>
        <v>5.25735931288071</v>
      </c>
      <c r="G47" s="1">
        <f>B36*D47</f>
        <v>0.81</v>
      </c>
      <c r="H47" s="1">
        <f>($N$2-E47)*TAN($I$8/2/180*PI())*($N$2-E47)</f>
        <v>39.6005050633883</v>
      </c>
      <c r="I47" s="1">
        <f>_xlfn.IFS((D47+E47)&lt;S$2,0,AND(E47&lt;S$2,(D47+E47)&lt;N$2),H47-F47,AND(E47&lt;S$2,(D47+E47)&gt;=N$2),G47-F47,AND(E47&lt;N$2,(D47+E47)&lt;N$2),G47,AND(E47&lt;N$2,(D47+E47)&gt;=N$2),H47,E47&gt;=7,0)</f>
        <v>0</v>
      </c>
      <c r="M47" s="1"/>
      <c r="N47" s="1"/>
      <c r="O47" s="1"/>
      <c r="Q47" s="2"/>
    </row>
    <row r="48" hidden="1" spans="3:16">
      <c r="C48" s="1" t="s">
        <v>67</v>
      </c>
      <c r="D48" s="1" t="s">
        <v>68</v>
      </c>
      <c r="E48" s="1" t="s">
        <v>69</v>
      </c>
      <c r="F48" s="14" t="s">
        <v>80</v>
      </c>
      <c r="G48" s="15" t="s">
        <v>82</v>
      </c>
      <c r="H48" s="2" t="s">
        <v>47</v>
      </c>
      <c r="I48" s="2" t="s">
        <v>72</v>
      </c>
      <c r="M48" s="1"/>
      <c r="N48" s="1"/>
      <c r="O48" s="1"/>
      <c r="P48" s="1"/>
    </row>
    <row r="49" hidden="1" spans="3:18">
      <c r="C49" s="1">
        <f>($I$5+B36*2)*($N$2-$S$2)</f>
        <v>9.2</v>
      </c>
      <c r="D49" s="1">
        <f>PI()*($N$5^2-$S$2^2)</f>
        <v>172.787595947439</v>
      </c>
      <c r="E49" s="11">
        <f>C49/D49</f>
        <v>0.0532445627798341</v>
      </c>
      <c r="F49" s="16">
        <f>SUM(I43,I45,I47,C49*6)/D49</f>
        <v>0.352001170282452</v>
      </c>
      <c r="G49" s="16">
        <f>E49*3</f>
        <v>0.159733688339502</v>
      </c>
      <c r="H49" s="2">
        <v>6</v>
      </c>
      <c r="I49" s="13">
        <f>(1-(1-E49)^((1+B37)*0.5))*3</f>
        <v>0.120615843356463</v>
      </c>
      <c r="M49" s="1"/>
      <c r="N49" s="26"/>
      <c r="O49" s="26"/>
      <c r="P49" s="26"/>
      <c r="Q49" s="26"/>
      <c r="R49" s="26"/>
    </row>
    <row r="50" spans="11:18">
      <c r="K50" s="1">
        <f>K56/K65</f>
        <v>0.573333333333333</v>
      </c>
      <c r="L50" s="2">
        <f>L56/L65</f>
        <v>0.814344352437592</v>
      </c>
      <c r="M50" s="1"/>
      <c r="Q50" s="2"/>
      <c r="R50" s="2"/>
    </row>
    <row r="51" spans="1:18">
      <c r="A51" s="1" t="s">
        <v>83</v>
      </c>
      <c r="B51" s="1" t="s">
        <v>84</v>
      </c>
      <c r="C51" s="1" t="s">
        <v>85</v>
      </c>
      <c r="D51" s="1" t="s">
        <v>86</v>
      </c>
      <c r="E51" s="1" t="s">
        <v>87</v>
      </c>
      <c r="F51" s="2" t="s">
        <v>88</v>
      </c>
      <c r="G51" s="2" t="s">
        <v>89</v>
      </c>
      <c r="H51" s="1" t="s">
        <v>90</v>
      </c>
      <c r="I51" s="1" t="s">
        <v>91</v>
      </c>
      <c r="J51" s="1" t="s">
        <v>92</v>
      </c>
      <c r="K51" s="1" t="s">
        <v>93</v>
      </c>
      <c r="L51" s="1" t="s">
        <v>94</v>
      </c>
      <c r="M51" s="1"/>
      <c r="Q51" s="2"/>
      <c r="R51" s="2"/>
    </row>
    <row r="52" spans="1:17">
      <c r="A52" s="1" t="s">
        <v>95</v>
      </c>
      <c r="B52" s="28">
        <v>3</v>
      </c>
      <c r="C52" s="28">
        <v>13</v>
      </c>
      <c r="D52" s="1">
        <f>B52*F52/$M$4*(ROUNDDOWN($Q$4/$M$4,0)/(ROUNDDOWN($Q$4/$M$4,0)+1))</f>
        <v>0</v>
      </c>
      <c r="E52" s="1">
        <f>C52*G52/$M$4*(1/(ROUNDDOWN($Q$4/$M$4,0)+1))</f>
        <v>0</v>
      </c>
      <c r="F52" s="29">
        <v>0</v>
      </c>
      <c r="G52" s="29">
        <v>0</v>
      </c>
      <c r="H52" s="31">
        <f t="shared" ref="H52:H66" si="6">E52+D52</f>
        <v>0</v>
      </c>
      <c r="I52" s="1">
        <v>1</v>
      </c>
      <c r="J52" s="1">
        <f t="shared" ref="J52:J66" si="7">H52*$U$21*I52</f>
        <v>0</v>
      </c>
      <c r="K52" s="1">
        <f t="shared" ref="K52:K66" si="8">H52*$E$13*$B$12/20</f>
        <v>0</v>
      </c>
      <c r="L52" s="1">
        <f t="shared" ref="L52:L66" si="9">MIN(H52*$E$29*12/20*(1+$B$29)^$F$27,6*(1+$B$29)^4/20/4)</f>
        <v>0</v>
      </c>
      <c r="M52" s="1"/>
      <c r="N52" s="1"/>
      <c r="O52" s="1"/>
      <c r="Q52" s="2"/>
    </row>
    <row r="53" spans="1:17">
      <c r="A53" s="1" t="s">
        <v>96</v>
      </c>
      <c r="B53" s="28">
        <v>3</v>
      </c>
      <c r="C53" s="28">
        <v>13</v>
      </c>
      <c r="D53" s="1">
        <f>B53*F53/$M$4*(ROUNDDOWN($Q$4/$M$4,0)/(ROUNDDOWN($Q$4/$M$4,0)+1))</f>
        <v>0.38961038961039</v>
      </c>
      <c r="E53" s="1">
        <f>C53*G53/$M$4*(1/(ROUNDDOWN($Q$4/$M$4,0)+1))</f>
        <v>0</v>
      </c>
      <c r="F53" s="29">
        <v>0.2</v>
      </c>
      <c r="G53" s="29">
        <v>0</v>
      </c>
      <c r="H53" s="31">
        <f t="shared" si="6"/>
        <v>0.38961038961039</v>
      </c>
      <c r="I53" s="1">
        <f t="shared" ref="I53:I66" si="10">$I$52</f>
        <v>1</v>
      </c>
      <c r="J53" s="1">
        <f t="shared" si="7"/>
        <v>3.96342857142857</v>
      </c>
      <c r="K53" s="1">
        <f t="shared" si="8"/>
        <v>0.454441558441558</v>
      </c>
      <c r="L53" s="1">
        <f t="shared" si="9"/>
        <v>0.215718398592662</v>
      </c>
      <c r="M53" s="1"/>
      <c r="N53" s="1"/>
      <c r="O53" s="1"/>
      <c r="Q53" s="2"/>
    </row>
    <row r="54" spans="1:17">
      <c r="A54" s="1" t="s">
        <v>97</v>
      </c>
      <c r="B54" s="28">
        <v>3</v>
      </c>
      <c r="C54" s="28">
        <v>13</v>
      </c>
      <c r="D54" s="1">
        <f>B54*F54/$M$4*(ROUNDDOWN($Q$4/$M$4,0)/(ROUNDDOWN($Q$4/$M$4,0)+1))</f>
        <v>0.38961038961039</v>
      </c>
      <c r="E54" s="1">
        <f>C54*G54/$M$4*(1/(ROUNDDOWN($Q$4/$M$4,0)+1))</f>
        <v>0</v>
      </c>
      <c r="F54" s="29">
        <v>0.2</v>
      </c>
      <c r="G54" s="29">
        <v>0</v>
      </c>
      <c r="H54" s="31">
        <f t="shared" si="6"/>
        <v>0.38961038961039</v>
      </c>
      <c r="I54" s="1">
        <f t="shared" si="10"/>
        <v>1</v>
      </c>
      <c r="J54" s="1">
        <f t="shared" si="7"/>
        <v>3.96342857142857</v>
      </c>
      <c r="K54" s="1">
        <f t="shared" si="8"/>
        <v>0.454441558441558</v>
      </c>
      <c r="L54" s="1">
        <f t="shared" si="9"/>
        <v>0.215718398592662</v>
      </c>
      <c r="M54" s="1"/>
      <c r="N54" s="1"/>
      <c r="O54" s="1"/>
      <c r="Q54" s="2"/>
    </row>
    <row r="55" spans="1:18">
      <c r="A55" s="1" t="s">
        <v>98</v>
      </c>
      <c r="B55" s="28">
        <v>3</v>
      </c>
      <c r="C55" s="28">
        <v>13</v>
      </c>
      <c r="D55" s="1">
        <f>B55*F55/$M$4*(ROUNDDOWN($Q$4/$M$4,0)/(ROUNDDOWN($Q$4/$M$4,0)+1))</f>
        <v>0.38961038961039</v>
      </c>
      <c r="E55" s="1">
        <f>C55*G55/$M$4*(1/(ROUNDDOWN($Q$4/$M$4,0)+1))</f>
        <v>0.168831168831169</v>
      </c>
      <c r="F55" s="29">
        <v>0.2</v>
      </c>
      <c r="G55" s="29">
        <v>0.2</v>
      </c>
      <c r="H55" s="31">
        <f t="shared" si="6"/>
        <v>0.558441558441559</v>
      </c>
      <c r="I55" s="1">
        <f t="shared" si="10"/>
        <v>1</v>
      </c>
      <c r="J55" s="1">
        <f t="shared" si="7"/>
        <v>5.68091428571429</v>
      </c>
      <c r="K55" s="1">
        <f t="shared" si="8"/>
        <v>0.651366233766233</v>
      </c>
      <c r="L55" s="1">
        <f t="shared" si="9"/>
        <v>0.309196371316148</v>
      </c>
      <c r="M55" s="1"/>
      <c r="Q55" s="2"/>
      <c r="R55" s="2"/>
    </row>
    <row r="56" spans="1:22">
      <c r="A56" s="1" t="s">
        <v>99</v>
      </c>
      <c r="B56" s="28">
        <v>3</v>
      </c>
      <c r="C56" s="28">
        <v>13</v>
      </c>
      <c r="D56" s="1">
        <f>B56*F56/$M$4*(ROUNDDOWN($Q$4/$M$4,0)/(ROUNDDOWN($Q$4/$M$4,0)+1))</f>
        <v>0.38961038961039</v>
      </c>
      <c r="E56" s="1">
        <f>C56*G56/$M$4*(1/(ROUNDDOWN($Q$4/$M$4,0)+1))</f>
        <v>0.168831168831169</v>
      </c>
      <c r="F56" s="29">
        <v>0.2</v>
      </c>
      <c r="G56" s="29">
        <v>0.2</v>
      </c>
      <c r="H56" s="31">
        <f t="shared" si="6"/>
        <v>0.558441558441559</v>
      </c>
      <c r="I56" s="1">
        <f t="shared" si="10"/>
        <v>1</v>
      </c>
      <c r="J56" s="1">
        <f t="shared" si="7"/>
        <v>5.68091428571429</v>
      </c>
      <c r="K56" s="1">
        <f t="shared" si="8"/>
        <v>0.651366233766233</v>
      </c>
      <c r="L56" s="1">
        <f t="shared" si="9"/>
        <v>0.309196371316148</v>
      </c>
      <c r="O56" s="1"/>
      <c r="Q56" s="2"/>
      <c r="R56" s="2"/>
      <c r="S56" s="2"/>
      <c r="T56" s="2"/>
      <c r="U56" s="2"/>
      <c r="V56" s="2"/>
    </row>
    <row r="57" spans="1:20">
      <c r="A57" s="1" t="s">
        <v>100</v>
      </c>
      <c r="B57" s="28">
        <v>3</v>
      </c>
      <c r="C57" s="28">
        <v>13</v>
      </c>
      <c r="D57" s="1">
        <f>B57*F57/$M$4*(ROUNDDOWN($Q$4/$M$4,0)/(ROUNDDOWN($Q$4/$M$4,0)+1))</f>
        <v>0.38961038961039</v>
      </c>
      <c r="E57" s="1">
        <f>C57*G57/$M$4*(1/(ROUNDDOWN($Q$4/$M$4,0)+1))</f>
        <v>0.168831168831169</v>
      </c>
      <c r="F57" s="29">
        <v>0.2</v>
      </c>
      <c r="G57" s="29">
        <v>0.2</v>
      </c>
      <c r="H57" s="31">
        <f t="shared" si="6"/>
        <v>0.558441558441559</v>
      </c>
      <c r="I57" s="1">
        <f t="shared" si="10"/>
        <v>1</v>
      </c>
      <c r="J57" s="1">
        <f t="shared" si="7"/>
        <v>5.68091428571429</v>
      </c>
      <c r="K57" s="1">
        <f t="shared" si="8"/>
        <v>0.651366233766233</v>
      </c>
      <c r="L57" s="1">
        <f t="shared" si="9"/>
        <v>0.309196371316148</v>
      </c>
      <c r="O57" s="1"/>
      <c r="Q57" s="2"/>
      <c r="R57" s="2"/>
      <c r="S57" s="2"/>
      <c r="T57" s="2"/>
    </row>
    <row r="58" spans="1:20">
      <c r="A58" s="1" t="s">
        <v>101</v>
      </c>
      <c r="B58" s="28">
        <v>3</v>
      </c>
      <c r="C58" s="28">
        <v>26</v>
      </c>
      <c r="D58" s="1">
        <f>B58*F58/$M$4*(ROUNDDOWN($Q$4/$M$4,0)/(ROUNDDOWN($Q$4/$M$4,0)+1))</f>
        <v>0.38961038961039</v>
      </c>
      <c r="E58" s="1">
        <f>C58*G58/$M$4*(1/(ROUNDDOWN($Q$4/$M$4,0)+1))</f>
        <v>0.337662337662338</v>
      </c>
      <c r="F58" s="29">
        <v>0.2</v>
      </c>
      <c r="G58" s="29">
        <v>0.2</v>
      </c>
      <c r="H58" s="31">
        <f t="shared" si="6"/>
        <v>0.727272727272727</v>
      </c>
      <c r="I58" s="1">
        <f t="shared" si="10"/>
        <v>1</v>
      </c>
      <c r="J58" s="1">
        <f t="shared" si="7"/>
        <v>7.3984</v>
      </c>
      <c r="K58" s="1">
        <f t="shared" si="8"/>
        <v>0.848290909090908</v>
      </c>
      <c r="L58" s="1">
        <f t="shared" si="9"/>
        <v>0.3796875</v>
      </c>
      <c r="O58" s="1"/>
      <c r="Q58" s="2"/>
      <c r="R58" s="2"/>
      <c r="S58" s="2"/>
      <c r="T58" s="2"/>
    </row>
    <row r="59" spans="1:20">
      <c r="A59" s="1" t="s">
        <v>102</v>
      </c>
      <c r="B59" s="28">
        <v>3</v>
      </c>
      <c r="C59" s="28">
        <v>26</v>
      </c>
      <c r="D59" s="1">
        <f>B59*F59/$M$4*(ROUNDDOWN($Q$4/$M$4,0)/(ROUNDDOWN($Q$4/$M$4,0)+1))</f>
        <v>0.487012987012987</v>
      </c>
      <c r="E59" s="1">
        <f>C59*G59/$M$4*(1/(ROUNDDOWN($Q$4/$M$4,0)+1))</f>
        <v>0.422077922077922</v>
      </c>
      <c r="F59" s="29">
        <v>0.25</v>
      </c>
      <c r="G59" s="29">
        <v>0.25</v>
      </c>
      <c r="H59" s="31">
        <f t="shared" si="6"/>
        <v>0.909090909090909</v>
      </c>
      <c r="I59" s="1">
        <f t="shared" si="10"/>
        <v>1</v>
      </c>
      <c r="J59" s="1">
        <f t="shared" si="7"/>
        <v>9.248</v>
      </c>
      <c r="K59" s="1">
        <f t="shared" si="8"/>
        <v>1.06036363636364</v>
      </c>
      <c r="L59" s="1">
        <f t="shared" si="9"/>
        <v>0.3796875</v>
      </c>
      <c r="O59" s="1"/>
      <c r="Q59" s="2"/>
      <c r="R59" s="2"/>
      <c r="S59" s="2"/>
      <c r="T59" s="2"/>
    </row>
    <row r="60" spans="1:20">
      <c r="A60" s="1" t="s">
        <v>103</v>
      </c>
      <c r="B60" s="28">
        <v>3</v>
      </c>
      <c r="C60" s="28">
        <v>26</v>
      </c>
      <c r="D60" s="1">
        <f>B60*F60/$M$4*(ROUNDDOWN($Q$4/$M$4,0)/(ROUNDDOWN($Q$4/$M$4,0)+1))</f>
        <v>0.487012987012987</v>
      </c>
      <c r="E60" s="1">
        <f>C60*G60/$M$4*(1/(ROUNDDOWN($Q$4/$M$4,0)+1))</f>
        <v>0.422077922077922</v>
      </c>
      <c r="F60" s="29">
        <v>0.25</v>
      </c>
      <c r="G60" s="29">
        <v>0.25</v>
      </c>
      <c r="H60" s="31">
        <f t="shared" si="6"/>
        <v>0.909090909090909</v>
      </c>
      <c r="I60" s="1">
        <f t="shared" si="10"/>
        <v>1</v>
      </c>
      <c r="J60" s="1">
        <f t="shared" si="7"/>
        <v>9.248</v>
      </c>
      <c r="K60" s="1">
        <f t="shared" si="8"/>
        <v>1.06036363636364</v>
      </c>
      <c r="L60" s="1">
        <f t="shared" si="9"/>
        <v>0.3796875</v>
      </c>
      <c r="O60" s="1"/>
      <c r="Q60" s="2"/>
      <c r="R60" s="2"/>
      <c r="S60" s="2"/>
      <c r="T60" s="2"/>
    </row>
    <row r="61" spans="1:20">
      <c r="A61" s="1" t="s">
        <v>104</v>
      </c>
      <c r="B61" s="28">
        <v>3</v>
      </c>
      <c r="C61" s="28">
        <v>30</v>
      </c>
      <c r="D61" s="1">
        <f>B61*F61/$M$4*(ROUNDDOWN($Q$4/$M$4,0)/(ROUNDDOWN($Q$4/$M$4,0)+1))</f>
        <v>0.487012987012987</v>
      </c>
      <c r="E61" s="1">
        <f>C61*G61/$M$4*(1/(ROUNDDOWN($Q$4/$M$4,0)+1))</f>
        <v>0.487012987012987</v>
      </c>
      <c r="F61" s="29">
        <v>0.25</v>
      </c>
      <c r="G61" s="29">
        <v>0.25</v>
      </c>
      <c r="H61" s="31">
        <f t="shared" si="6"/>
        <v>0.974025974025974</v>
      </c>
      <c r="I61" s="1">
        <f t="shared" si="10"/>
        <v>1</v>
      </c>
      <c r="J61" s="1">
        <f t="shared" si="7"/>
        <v>9.90857142857143</v>
      </c>
      <c r="K61" s="1">
        <f t="shared" si="8"/>
        <v>1.13610389610389</v>
      </c>
      <c r="L61" s="1">
        <f t="shared" si="9"/>
        <v>0.3796875</v>
      </c>
      <c r="O61" s="1"/>
      <c r="Q61" s="2"/>
      <c r="R61" s="2"/>
      <c r="S61" s="2"/>
      <c r="T61" s="2"/>
    </row>
    <row r="62" spans="1:20">
      <c r="A62" s="1" t="s">
        <v>105</v>
      </c>
      <c r="B62" s="28">
        <v>3</v>
      </c>
      <c r="C62" s="28">
        <v>30</v>
      </c>
      <c r="D62" s="1">
        <f>B62*F62/$M$4*(ROUNDDOWN($Q$4/$M$4,0)/(ROUNDDOWN($Q$4/$M$4,0)+1))</f>
        <v>0.487012987012987</v>
      </c>
      <c r="E62" s="1">
        <f>C62*G62/$M$4*(1/(ROUNDDOWN($Q$4/$M$4,0)+1))</f>
        <v>0.487012987012987</v>
      </c>
      <c r="F62" s="29">
        <v>0.25</v>
      </c>
      <c r="G62" s="29">
        <v>0.25</v>
      </c>
      <c r="H62" s="31">
        <f t="shared" si="6"/>
        <v>0.974025974025974</v>
      </c>
      <c r="I62" s="1">
        <f t="shared" si="10"/>
        <v>1</v>
      </c>
      <c r="J62" s="1">
        <f t="shared" si="7"/>
        <v>9.90857142857143</v>
      </c>
      <c r="K62" s="1">
        <f t="shared" si="8"/>
        <v>1.13610389610389</v>
      </c>
      <c r="L62" s="1">
        <f t="shared" si="9"/>
        <v>0.3796875</v>
      </c>
      <c r="O62" s="1"/>
      <c r="Q62" s="2"/>
      <c r="R62" s="2"/>
      <c r="S62" s="2"/>
      <c r="T62" s="2"/>
    </row>
    <row r="63" spans="1:20">
      <c r="A63" s="1" t="s">
        <v>106</v>
      </c>
      <c r="B63" s="28">
        <v>3</v>
      </c>
      <c r="C63" s="28">
        <v>30</v>
      </c>
      <c r="D63" s="1">
        <f>B63*F63/$M$4*(ROUNDDOWN($Q$4/$M$4,0)/(ROUNDDOWN($Q$4/$M$4,0)+1))</f>
        <v>0.487012987012987</v>
      </c>
      <c r="E63" s="1">
        <f>C63*G63/$M$4*(1/(ROUNDDOWN($Q$4/$M$4,0)+1))</f>
        <v>0.487012987012987</v>
      </c>
      <c r="F63" s="29">
        <v>0.25</v>
      </c>
      <c r="G63" s="29">
        <v>0.25</v>
      </c>
      <c r="H63" s="31">
        <f t="shared" si="6"/>
        <v>0.974025974025974</v>
      </c>
      <c r="I63" s="1">
        <f t="shared" si="10"/>
        <v>1</v>
      </c>
      <c r="J63" s="1">
        <f t="shared" si="7"/>
        <v>9.90857142857143</v>
      </c>
      <c r="K63" s="1">
        <f t="shared" si="8"/>
        <v>1.13610389610389</v>
      </c>
      <c r="L63" s="1">
        <f t="shared" si="9"/>
        <v>0.3796875</v>
      </c>
      <c r="O63" s="1"/>
      <c r="Q63" s="2"/>
      <c r="R63" s="2"/>
      <c r="S63" s="2"/>
      <c r="T63" s="2"/>
    </row>
    <row r="64" spans="1:20">
      <c r="A64" s="1" t="s">
        <v>107</v>
      </c>
      <c r="B64" s="28">
        <v>3</v>
      </c>
      <c r="C64" s="28">
        <v>30</v>
      </c>
      <c r="D64" s="1">
        <f>B64*F64/$M$4*(ROUNDDOWN($Q$4/$M$4,0)/(ROUNDDOWN($Q$4/$M$4,0)+1))</f>
        <v>0.487012987012987</v>
      </c>
      <c r="E64" s="1">
        <f>C64*G64/$M$4*(1/(ROUNDDOWN($Q$4/$M$4,0)+1))</f>
        <v>0.487012987012987</v>
      </c>
      <c r="F64" s="29">
        <v>0.25</v>
      </c>
      <c r="G64" s="29">
        <v>0.25</v>
      </c>
      <c r="H64" s="31">
        <f t="shared" si="6"/>
        <v>0.974025974025974</v>
      </c>
      <c r="I64" s="1">
        <f t="shared" si="10"/>
        <v>1</v>
      </c>
      <c r="J64" s="1">
        <f t="shared" si="7"/>
        <v>9.90857142857143</v>
      </c>
      <c r="K64" s="1">
        <f t="shared" si="8"/>
        <v>1.13610389610389</v>
      </c>
      <c r="L64" s="1">
        <f t="shared" si="9"/>
        <v>0.3796875</v>
      </c>
      <c r="O64" s="1"/>
      <c r="Q64" s="2"/>
      <c r="R64" s="2"/>
      <c r="S64" s="2"/>
      <c r="T64" s="2"/>
    </row>
    <row r="65" spans="1:20">
      <c r="A65" s="1" t="s">
        <v>108</v>
      </c>
      <c r="B65" s="28">
        <v>3</v>
      </c>
      <c r="C65" s="28">
        <v>30</v>
      </c>
      <c r="D65" s="1">
        <f>B65*F65/$M$4*(ROUNDDOWN($Q$4/$M$4,0)/(ROUNDDOWN($Q$4/$M$4,0)+1))</f>
        <v>0.487012987012987</v>
      </c>
      <c r="E65" s="1">
        <f>C65*G65/$M$4*(1/(ROUNDDOWN($Q$4/$M$4,0)+1))</f>
        <v>0.487012987012987</v>
      </c>
      <c r="F65" s="29">
        <v>0.25</v>
      </c>
      <c r="G65" s="29">
        <v>0.25</v>
      </c>
      <c r="H65" s="31">
        <f t="shared" si="6"/>
        <v>0.974025974025974</v>
      </c>
      <c r="I65" s="1">
        <f t="shared" si="10"/>
        <v>1</v>
      </c>
      <c r="J65" s="1">
        <f t="shared" si="7"/>
        <v>9.90857142857143</v>
      </c>
      <c r="K65" s="1">
        <f t="shared" si="8"/>
        <v>1.13610389610389</v>
      </c>
      <c r="L65" s="1">
        <f t="shared" si="9"/>
        <v>0.3796875</v>
      </c>
      <c r="O65" s="1"/>
      <c r="Q65" s="2"/>
      <c r="R65" s="2"/>
      <c r="S65" s="2"/>
      <c r="T65" s="2"/>
    </row>
    <row r="66" spans="1:20">
      <c r="A66" s="1" t="s">
        <v>109</v>
      </c>
      <c r="B66" s="28">
        <v>3</v>
      </c>
      <c r="C66" s="28">
        <v>30</v>
      </c>
      <c r="D66" s="1">
        <f>B66*F66/$M$4*(ROUNDDOWN($Q$4/$M$4,0)/(ROUNDDOWN($Q$4/$M$4,0)+1))</f>
        <v>0.487012987012987</v>
      </c>
      <c r="E66" s="1">
        <f>C66*G66/$M$4*(1/(ROUNDDOWN($Q$4/$M$4,0)+1))</f>
        <v>0.487012987012987</v>
      </c>
      <c r="F66" s="29">
        <v>0.25</v>
      </c>
      <c r="G66" s="29">
        <v>0.25</v>
      </c>
      <c r="H66" s="31">
        <f t="shared" si="6"/>
        <v>0.974025974025974</v>
      </c>
      <c r="I66" s="1">
        <f t="shared" si="10"/>
        <v>1</v>
      </c>
      <c r="J66" s="1">
        <f t="shared" si="7"/>
        <v>9.90857142857143</v>
      </c>
      <c r="K66" s="1">
        <f t="shared" si="8"/>
        <v>1.13610389610389</v>
      </c>
      <c r="L66" s="1">
        <f t="shared" si="9"/>
        <v>0.3796875</v>
      </c>
      <c r="O66" s="1"/>
      <c r="Q66" s="2"/>
      <c r="R66" s="2"/>
      <c r="S66" s="2"/>
      <c r="T66" s="2"/>
    </row>
    <row r="67" hidden="1" spans="12:20">
      <c r="L67" s="2">
        <f>L73/L82</f>
        <v>0.554822565969062</v>
      </c>
      <c r="M67" s="2">
        <f>M73/M83</f>
        <v>0.802605527999914</v>
      </c>
      <c r="O67" s="1"/>
      <c r="Q67" s="2"/>
      <c r="R67" s="2"/>
      <c r="S67" s="2"/>
      <c r="T67" s="2"/>
    </row>
    <row r="68" hidden="1" spans="1:20">
      <c r="A68" s="1" t="s">
        <v>65</v>
      </c>
      <c r="B68" s="1" t="s">
        <v>110</v>
      </c>
      <c r="C68" s="1" t="s">
        <v>85</v>
      </c>
      <c r="D68" s="1" t="s">
        <v>86</v>
      </c>
      <c r="E68" s="1" t="s">
        <v>87</v>
      </c>
      <c r="F68" s="2" t="s">
        <v>88</v>
      </c>
      <c r="G68" s="2" t="s">
        <v>89</v>
      </c>
      <c r="H68" s="1" t="s">
        <v>111</v>
      </c>
      <c r="I68" s="1" t="s">
        <v>112</v>
      </c>
      <c r="J68" s="1" t="s">
        <v>91</v>
      </c>
      <c r="K68" s="1" t="s">
        <v>92</v>
      </c>
      <c r="L68" s="1" t="s">
        <v>93</v>
      </c>
      <c r="M68" s="1" t="s">
        <v>94</v>
      </c>
      <c r="O68" s="1"/>
      <c r="Q68" s="2"/>
      <c r="R68" s="2"/>
      <c r="S68" s="2"/>
      <c r="T68" s="2"/>
    </row>
    <row r="69" hidden="1" spans="1:20">
      <c r="A69" s="1" t="s">
        <v>113</v>
      </c>
      <c r="B69" s="1">
        <v>3</v>
      </c>
      <c r="C69" s="1">
        <v>12</v>
      </c>
      <c r="D69" s="20">
        <f>(B69*F69/$M$3*(ROUNDDOWN($Q$3/$M$3,0)/(ROUNDDOWN($Q$3/$M$3,0)+1)))</f>
        <v>0</v>
      </c>
      <c r="E69" s="20">
        <f>C69*G69/$M$4*(1/(ROUNDDOWN($Q$4/$M$4,0)+1))</f>
        <v>0</v>
      </c>
      <c r="F69" s="19">
        <v>0</v>
      </c>
      <c r="G69" s="19">
        <v>0</v>
      </c>
      <c r="H69" s="1" t="e">
        <f t="shared" ref="H69:H83" si="11">H52/SUM(D69,E69)</f>
        <v>#DIV/0!</v>
      </c>
      <c r="I69" s="1" t="e">
        <f t="shared" ref="I69:I83" si="12">H69/$V$24</f>
        <v>#DIV/0!</v>
      </c>
      <c r="J69" s="1">
        <v>1.25</v>
      </c>
      <c r="K69" s="1">
        <f t="shared" ref="K69:K83" si="13">SUM(D69,E69)*$U$24*J69</f>
        <v>0</v>
      </c>
      <c r="L69" s="1">
        <f t="shared" ref="L69:L83" si="14">SUM(D69,E69)*$E$17*$B$16/20</f>
        <v>0</v>
      </c>
      <c r="M69" s="1">
        <f t="shared" ref="M69:M83" si="15">MIN(SUM(D69:E69)*$E$33*12/20*(1+$B$33)^$F$31,6*(1+$B$33)^4/20/4)</f>
        <v>0</v>
      </c>
      <c r="O69" s="1"/>
      <c r="Q69" s="2"/>
      <c r="R69" s="2"/>
      <c r="S69" s="2"/>
      <c r="T69" s="2"/>
    </row>
    <row r="70" hidden="1" spans="1:20">
      <c r="A70" s="21" t="s">
        <v>114</v>
      </c>
      <c r="B70" s="1">
        <v>3</v>
      </c>
      <c r="C70" s="1">
        <v>12</v>
      </c>
      <c r="D70" s="20">
        <f>(B70*F70/$M$3*(ROUNDDOWN($Q$3/$M$3,0)/(ROUNDDOWN($Q$3/$M$3,0)+1)))</f>
        <v>0.261160714285714</v>
      </c>
      <c r="E70" s="20">
        <f>C70*G70/$M$4*(1/(ROUNDDOWN($Q$4/$M$4,0)+1))</f>
        <v>0</v>
      </c>
      <c r="F70" s="19">
        <v>0.15</v>
      </c>
      <c r="G70" s="19">
        <v>0</v>
      </c>
      <c r="H70" s="1">
        <f t="shared" si="11"/>
        <v>1.49184149184149</v>
      </c>
      <c r="I70" s="1">
        <f t="shared" si="12"/>
        <v>1.69309142543114</v>
      </c>
      <c r="J70" s="1">
        <f t="shared" ref="J70:J83" si="16">$J$69</f>
        <v>1.25</v>
      </c>
      <c r="K70" s="1">
        <f t="shared" si="13"/>
        <v>2.9261773108467</v>
      </c>
      <c r="L70" s="1">
        <f t="shared" si="14"/>
        <v>0.229238144232303</v>
      </c>
      <c r="M70" s="1">
        <f t="shared" si="15"/>
        <v>0.160803387295139</v>
      </c>
      <c r="O70" s="1"/>
      <c r="Q70" s="2"/>
      <c r="R70" s="2"/>
      <c r="S70" s="2"/>
      <c r="T70" s="2"/>
    </row>
    <row r="71" hidden="1" spans="1:20">
      <c r="A71" s="1" t="s">
        <v>115</v>
      </c>
      <c r="B71" s="1">
        <v>3</v>
      </c>
      <c r="C71" s="1">
        <v>12</v>
      </c>
      <c r="D71" s="20">
        <f>(B71*F71/$M$3*(ROUNDDOWN($Q$3/$M$3,0)/(ROUNDDOWN($Q$3/$M$3,0)+1)))</f>
        <v>0.261160714285714</v>
      </c>
      <c r="E71" s="20">
        <f>C71*G71/$M$4*(1/(ROUNDDOWN($Q$4/$M$4,0)+1))</f>
        <v>0</v>
      </c>
      <c r="F71" s="19">
        <v>0.15</v>
      </c>
      <c r="G71" s="19">
        <v>0</v>
      </c>
      <c r="H71" s="1">
        <f t="shared" si="11"/>
        <v>1.49184149184149</v>
      </c>
      <c r="I71" s="1">
        <f t="shared" si="12"/>
        <v>1.69309142543114</v>
      </c>
      <c r="J71" s="1">
        <f t="shared" si="16"/>
        <v>1.25</v>
      </c>
      <c r="K71" s="1">
        <f t="shared" si="13"/>
        <v>2.9261773108467</v>
      </c>
      <c r="L71" s="1">
        <f t="shared" si="14"/>
        <v>0.229238144232303</v>
      </c>
      <c r="M71" s="1">
        <f t="shared" si="15"/>
        <v>0.160803387295139</v>
      </c>
      <c r="O71" s="1"/>
      <c r="Q71" s="2"/>
      <c r="R71" s="2"/>
      <c r="S71" s="2"/>
      <c r="T71" s="2"/>
    </row>
    <row r="72" hidden="1" spans="1:20">
      <c r="A72" s="21" t="s">
        <v>116</v>
      </c>
      <c r="B72" s="1">
        <v>3</v>
      </c>
      <c r="C72" s="1">
        <v>12</v>
      </c>
      <c r="D72" s="20">
        <f>(B72*F72/$M$3*(ROUNDDOWN($Q$3/$M$3,0)/(ROUNDDOWN($Q$3/$M$3,0)+1)))</f>
        <v>0.261160714285714</v>
      </c>
      <c r="E72" s="20">
        <f>C72*G72/$M$4*(1/(ROUNDDOWN($Q$4/$M$4,0)+1))</f>
        <v>0.233766233766234</v>
      </c>
      <c r="F72" s="19">
        <v>0.15</v>
      </c>
      <c r="G72" s="19">
        <v>0.3</v>
      </c>
      <c r="H72" s="1">
        <f t="shared" si="11"/>
        <v>1.12833128331283</v>
      </c>
      <c r="I72" s="1">
        <f t="shared" si="12"/>
        <v>1.2805435639577</v>
      </c>
      <c r="J72" s="1">
        <f t="shared" si="16"/>
        <v>1.25</v>
      </c>
      <c r="K72" s="1">
        <f t="shared" si="13"/>
        <v>5.54541294573047</v>
      </c>
      <c r="L72" s="1">
        <f t="shared" si="14"/>
        <v>0.434430329279399</v>
      </c>
      <c r="M72" s="1">
        <f t="shared" si="15"/>
        <v>0.304739286412467</v>
      </c>
      <c r="O72" s="1"/>
      <c r="Q72" s="2"/>
      <c r="R72" s="2"/>
      <c r="S72" s="2"/>
      <c r="T72" s="2"/>
    </row>
    <row r="73" hidden="1" spans="1:22">
      <c r="A73" s="1" t="s">
        <v>117</v>
      </c>
      <c r="B73" s="1">
        <v>3</v>
      </c>
      <c r="C73" s="1">
        <v>12</v>
      </c>
      <c r="D73" s="20">
        <f>(B73*F73/$M$3*(ROUNDDOWN($Q$3/$M$3,0)/(ROUNDDOWN($Q$3/$M$3,0)+1)))</f>
        <v>0.261160714285714</v>
      </c>
      <c r="E73" s="20">
        <f>C73*G73/$M$4*(1/(ROUNDDOWN($Q$4/$M$4,0)+1))</f>
        <v>0.233766233766234</v>
      </c>
      <c r="F73" s="19">
        <v>0.15</v>
      </c>
      <c r="G73" s="19">
        <v>0.3</v>
      </c>
      <c r="H73" s="1">
        <f t="shared" si="11"/>
        <v>1.12833128331283</v>
      </c>
      <c r="I73" s="1">
        <f t="shared" si="12"/>
        <v>1.2805435639577</v>
      </c>
      <c r="J73" s="1">
        <f t="shared" si="16"/>
        <v>1.25</v>
      </c>
      <c r="K73" s="1">
        <f t="shared" si="13"/>
        <v>5.54541294573047</v>
      </c>
      <c r="L73" s="1">
        <f t="shared" si="14"/>
        <v>0.434430329279399</v>
      </c>
      <c r="M73" s="1">
        <f t="shared" si="15"/>
        <v>0.304739286412467</v>
      </c>
      <c r="Q73" s="2"/>
      <c r="R73" s="2"/>
      <c r="S73" s="30"/>
      <c r="T73" s="2"/>
      <c r="V73" s="2"/>
    </row>
    <row r="74" hidden="1" spans="1:22">
      <c r="A74" s="1" t="s">
        <v>118</v>
      </c>
      <c r="B74" s="1">
        <v>3</v>
      </c>
      <c r="C74" s="1">
        <v>12</v>
      </c>
      <c r="D74" s="20">
        <f>(B74*F74/$M$3*(ROUNDDOWN($Q$3/$M$3,0)/(ROUNDDOWN($Q$3/$M$3,0)+1)))</f>
        <v>0.261160714285714</v>
      </c>
      <c r="E74" s="20">
        <f>C74*G74/$M$4*(1/(ROUNDDOWN($Q$4/$M$4,0)+1))</f>
        <v>0.233766233766234</v>
      </c>
      <c r="F74" s="19">
        <v>0.15</v>
      </c>
      <c r="G74" s="19">
        <v>0.3</v>
      </c>
      <c r="H74" s="1">
        <f t="shared" si="11"/>
        <v>1.12833128331283</v>
      </c>
      <c r="I74" s="1">
        <f t="shared" si="12"/>
        <v>1.2805435639577</v>
      </c>
      <c r="J74" s="1">
        <f t="shared" si="16"/>
        <v>1.25</v>
      </c>
      <c r="K74" s="1">
        <f t="shared" si="13"/>
        <v>5.54541294573047</v>
      </c>
      <c r="L74" s="1">
        <f t="shared" si="14"/>
        <v>0.434430329279399</v>
      </c>
      <c r="M74" s="1">
        <f t="shared" si="15"/>
        <v>0.304739286412467</v>
      </c>
      <c r="O74" s="1"/>
      <c r="Q74" s="2"/>
      <c r="R74" s="2"/>
      <c r="S74" s="2"/>
      <c r="T74" s="2"/>
      <c r="U74" s="2"/>
      <c r="V74" s="2"/>
    </row>
    <row r="75" hidden="1" spans="1:22">
      <c r="A75" s="21" t="s">
        <v>119</v>
      </c>
      <c r="B75" s="1">
        <v>4</v>
      </c>
      <c r="C75" s="1">
        <v>12</v>
      </c>
      <c r="D75" s="20">
        <f>(B75*F75/$M$3*(ROUNDDOWN($Q$3/$M$3,0)/(ROUNDDOWN($Q$3/$M$3,0)+1)))</f>
        <v>0.348214285714286</v>
      </c>
      <c r="E75" s="20">
        <f>C75*G75/$M$4*(1/(ROUNDDOWN($Q$4/$M$4,0)+1))</f>
        <v>0.233766233766234</v>
      </c>
      <c r="F75" s="19">
        <v>0.15</v>
      </c>
      <c r="G75" s="19">
        <v>0.3</v>
      </c>
      <c r="H75" s="1">
        <f t="shared" si="11"/>
        <v>1.24965132496513</v>
      </c>
      <c r="I75" s="1">
        <f t="shared" si="12"/>
        <v>1.41822972121889</v>
      </c>
      <c r="J75" s="1">
        <f t="shared" si="16"/>
        <v>1.25</v>
      </c>
      <c r="K75" s="1">
        <f t="shared" si="13"/>
        <v>6.52080538267938</v>
      </c>
      <c r="L75" s="1">
        <f t="shared" si="14"/>
        <v>0.5108430440235</v>
      </c>
      <c r="M75" s="1">
        <f t="shared" si="15"/>
        <v>0.358340415510847</v>
      </c>
      <c r="O75" s="1"/>
      <c r="Q75" s="2"/>
      <c r="R75" s="2"/>
      <c r="S75" s="2"/>
      <c r="T75" s="2"/>
      <c r="V75" s="2"/>
    </row>
    <row r="76" hidden="1" spans="1:22">
      <c r="A76" s="21" t="s">
        <v>120</v>
      </c>
      <c r="B76" s="1">
        <v>4</v>
      </c>
      <c r="C76" s="1">
        <v>12</v>
      </c>
      <c r="D76" s="20">
        <f>(B76*F76/$M$3*(ROUNDDOWN($Q$3/$M$3,0)/(ROUNDDOWN($Q$3/$M$3,0)+1)))</f>
        <v>0.464285714285714</v>
      </c>
      <c r="E76" s="20">
        <f>C76*G76/$M$4*(1/(ROUNDDOWN($Q$4/$M$4,0)+1))</f>
        <v>0.311688311688312</v>
      </c>
      <c r="F76" s="19">
        <v>0.2</v>
      </c>
      <c r="G76" s="19">
        <v>0.4</v>
      </c>
      <c r="H76" s="1">
        <f t="shared" si="11"/>
        <v>1.17154811715481</v>
      </c>
      <c r="I76" s="1">
        <f t="shared" si="12"/>
        <v>1.32959036364271</v>
      </c>
      <c r="J76" s="1">
        <f t="shared" si="16"/>
        <v>1.25</v>
      </c>
      <c r="K76" s="1">
        <f t="shared" si="13"/>
        <v>8.69440717690583</v>
      </c>
      <c r="L76" s="1">
        <f t="shared" si="14"/>
        <v>0.681124058698</v>
      </c>
      <c r="M76" s="1">
        <f t="shared" si="15"/>
        <v>0.3796875</v>
      </c>
      <c r="O76" s="1"/>
      <c r="Q76" s="2"/>
      <c r="R76" s="2"/>
      <c r="S76" s="2"/>
      <c r="T76" s="2"/>
      <c r="V76" s="2"/>
    </row>
    <row r="77" hidden="1" spans="1:22">
      <c r="A77" s="1" t="s">
        <v>121</v>
      </c>
      <c r="B77" s="1">
        <v>4</v>
      </c>
      <c r="C77" s="1">
        <v>12</v>
      </c>
      <c r="D77" s="20">
        <f>(B77*F77/$M$3*(ROUNDDOWN($Q$3/$M$3,0)/(ROUNDDOWN($Q$3/$M$3,0)+1)))</f>
        <v>0.464285714285714</v>
      </c>
      <c r="E77" s="20">
        <f>C77*G77/$M$4*(1/(ROUNDDOWN($Q$4/$M$4,0)+1))</f>
        <v>0.311688311688312</v>
      </c>
      <c r="F77" s="19">
        <v>0.2</v>
      </c>
      <c r="G77" s="19">
        <v>0.4</v>
      </c>
      <c r="H77" s="1">
        <f t="shared" si="11"/>
        <v>1.17154811715481</v>
      </c>
      <c r="I77" s="1">
        <f t="shared" si="12"/>
        <v>1.32959036364271</v>
      </c>
      <c r="J77" s="1">
        <f t="shared" si="16"/>
        <v>1.25</v>
      </c>
      <c r="K77" s="1">
        <f t="shared" si="13"/>
        <v>8.69440717690583</v>
      </c>
      <c r="L77" s="1">
        <f t="shared" si="14"/>
        <v>0.681124058698</v>
      </c>
      <c r="M77" s="1">
        <f t="shared" si="15"/>
        <v>0.3796875</v>
      </c>
      <c r="O77" s="1"/>
      <c r="Q77" s="2"/>
      <c r="R77" s="2"/>
      <c r="S77" s="2"/>
      <c r="T77" s="2"/>
      <c r="V77" s="2"/>
    </row>
    <row r="78" hidden="1" spans="1:22">
      <c r="A78" s="1" t="s">
        <v>122</v>
      </c>
      <c r="B78" s="1">
        <v>4</v>
      </c>
      <c r="C78" s="1">
        <v>12</v>
      </c>
      <c r="D78" s="20">
        <f>(B78*F78/$M$3*(ROUNDDOWN($Q$3/$M$3,0)/(ROUNDDOWN($Q$3/$M$3,0)+1)))</f>
        <v>0.464285714285714</v>
      </c>
      <c r="E78" s="20">
        <f>C78*G78/$M$4*(1/(ROUNDDOWN($Q$4/$M$4,0)+1))</f>
        <v>0.311688311688312</v>
      </c>
      <c r="F78" s="19">
        <v>0.2</v>
      </c>
      <c r="G78" s="19">
        <v>0.4</v>
      </c>
      <c r="H78" s="1">
        <f t="shared" si="11"/>
        <v>1.25523012552301</v>
      </c>
      <c r="I78" s="1">
        <f t="shared" si="12"/>
        <v>1.4245611039029</v>
      </c>
      <c r="J78" s="1">
        <f t="shared" si="16"/>
        <v>1.25</v>
      </c>
      <c r="K78" s="1">
        <f t="shared" si="13"/>
        <v>8.69440717690583</v>
      </c>
      <c r="L78" s="1">
        <f t="shared" si="14"/>
        <v>0.681124058698</v>
      </c>
      <c r="M78" s="1">
        <f t="shared" si="15"/>
        <v>0.3796875</v>
      </c>
      <c r="O78" s="1"/>
      <c r="Q78" s="2"/>
      <c r="R78" s="2"/>
      <c r="S78" s="2"/>
      <c r="T78" s="2"/>
      <c r="V78" s="2"/>
    </row>
    <row r="79" hidden="1" spans="1:22">
      <c r="A79" s="1" t="s">
        <v>123</v>
      </c>
      <c r="B79" s="1">
        <v>4</v>
      </c>
      <c r="C79" s="1">
        <v>12</v>
      </c>
      <c r="D79" s="20">
        <f>(B79*F79/$M$3*(ROUNDDOWN($Q$3/$M$3,0)/(ROUNDDOWN($Q$3/$M$3,0)+1)))</f>
        <v>0.464285714285714</v>
      </c>
      <c r="E79" s="20">
        <f>C79*G79/$M$4*(1/(ROUNDDOWN($Q$4/$M$4,0)+1))</f>
        <v>0.311688311688312</v>
      </c>
      <c r="F79" s="19">
        <v>0.2</v>
      </c>
      <c r="G79" s="19">
        <v>0.4</v>
      </c>
      <c r="H79" s="1">
        <f t="shared" si="11"/>
        <v>1.25523012552301</v>
      </c>
      <c r="I79" s="1">
        <f t="shared" si="12"/>
        <v>1.4245611039029</v>
      </c>
      <c r="J79" s="1">
        <f t="shared" si="16"/>
        <v>1.25</v>
      </c>
      <c r="K79" s="1">
        <f t="shared" si="13"/>
        <v>8.69440717690583</v>
      </c>
      <c r="L79" s="1">
        <f t="shared" si="14"/>
        <v>0.681124058698</v>
      </c>
      <c r="M79" s="1">
        <f t="shared" si="15"/>
        <v>0.3796875</v>
      </c>
      <c r="O79" s="1"/>
      <c r="Q79" s="2"/>
      <c r="R79" s="2"/>
      <c r="S79" s="2"/>
      <c r="T79" s="2"/>
      <c r="V79" s="2"/>
    </row>
    <row r="80" hidden="1" spans="1:22">
      <c r="A80" s="21" t="s">
        <v>124</v>
      </c>
      <c r="B80" s="1">
        <v>5</v>
      </c>
      <c r="C80" s="1">
        <v>12</v>
      </c>
      <c r="D80" s="20">
        <f>(B80*F80/$M$3*(ROUNDDOWN($Q$3/$M$3,0)/(ROUNDDOWN($Q$3/$M$3,0)+1)))</f>
        <v>0.580357142857143</v>
      </c>
      <c r="E80" s="20">
        <f>C80*G80/$M$4*(1/(ROUNDDOWN($Q$4/$M$4,0)+1))</f>
        <v>0.311688311688312</v>
      </c>
      <c r="F80" s="19">
        <v>0.2</v>
      </c>
      <c r="G80" s="19">
        <v>0.4</v>
      </c>
      <c r="H80" s="1">
        <f t="shared" si="11"/>
        <v>1.0919017288444</v>
      </c>
      <c r="I80" s="1">
        <f t="shared" si="12"/>
        <v>1.23919964998287</v>
      </c>
      <c r="J80" s="1">
        <f t="shared" si="16"/>
        <v>1.25</v>
      </c>
      <c r="K80" s="1">
        <f t="shared" si="13"/>
        <v>9.99493042617103</v>
      </c>
      <c r="L80" s="1">
        <f t="shared" si="14"/>
        <v>0.783007678356801</v>
      </c>
      <c r="M80" s="1">
        <f t="shared" si="15"/>
        <v>0.3796875</v>
      </c>
      <c r="O80" s="1"/>
      <c r="Q80" s="2"/>
      <c r="R80" s="2"/>
      <c r="S80" s="2"/>
      <c r="T80" s="2"/>
      <c r="V80" s="2"/>
    </row>
    <row r="81" hidden="1" spans="1:22">
      <c r="A81" s="1" t="s">
        <v>125</v>
      </c>
      <c r="B81" s="1">
        <v>5</v>
      </c>
      <c r="C81" s="1">
        <v>12</v>
      </c>
      <c r="D81" s="20">
        <f>(B81*F81/$M$3*(ROUNDDOWN($Q$3/$M$3,0)/(ROUNDDOWN($Q$3/$M$3,0)+1)))</f>
        <v>0.580357142857143</v>
      </c>
      <c r="E81" s="20">
        <f>C81*G81/$M$4*(1/(ROUNDDOWN($Q$4/$M$4,0)+1))</f>
        <v>0.311688311688312</v>
      </c>
      <c r="F81" s="19">
        <v>0.2</v>
      </c>
      <c r="G81" s="19">
        <v>0.4</v>
      </c>
      <c r="H81" s="1">
        <f t="shared" si="11"/>
        <v>1.0919017288444</v>
      </c>
      <c r="I81" s="1">
        <f t="shared" si="12"/>
        <v>1.23919964998287</v>
      </c>
      <c r="J81" s="1">
        <f t="shared" si="16"/>
        <v>1.25</v>
      </c>
      <c r="K81" s="1">
        <f t="shared" si="13"/>
        <v>9.99493042617103</v>
      </c>
      <c r="L81" s="1">
        <f t="shared" si="14"/>
        <v>0.783007678356801</v>
      </c>
      <c r="M81" s="1">
        <f t="shared" si="15"/>
        <v>0.3796875</v>
      </c>
      <c r="O81" s="1"/>
      <c r="Q81" s="2"/>
      <c r="R81" s="2"/>
      <c r="S81" s="2"/>
      <c r="T81" s="2"/>
      <c r="V81" s="2"/>
    </row>
    <row r="82" hidden="1" spans="1:22">
      <c r="A82" s="1" t="s">
        <v>126</v>
      </c>
      <c r="B82" s="1">
        <v>5</v>
      </c>
      <c r="C82" s="1">
        <v>12</v>
      </c>
      <c r="D82" s="20">
        <f>(B82*F82/$M$3*(ROUNDDOWN($Q$3/$M$3,0)/(ROUNDDOWN($Q$3/$M$3,0)+1)))</f>
        <v>0.580357142857143</v>
      </c>
      <c r="E82" s="20">
        <f>C82*G82/$M$4*(1/(ROUNDDOWN($Q$4/$M$4,0)+1))</f>
        <v>0.311688311688312</v>
      </c>
      <c r="F82" s="19">
        <v>0.2</v>
      </c>
      <c r="G82" s="19">
        <v>0.4</v>
      </c>
      <c r="H82" s="1">
        <f t="shared" si="11"/>
        <v>1.0919017288444</v>
      </c>
      <c r="I82" s="1">
        <f t="shared" si="12"/>
        <v>1.23919964998287</v>
      </c>
      <c r="J82" s="1">
        <f t="shared" si="16"/>
        <v>1.25</v>
      </c>
      <c r="K82" s="1">
        <f t="shared" si="13"/>
        <v>9.99493042617103</v>
      </c>
      <c r="L82" s="1">
        <f t="shared" si="14"/>
        <v>0.783007678356801</v>
      </c>
      <c r="M82" s="1">
        <f t="shared" si="15"/>
        <v>0.3796875</v>
      </c>
      <c r="O82" s="1"/>
      <c r="Q82" s="2"/>
      <c r="R82" s="2"/>
      <c r="S82" s="2"/>
      <c r="T82" s="2"/>
      <c r="V82" s="2"/>
    </row>
    <row r="83" hidden="1" spans="1:22">
      <c r="A83" s="1" t="s">
        <v>127</v>
      </c>
      <c r="B83" s="1">
        <v>5</v>
      </c>
      <c r="C83" s="1">
        <v>12</v>
      </c>
      <c r="D83" s="20">
        <f>(B83*F83/$M$3*(ROUNDDOWN($Q$3/$M$3,0)/(ROUNDDOWN($Q$3/$M$3,0)+1)))</f>
        <v>0.580357142857143</v>
      </c>
      <c r="E83" s="20">
        <f>C83*G83/$M$4*(1/(ROUNDDOWN($Q$4/$M$4,0)+1))</f>
        <v>0.311688311688312</v>
      </c>
      <c r="F83" s="19">
        <v>0.2</v>
      </c>
      <c r="G83" s="19">
        <v>0.4</v>
      </c>
      <c r="H83" s="1">
        <f t="shared" si="11"/>
        <v>1.0919017288444</v>
      </c>
      <c r="I83" s="1">
        <f t="shared" si="12"/>
        <v>1.23919964998287</v>
      </c>
      <c r="J83" s="1">
        <f t="shared" si="16"/>
        <v>1.25</v>
      </c>
      <c r="K83" s="1">
        <f t="shared" si="13"/>
        <v>9.99493042617103</v>
      </c>
      <c r="L83" s="1">
        <f t="shared" si="14"/>
        <v>0.783007678356801</v>
      </c>
      <c r="M83" s="1">
        <f t="shared" si="15"/>
        <v>0.3796875</v>
      </c>
      <c r="O83" s="1"/>
      <c r="Q83" s="2"/>
      <c r="R83" s="2"/>
      <c r="S83" s="2"/>
      <c r="T83" s="2"/>
      <c r="V83" s="2"/>
    </row>
    <row r="84" hidden="1" spans="13:22">
      <c r="M84" s="2">
        <f>M90/M99</f>
        <v>0.5</v>
      </c>
      <c r="N84" s="2">
        <f>N90/N99</f>
        <v>1</v>
      </c>
      <c r="O84" s="1"/>
      <c r="Q84" s="2"/>
      <c r="R84" s="2"/>
      <c r="S84" s="2"/>
      <c r="T84" s="2"/>
      <c r="V84" s="2"/>
    </row>
    <row r="85" hidden="1" spans="1:22">
      <c r="A85" s="1" t="s">
        <v>74</v>
      </c>
      <c r="B85" s="1" t="s">
        <v>84</v>
      </c>
      <c r="C85" s="1" t="s">
        <v>85</v>
      </c>
      <c r="D85" s="1" t="s">
        <v>86</v>
      </c>
      <c r="E85" s="1" t="s">
        <v>87</v>
      </c>
      <c r="F85" s="2" t="s">
        <v>88</v>
      </c>
      <c r="G85" s="2" t="s">
        <v>89</v>
      </c>
      <c r="H85" s="1" t="s">
        <v>90</v>
      </c>
      <c r="I85" s="1" t="s">
        <v>111</v>
      </c>
      <c r="J85" s="1" t="s">
        <v>112</v>
      </c>
      <c r="K85" s="1" t="s">
        <v>91</v>
      </c>
      <c r="L85" s="1" t="s">
        <v>92</v>
      </c>
      <c r="M85" s="1" t="s">
        <v>93</v>
      </c>
      <c r="N85" s="1" t="s">
        <v>94</v>
      </c>
      <c r="O85" s="1"/>
      <c r="Q85" s="2"/>
      <c r="R85" s="2"/>
      <c r="S85" s="2"/>
      <c r="T85" s="2"/>
      <c r="V85" s="2"/>
    </row>
    <row r="86" hidden="1" spans="1:22">
      <c r="A86" s="1" t="s">
        <v>128</v>
      </c>
      <c r="B86" s="1">
        <v>5</v>
      </c>
      <c r="C86" s="1">
        <v>5</v>
      </c>
      <c r="D86" s="1">
        <f t="shared" ref="D86:D100" si="17">B86*F86/$M$6*0.5*3</f>
        <v>0</v>
      </c>
      <c r="E86" s="1">
        <f t="shared" ref="E86:E100" si="18">C86*G86/$M$6*0.5*3</f>
        <v>0</v>
      </c>
      <c r="F86" s="19">
        <v>0</v>
      </c>
      <c r="G86" s="19">
        <v>0</v>
      </c>
      <c r="H86" s="20">
        <f t="shared" ref="H86:H100" si="19">SUM(D86:E86)</f>
        <v>0</v>
      </c>
      <c r="I86" s="1" t="e">
        <f t="shared" ref="I86:I100" si="20">H52/H86</f>
        <v>#DIV/0!</v>
      </c>
      <c r="J86" s="1" t="e">
        <f t="shared" ref="J86:J100" si="21">I86/$V$27</f>
        <v>#DIV/0!</v>
      </c>
      <c r="K86" s="1">
        <v>0.7</v>
      </c>
      <c r="L86" s="1">
        <f t="shared" ref="L86:L100" si="22">H86*$U$27*K86</f>
        <v>0</v>
      </c>
      <c r="M86" s="1">
        <f t="shared" ref="M86:M100" si="23">H86*$I$25*$B$20/20</f>
        <v>0</v>
      </c>
      <c r="N86" s="1">
        <f t="shared" ref="N86:N100" si="24">MIN(H86*$I$49*12/20*(1+$B$37)^$H$49,6*(1+$B$37)^4/20/4)</f>
        <v>0</v>
      </c>
      <c r="O86" s="1"/>
      <c r="Q86" s="2"/>
      <c r="R86" s="2"/>
      <c r="S86" s="2"/>
      <c r="T86" s="2"/>
      <c r="V86" s="2"/>
    </row>
    <row r="87" hidden="1" spans="1:22">
      <c r="A87" s="21" t="s">
        <v>129</v>
      </c>
      <c r="B87" s="1">
        <v>5</v>
      </c>
      <c r="C87" s="1">
        <v>5</v>
      </c>
      <c r="D87" s="1">
        <f t="shared" si="17"/>
        <v>0.227272727272727</v>
      </c>
      <c r="E87" s="1">
        <f t="shared" si="18"/>
        <v>0</v>
      </c>
      <c r="F87" s="19">
        <f t="shared" ref="F87:F92" si="25">1/30</f>
        <v>0.0333333333333333</v>
      </c>
      <c r="G87" s="19">
        <v>0</v>
      </c>
      <c r="H87" s="20">
        <f t="shared" si="19"/>
        <v>0.227272727272727</v>
      </c>
      <c r="I87" s="1">
        <f t="shared" si="20"/>
        <v>1.71428571428572</v>
      </c>
      <c r="J87" s="1">
        <f t="shared" si="21"/>
        <v>1.65268487376539</v>
      </c>
      <c r="K87" s="1">
        <f t="shared" ref="K87:K100" si="26">$K$86</f>
        <v>0.7</v>
      </c>
      <c r="L87" s="1">
        <f t="shared" si="22"/>
        <v>1.67872293383974</v>
      </c>
      <c r="M87" s="1">
        <f t="shared" si="23"/>
        <v>0.203948355786313</v>
      </c>
      <c r="N87" s="1">
        <f t="shared" si="24"/>
        <v>0.187348614645301</v>
      </c>
      <c r="O87" s="1"/>
      <c r="Q87" s="2"/>
      <c r="R87" s="2"/>
      <c r="S87" s="2"/>
      <c r="T87" s="2"/>
      <c r="V87" s="2"/>
    </row>
    <row r="88" hidden="1" spans="1:22">
      <c r="A88" s="1" t="s">
        <v>130</v>
      </c>
      <c r="B88" s="1">
        <v>5</v>
      </c>
      <c r="C88" s="1">
        <v>5</v>
      </c>
      <c r="D88" s="1">
        <f t="shared" si="17"/>
        <v>0.227272727272727</v>
      </c>
      <c r="E88" s="1">
        <f t="shared" si="18"/>
        <v>0</v>
      </c>
      <c r="F88" s="19">
        <f t="shared" si="25"/>
        <v>0.0333333333333333</v>
      </c>
      <c r="G88" s="19">
        <v>0</v>
      </c>
      <c r="H88" s="20">
        <f t="shared" si="19"/>
        <v>0.227272727272727</v>
      </c>
      <c r="I88" s="1">
        <f t="shared" si="20"/>
        <v>1.71428571428572</v>
      </c>
      <c r="J88" s="1">
        <f t="shared" si="21"/>
        <v>1.65268487376539</v>
      </c>
      <c r="K88" s="1">
        <f t="shared" si="26"/>
        <v>0.7</v>
      </c>
      <c r="L88" s="1">
        <f t="shared" si="22"/>
        <v>1.67872293383974</v>
      </c>
      <c r="M88" s="1">
        <f t="shared" si="23"/>
        <v>0.203948355786313</v>
      </c>
      <c r="N88" s="1">
        <f t="shared" si="24"/>
        <v>0.187348614645301</v>
      </c>
      <c r="O88" s="1"/>
      <c r="Q88" s="2"/>
      <c r="R88" s="2"/>
      <c r="S88" s="2"/>
      <c r="T88" s="2"/>
      <c r="V88" s="2"/>
    </row>
    <row r="89" hidden="1" spans="1:22">
      <c r="A89" s="21" t="s">
        <v>131</v>
      </c>
      <c r="B89" s="1">
        <v>5</v>
      </c>
      <c r="C89" s="1">
        <v>5</v>
      </c>
      <c r="D89" s="1">
        <f t="shared" si="17"/>
        <v>0.227272727272727</v>
      </c>
      <c r="E89" s="1">
        <f t="shared" si="18"/>
        <v>0.454545454545454</v>
      </c>
      <c r="F89" s="19">
        <f t="shared" si="25"/>
        <v>0.0333333333333333</v>
      </c>
      <c r="G89" s="19">
        <f t="shared" ref="G89:G92" si="27">2/30</f>
        <v>0.0666666666666667</v>
      </c>
      <c r="H89" s="20">
        <f t="shared" si="19"/>
        <v>0.681818181818182</v>
      </c>
      <c r="I89" s="1">
        <f t="shared" si="20"/>
        <v>0.819047619047619</v>
      </c>
      <c r="J89" s="1">
        <f t="shared" si="21"/>
        <v>0.789616106354575</v>
      </c>
      <c r="K89" s="1">
        <f t="shared" si="26"/>
        <v>0.7</v>
      </c>
      <c r="L89" s="1">
        <f t="shared" si="22"/>
        <v>5.03616880151922</v>
      </c>
      <c r="M89" s="1">
        <f t="shared" si="23"/>
        <v>0.61184506735894</v>
      </c>
      <c r="N89" s="1">
        <f t="shared" si="24"/>
        <v>0.3796875</v>
      </c>
      <c r="O89" s="1"/>
      <c r="Q89" s="2"/>
      <c r="R89" s="2"/>
      <c r="S89" s="2"/>
      <c r="T89" s="2"/>
      <c r="V89" s="2"/>
    </row>
    <row r="90" hidden="1" spans="1:14">
      <c r="A90" s="1" t="s">
        <v>132</v>
      </c>
      <c r="B90" s="1">
        <v>5</v>
      </c>
      <c r="C90" s="1">
        <v>5</v>
      </c>
      <c r="D90" s="1">
        <f t="shared" si="17"/>
        <v>0.227272727272727</v>
      </c>
      <c r="E90" s="1">
        <f t="shared" si="18"/>
        <v>0.454545454545454</v>
      </c>
      <c r="F90" s="19">
        <f t="shared" si="25"/>
        <v>0.0333333333333333</v>
      </c>
      <c r="G90" s="19">
        <f t="shared" si="27"/>
        <v>0.0666666666666667</v>
      </c>
      <c r="H90" s="20">
        <f t="shared" si="19"/>
        <v>0.681818181818182</v>
      </c>
      <c r="I90" s="1">
        <f t="shared" si="20"/>
        <v>0.819047619047619</v>
      </c>
      <c r="J90" s="1">
        <f t="shared" si="21"/>
        <v>0.789616106354575</v>
      </c>
      <c r="K90" s="1">
        <f t="shared" si="26"/>
        <v>0.7</v>
      </c>
      <c r="L90" s="1">
        <f t="shared" si="22"/>
        <v>5.03616880151922</v>
      </c>
      <c r="M90" s="1">
        <f t="shared" si="23"/>
        <v>0.61184506735894</v>
      </c>
      <c r="N90" s="1">
        <f t="shared" si="24"/>
        <v>0.3796875</v>
      </c>
    </row>
    <row r="91" hidden="1" spans="1:14">
      <c r="A91" s="1" t="s">
        <v>133</v>
      </c>
      <c r="B91" s="1">
        <v>5</v>
      </c>
      <c r="C91" s="1">
        <v>5</v>
      </c>
      <c r="D91" s="1">
        <f t="shared" si="17"/>
        <v>0.227272727272727</v>
      </c>
      <c r="E91" s="1">
        <f t="shared" si="18"/>
        <v>0.454545454545454</v>
      </c>
      <c r="F91" s="19">
        <f t="shared" si="25"/>
        <v>0.0333333333333333</v>
      </c>
      <c r="G91" s="19">
        <f t="shared" si="27"/>
        <v>0.0666666666666667</v>
      </c>
      <c r="H91" s="20">
        <f t="shared" si="19"/>
        <v>0.681818181818182</v>
      </c>
      <c r="I91" s="1">
        <f t="shared" si="20"/>
        <v>0.819047619047619</v>
      </c>
      <c r="J91" s="1">
        <f t="shared" si="21"/>
        <v>0.789616106354575</v>
      </c>
      <c r="K91" s="1">
        <f t="shared" si="26"/>
        <v>0.7</v>
      </c>
      <c r="L91" s="1">
        <f t="shared" si="22"/>
        <v>5.03616880151922</v>
      </c>
      <c r="M91" s="1">
        <f t="shared" si="23"/>
        <v>0.61184506735894</v>
      </c>
      <c r="N91" s="1">
        <f t="shared" si="24"/>
        <v>0.3796875</v>
      </c>
    </row>
    <row r="92" hidden="1" spans="1:18">
      <c r="A92" s="21" t="s">
        <v>134</v>
      </c>
      <c r="B92" s="1">
        <v>5</v>
      </c>
      <c r="C92" s="1">
        <v>5</v>
      </c>
      <c r="D92" s="1">
        <f t="shared" si="17"/>
        <v>0.227272727272727</v>
      </c>
      <c r="E92" s="1">
        <f t="shared" si="18"/>
        <v>0.454545454545454</v>
      </c>
      <c r="F92" s="19">
        <f t="shared" si="25"/>
        <v>0.0333333333333333</v>
      </c>
      <c r="G92" s="19">
        <f t="shared" si="27"/>
        <v>0.0666666666666667</v>
      </c>
      <c r="H92" s="20">
        <f t="shared" si="19"/>
        <v>0.681818181818182</v>
      </c>
      <c r="I92" s="1">
        <f t="shared" si="20"/>
        <v>1.06666666666667</v>
      </c>
      <c r="J92" s="1">
        <f t="shared" si="21"/>
        <v>1.02833725478735</v>
      </c>
      <c r="K92" s="1">
        <f t="shared" si="26"/>
        <v>0.7</v>
      </c>
      <c r="L92" s="1">
        <f t="shared" si="22"/>
        <v>5.03616880151922</v>
      </c>
      <c r="M92" s="1">
        <f t="shared" si="23"/>
        <v>0.61184506735894</v>
      </c>
      <c r="N92" s="1">
        <f t="shared" si="24"/>
        <v>0.3796875</v>
      </c>
      <c r="Q92" s="2"/>
      <c r="R92" s="2"/>
    </row>
    <row r="93" hidden="1" spans="1:18">
      <c r="A93" s="21" t="s">
        <v>135</v>
      </c>
      <c r="B93" s="1">
        <v>5</v>
      </c>
      <c r="C93" s="1">
        <v>5</v>
      </c>
      <c r="D93" s="1">
        <f t="shared" si="17"/>
        <v>0.454545454545454</v>
      </c>
      <c r="E93" s="1">
        <f t="shared" si="18"/>
        <v>0.909090909090909</v>
      </c>
      <c r="F93" s="19">
        <f t="shared" ref="F93:F100" si="28">2/30</f>
        <v>0.0666666666666667</v>
      </c>
      <c r="G93" s="19">
        <f t="shared" ref="G93:G100" si="29">4/30</f>
        <v>0.133333333333333</v>
      </c>
      <c r="H93" s="20">
        <f t="shared" si="19"/>
        <v>1.36363636363636</v>
      </c>
      <c r="I93" s="1">
        <f t="shared" si="20"/>
        <v>0.666666666666669</v>
      </c>
      <c r="J93" s="1">
        <f t="shared" si="21"/>
        <v>0.642710784242098</v>
      </c>
      <c r="K93" s="1">
        <f t="shared" si="26"/>
        <v>0.7</v>
      </c>
      <c r="L93" s="1">
        <f t="shared" si="22"/>
        <v>10.0723376030384</v>
      </c>
      <c r="M93" s="1">
        <f t="shared" si="23"/>
        <v>1.22369013471788</v>
      </c>
      <c r="N93" s="1">
        <f t="shared" si="24"/>
        <v>0.3796875</v>
      </c>
      <c r="Q93" s="2"/>
      <c r="R93" s="2"/>
    </row>
    <row r="94" hidden="1" spans="1:18">
      <c r="A94" s="1" t="s">
        <v>136</v>
      </c>
      <c r="B94" s="1">
        <v>5</v>
      </c>
      <c r="C94" s="1">
        <v>5</v>
      </c>
      <c r="D94" s="1">
        <f t="shared" si="17"/>
        <v>0.454545454545454</v>
      </c>
      <c r="E94" s="1">
        <f t="shared" si="18"/>
        <v>0.909090909090909</v>
      </c>
      <c r="F94" s="19">
        <f t="shared" si="28"/>
        <v>0.0666666666666667</v>
      </c>
      <c r="G94" s="19">
        <f t="shared" si="29"/>
        <v>0.133333333333333</v>
      </c>
      <c r="H94" s="20">
        <f t="shared" si="19"/>
        <v>1.36363636363636</v>
      </c>
      <c r="I94" s="1">
        <f t="shared" si="20"/>
        <v>0.666666666666669</v>
      </c>
      <c r="J94" s="1">
        <f t="shared" si="21"/>
        <v>0.642710784242098</v>
      </c>
      <c r="K94" s="1">
        <f t="shared" si="26"/>
        <v>0.7</v>
      </c>
      <c r="L94" s="1">
        <f t="shared" si="22"/>
        <v>10.0723376030384</v>
      </c>
      <c r="M94" s="1">
        <f t="shared" si="23"/>
        <v>1.22369013471788</v>
      </c>
      <c r="N94" s="1">
        <f t="shared" si="24"/>
        <v>0.3796875</v>
      </c>
      <c r="Q94" s="2"/>
      <c r="R94" s="2"/>
    </row>
    <row r="95" hidden="1" spans="1:18">
      <c r="A95" s="1" t="s">
        <v>137</v>
      </c>
      <c r="B95" s="1">
        <v>5</v>
      </c>
      <c r="C95" s="1">
        <v>5</v>
      </c>
      <c r="D95" s="1">
        <f t="shared" si="17"/>
        <v>0.454545454545454</v>
      </c>
      <c r="E95" s="1">
        <f t="shared" si="18"/>
        <v>0.909090909090909</v>
      </c>
      <c r="F95" s="19">
        <f t="shared" si="28"/>
        <v>0.0666666666666667</v>
      </c>
      <c r="G95" s="19">
        <f t="shared" si="29"/>
        <v>0.133333333333333</v>
      </c>
      <c r="H95" s="20">
        <f t="shared" si="19"/>
        <v>1.36363636363636</v>
      </c>
      <c r="I95" s="1">
        <f t="shared" si="20"/>
        <v>0.714285714285716</v>
      </c>
      <c r="J95" s="1">
        <f t="shared" si="21"/>
        <v>0.688618697402248</v>
      </c>
      <c r="K95" s="1">
        <f t="shared" si="26"/>
        <v>0.7</v>
      </c>
      <c r="L95" s="1">
        <f t="shared" si="22"/>
        <v>10.0723376030384</v>
      </c>
      <c r="M95" s="1">
        <f t="shared" si="23"/>
        <v>1.22369013471788</v>
      </c>
      <c r="N95" s="1">
        <f t="shared" si="24"/>
        <v>0.3796875</v>
      </c>
      <c r="Q95" s="2"/>
      <c r="R95" s="2"/>
    </row>
    <row r="96" hidden="1" spans="1:14">
      <c r="A96" s="1" t="s">
        <v>138</v>
      </c>
      <c r="B96" s="1">
        <v>5</v>
      </c>
      <c r="C96" s="1">
        <v>5</v>
      </c>
      <c r="D96" s="1">
        <f t="shared" si="17"/>
        <v>0.454545454545454</v>
      </c>
      <c r="E96" s="1">
        <f t="shared" si="18"/>
        <v>0.909090909090909</v>
      </c>
      <c r="F96" s="19">
        <f t="shared" si="28"/>
        <v>0.0666666666666667</v>
      </c>
      <c r="G96" s="19">
        <f t="shared" si="29"/>
        <v>0.133333333333333</v>
      </c>
      <c r="H96" s="20">
        <f t="shared" si="19"/>
        <v>1.36363636363636</v>
      </c>
      <c r="I96" s="1">
        <f t="shared" si="20"/>
        <v>0.714285714285716</v>
      </c>
      <c r="J96" s="1">
        <f t="shared" si="21"/>
        <v>0.688618697402248</v>
      </c>
      <c r="K96" s="1">
        <f t="shared" si="26"/>
        <v>0.7</v>
      </c>
      <c r="L96" s="1">
        <f t="shared" si="22"/>
        <v>10.0723376030384</v>
      </c>
      <c r="M96" s="1">
        <f t="shared" si="23"/>
        <v>1.22369013471788</v>
      </c>
      <c r="N96" s="1">
        <f t="shared" si="24"/>
        <v>0.3796875</v>
      </c>
    </row>
    <row r="97" hidden="1" spans="1:14">
      <c r="A97" s="21" t="s">
        <v>139</v>
      </c>
      <c r="B97" s="1">
        <v>5</v>
      </c>
      <c r="C97" s="1">
        <v>5</v>
      </c>
      <c r="D97" s="1">
        <f t="shared" si="17"/>
        <v>0.454545454545454</v>
      </c>
      <c r="E97" s="1">
        <f t="shared" si="18"/>
        <v>0.909090909090909</v>
      </c>
      <c r="F97" s="19">
        <f t="shared" si="28"/>
        <v>0.0666666666666667</v>
      </c>
      <c r="G97" s="19">
        <f t="shared" si="29"/>
        <v>0.133333333333333</v>
      </c>
      <c r="H97" s="20">
        <f t="shared" si="19"/>
        <v>1.36363636363636</v>
      </c>
      <c r="I97" s="1">
        <f t="shared" si="20"/>
        <v>0.714285714285716</v>
      </c>
      <c r="J97" s="1">
        <f t="shared" si="21"/>
        <v>0.688618697402248</v>
      </c>
      <c r="K97" s="1">
        <f t="shared" si="26"/>
        <v>0.7</v>
      </c>
      <c r="L97" s="1">
        <f t="shared" si="22"/>
        <v>10.0723376030384</v>
      </c>
      <c r="M97" s="1">
        <f t="shared" si="23"/>
        <v>1.22369013471788</v>
      </c>
      <c r="N97" s="1">
        <f t="shared" si="24"/>
        <v>0.3796875</v>
      </c>
    </row>
    <row r="98" hidden="1" spans="1:14">
      <c r="A98" s="1" t="s">
        <v>140</v>
      </c>
      <c r="B98" s="1">
        <v>5</v>
      </c>
      <c r="C98" s="1">
        <v>5</v>
      </c>
      <c r="D98" s="1">
        <f t="shared" si="17"/>
        <v>0.454545454545454</v>
      </c>
      <c r="E98" s="1">
        <f t="shared" si="18"/>
        <v>0.909090909090909</v>
      </c>
      <c r="F98" s="19">
        <f t="shared" si="28"/>
        <v>0.0666666666666667</v>
      </c>
      <c r="G98" s="19">
        <f t="shared" si="29"/>
        <v>0.133333333333333</v>
      </c>
      <c r="H98" s="20">
        <f t="shared" si="19"/>
        <v>1.36363636363636</v>
      </c>
      <c r="I98" s="1">
        <f t="shared" si="20"/>
        <v>0.714285714285716</v>
      </c>
      <c r="J98" s="1">
        <f t="shared" si="21"/>
        <v>0.688618697402248</v>
      </c>
      <c r="K98" s="1">
        <f t="shared" si="26"/>
        <v>0.7</v>
      </c>
      <c r="L98" s="1">
        <f t="shared" si="22"/>
        <v>10.0723376030384</v>
      </c>
      <c r="M98" s="1">
        <f t="shared" si="23"/>
        <v>1.22369013471788</v>
      </c>
      <c r="N98" s="1">
        <f t="shared" si="24"/>
        <v>0.3796875</v>
      </c>
    </row>
    <row r="99" hidden="1" spans="1:14">
      <c r="A99" s="1" t="s">
        <v>141</v>
      </c>
      <c r="B99" s="1">
        <v>5</v>
      </c>
      <c r="C99" s="1">
        <v>5</v>
      </c>
      <c r="D99" s="1">
        <f t="shared" si="17"/>
        <v>0.454545454545454</v>
      </c>
      <c r="E99" s="1">
        <f t="shared" si="18"/>
        <v>0.909090909090909</v>
      </c>
      <c r="F99" s="19">
        <f t="shared" si="28"/>
        <v>0.0666666666666667</v>
      </c>
      <c r="G99" s="19">
        <f t="shared" si="29"/>
        <v>0.133333333333333</v>
      </c>
      <c r="H99" s="20">
        <f t="shared" si="19"/>
        <v>1.36363636363636</v>
      </c>
      <c r="I99" s="1">
        <f t="shared" si="20"/>
        <v>0.714285714285716</v>
      </c>
      <c r="J99" s="1">
        <f t="shared" si="21"/>
        <v>0.688618697402248</v>
      </c>
      <c r="K99" s="1">
        <f t="shared" si="26"/>
        <v>0.7</v>
      </c>
      <c r="L99" s="1">
        <f t="shared" si="22"/>
        <v>10.0723376030384</v>
      </c>
      <c r="M99" s="1">
        <f t="shared" si="23"/>
        <v>1.22369013471788</v>
      </c>
      <c r="N99" s="1">
        <f t="shared" si="24"/>
        <v>0.3796875</v>
      </c>
    </row>
    <row r="100" hidden="1" spans="1:14">
      <c r="A100" s="1" t="s">
        <v>142</v>
      </c>
      <c r="B100" s="1">
        <v>5</v>
      </c>
      <c r="C100" s="1">
        <v>5</v>
      </c>
      <c r="D100" s="1">
        <f t="shared" si="17"/>
        <v>0.454545454545454</v>
      </c>
      <c r="E100" s="1">
        <f t="shared" si="18"/>
        <v>0.909090909090909</v>
      </c>
      <c r="F100" s="19">
        <f t="shared" si="28"/>
        <v>0.0666666666666667</v>
      </c>
      <c r="G100" s="19">
        <f t="shared" si="29"/>
        <v>0.133333333333333</v>
      </c>
      <c r="H100" s="20">
        <f t="shared" si="19"/>
        <v>1.36363636363636</v>
      </c>
      <c r="I100" s="1">
        <f t="shared" si="20"/>
        <v>0.714285714285716</v>
      </c>
      <c r="J100" s="1">
        <f t="shared" si="21"/>
        <v>0.688618697402248</v>
      </c>
      <c r="K100" s="1">
        <f t="shared" si="26"/>
        <v>0.7</v>
      </c>
      <c r="L100" s="1">
        <f t="shared" si="22"/>
        <v>10.0723376030384</v>
      </c>
      <c r="M100" s="1">
        <f t="shared" si="23"/>
        <v>1.22369013471788</v>
      </c>
      <c r="N100" s="1">
        <f t="shared" si="24"/>
        <v>0.3796875</v>
      </c>
    </row>
    <row r="103" spans="6:7">
      <c r="F103" s="1">
        <f>F66-F56</f>
        <v>0.05</v>
      </c>
      <c r="G103" s="1">
        <f>G66-G56</f>
        <v>0.05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4"/>
  <sheetViews>
    <sheetView workbookViewId="0">
      <selection activeCell="C111" sqref="C111"/>
    </sheetView>
  </sheetViews>
  <sheetFormatPr defaultColWidth="9" defaultRowHeight="16.5"/>
  <cols>
    <col min="1" max="1" width="9" style="1"/>
    <col min="2" max="2" width="14.875" style="1" customWidth="1"/>
    <col min="3" max="3" width="18" style="1" customWidth="1"/>
    <col min="4" max="4" width="11.25" style="1" customWidth="1"/>
    <col min="5" max="12" width="9.00833333333333" style="1" customWidth="1"/>
    <col min="13" max="15" width="9.00833333333333" style="2" customWidth="1"/>
    <col min="16" max="17" width="10.625" style="2" customWidth="1"/>
    <col min="18" max="19" width="12.625" style="1"/>
    <col min="20" max="23" width="9.00833333333333" style="1" customWidth="1"/>
    <col min="24" max="25" width="9.375" style="1"/>
    <col min="26" max="16384" width="9" style="1"/>
  </cols>
  <sheetData>
    <row r="1" spans="2:21">
      <c r="B1" s="1" t="s">
        <v>0</v>
      </c>
      <c r="H1" s="3" t="s">
        <v>1</v>
      </c>
      <c r="I1" s="4" t="s">
        <v>2</v>
      </c>
      <c r="J1" s="22"/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</row>
    <row r="2" spans="3:21">
      <c r="C2" s="5" t="s">
        <v>12</v>
      </c>
      <c r="D2" s="6">
        <v>60</v>
      </c>
      <c r="H2" s="7"/>
      <c r="I2" s="8" t="s">
        <v>13</v>
      </c>
      <c r="J2" s="23">
        <v>1.2</v>
      </c>
      <c r="M2" s="2" t="s">
        <v>14</v>
      </c>
      <c r="N2" s="2">
        <v>1.3</v>
      </c>
      <c r="O2" s="2">
        <v>7</v>
      </c>
      <c r="P2" s="2">
        <f>3/1.5</f>
        <v>2</v>
      </c>
      <c r="Q2" s="2">
        <f>3/2</f>
        <v>1.5</v>
      </c>
      <c r="R2" s="2">
        <v>19.5</v>
      </c>
      <c r="S2" s="2">
        <v>0.5</v>
      </c>
      <c r="T2" s="2">
        <v>3</v>
      </c>
      <c r="U2" s="2">
        <v>0.8</v>
      </c>
    </row>
    <row r="3" spans="3:21">
      <c r="C3" s="1" t="s">
        <v>15</v>
      </c>
      <c r="D3" s="2">
        <v>2</v>
      </c>
      <c r="H3" s="3" t="s">
        <v>16</v>
      </c>
      <c r="I3" s="4" t="s">
        <v>17</v>
      </c>
      <c r="J3" s="22">
        <f>3*1.5</f>
        <v>4.5</v>
      </c>
      <c r="M3" s="2" t="s">
        <v>18</v>
      </c>
      <c r="N3" s="2">
        <v>1.6</v>
      </c>
      <c r="O3" s="2">
        <v>5</v>
      </c>
      <c r="P3" s="2">
        <f>3/1</f>
        <v>3</v>
      </c>
      <c r="Q3" s="2">
        <f>3/1.5</f>
        <v>2</v>
      </c>
      <c r="R3" s="2">
        <v>20.8</v>
      </c>
      <c r="S3" s="2"/>
      <c r="T3" s="2" t="s">
        <v>19</v>
      </c>
      <c r="U3" s="2" t="s">
        <v>20</v>
      </c>
    </row>
    <row r="4" spans="3:21">
      <c r="C4" s="5" t="s">
        <v>21</v>
      </c>
      <c r="D4" s="6" t="str">
        <f>IF((E4-D3*2)&lt;0,"相交",IF((E4-D3*2)&lt;0=0,"相切","否"))</f>
        <v>相交</v>
      </c>
      <c r="E4" s="5">
        <f>((E6-E7)^2+(F6-F7)^2)^0.5</f>
        <v>3.99644842328786</v>
      </c>
      <c r="F4" s="5"/>
      <c r="H4" s="9"/>
      <c r="I4" s="8" t="s">
        <v>22</v>
      </c>
      <c r="J4" s="23">
        <f>1*1.5+2</f>
        <v>3.5</v>
      </c>
      <c r="M4" s="25" t="s">
        <v>23</v>
      </c>
      <c r="N4" s="25">
        <v>1.3</v>
      </c>
      <c r="O4" s="2">
        <v>8</v>
      </c>
      <c r="P4" s="2">
        <f>3/1</f>
        <v>3</v>
      </c>
      <c r="Q4" s="2">
        <f>3/3</f>
        <v>1</v>
      </c>
      <c r="R4" s="25">
        <v>15</v>
      </c>
      <c r="S4" s="2"/>
      <c r="T4" s="2">
        <v>4.6</v>
      </c>
      <c r="U4" s="2">
        <v>6.2</v>
      </c>
    </row>
    <row r="5" spans="3:19">
      <c r="C5" s="5"/>
      <c r="D5" s="6"/>
      <c r="E5" s="6" t="s">
        <v>24</v>
      </c>
      <c r="F5" s="6" t="s">
        <v>25</v>
      </c>
      <c r="G5" s="2"/>
      <c r="H5" s="3" t="s">
        <v>26</v>
      </c>
      <c r="I5" s="4" t="s">
        <v>27</v>
      </c>
      <c r="J5" s="22">
        <v>0.5</v>
      </c>
      <c r="K5" s="2"/>
      <c r="M5" s="2" t="s">
        <v>28</v>
      </c>
      <c r="N5" s="2">
        <v>1.2</v>
      </c>
      <c r="O5" s="2">
        <v>8</v>
      </c>
      <c r="P5" s="2">
        <f>3/0.75</f>
        <v>4</v>
      </c>
      <c r="Q5" s="2">
        <f>3/1</f>
        <v>3</v>
      </c>
      <c r="R5" s="2">
        <v>20</v>
      </c>
      <c r="S5" s="2"/>
    </row>
    <row r="6" spans="3:19">
      <c r="C6" s="5" t="s">
        <v>29</v>
      </c>
      <c r="D6" s="6" t="s">
        <v>30</v>
      </c>
      <c r="E6" s="6">
        <v>0</v>
      </c>
      <c r="F6" s="6">
        <v>4</v>
      </c>
      <c r="G6" s="2"/>
      <c r="H6" s="10"/>
      <c r="I6" s="1" t="s">
        <v>31</v>
      </c>
      <c r="J6" s="24">
        <v>15</v>
      </c>
      <c r="K6" s="2"/>
      <c r="M6" s="2" t="s">
        <v>32</v>
      </c>
      <c r="N6" s="2">
        <v>1.1</v>
      </c>
      <c r="O6" s="2">
        <v>7</v>
      </c>
      <c r="P6" s="2">
        <f>3/1.25</f>
        <v>2.4</v>
      </c>
      <c r="Q6" s="2">
        <f>3/2</f>
        <v>1.5</v>
      </c>
      <c r="R6" s="2">
        <v>20</v>
      </c>
      <c r="S6" s="2"/>
    </row>
    <row r="7" spans="3:11">
      <c r="C7" s="5" t="s">
        <v>33</v>
      </c>
      <c r="D7" s="6" t="s">
        <v>29</v>
      </c>
      <c r="E7" s="6">
        <f>ROUND(E6*COS(D2/180*PI())-F6*SIN(D2/180*PI()),2)</f>
        <v>-3.46</v>
      </c>
      <c r="F7" s="6">
        <f>ROUND(E6*SIN(D2/180*PI())+F6*COS(D2/180*PI()),2)</f>
        <v>2</v>
      </c>
      <c r="G7" s="2"/>
      <c r="H7" s="10"/>
      <c r="I7" s="1" t="s">
        <v>34</v>
      </c>
      <c r="J7" s="24">
        <f>90-J6</f>
        <v>75</v>
      </c>
      <c r="K7" s="2"/>
    </row>
    <row r="8" spans="3:13">
      <c r="C8" s="5" t="s">
        <v>35</v>
      </c>
      <c r="D8" s="6" t="s">
        <v>36</v>
      </c>
      <c r="E8" s="6">
        <f>ROUND(E6*COS((-1)*D2/180*PI())-F6*SIN((-1)*D2/180*PI()),2)</f>
        <v>3.46</v>
      </c>
      <c r="F8" s="6">
        <f>ROUND(E6*SIN((-1)*D2/180*PI())+F6*COS((-1)*D2/180*PI()),2)</f>
        <v>2</v>
      </c>
      <c r="G8" s="2"/>
      <c r="H8" s="7"/>
      <c r="I8" s="8" t="s">
        <v>37</v>
      </c>
      <c r="J8" s="23">
        <v>90</v>
      </c>
      <c r="K8" s="2"/>
      <c r="M8" s="1"/>
    </row>
    <row r="9" hidden="1" spans="12:24">
      <c r="L9" s="2"/>
      <c r="R9" s="2" t="s">
        <v>38</v>
      </c>
      <c r="S9" s="2" t="s">
        <v>39</v>
      </c>
      <c r="T9" s="2" t="s">
        <v>40</v>
      </c>
      <c r="U9" s="2" t="s">
        <v>41</v>
      </c>
      <c r="V9" s="2" t="s">
        <v>42</v>
      </c>
      <c r="X9" s="2"/>
    </row>
    <row r="10" hidden="1" spans="3:24">
      <c r="C10" s="2" t="s">
        <v>43</v>
      </c>
      <c r="D10" s="1" t="s">
        <v>44</v>
      </c>
      <c r="E10" s="1" t="s">
        <v>45</v>
      </c>
      <c r="F10" s="1" t="s">
        <v>46</v>
      </c>
      <c r="G10" s="2" t="s">
        <v>47</v>
      </c>
      <c r="I10" s="2"/>
      <c r="J10" s="2"/>
      <c r="L10" s="2"/>
      <c r="P10" s="12"/>
      <c r="R10" s="2">
        <v>1</v>
      </c>
      <c r="S10" s="2">
        <v>5</v>
      </c>
      <c r="T10" s="2">
        <f>PI()*S10^2-PI()*$T$2^2</f>
        <v>50.2654824574367</v>
      </c>
      <c r="U10" s="2">
        <f>T10/(PI()*$S$2^2)</f>
        <v>64</v>
      </c>
      <c r="V10" s="12">
        <v>0.5</v>
      </c>
      <c r="X10" s="2"/>
    </row>
    <row r="11" hidden="1" spans="2:24">
      <c r="B11" s="1" t="s">
        <v>48</v>
      </c>
      <c r="C11" s="2">
        <v>7</v>
      </c>
      <c r="D11" s="1">
        <f>PI()*(D3+J2)^2</f>
        <v>32.1699087727595</v>
      </c>
      <c r="E11" s="1">
        <f>PI()*(O4^2-T2^2)</f>
        <v>172.787595947439</v>
      </c>
      <c r="F11" s="11">
        <f t="shared" ref="F11:F16" si="0">D11/E11</f>
        <v>0.186181818181818</v>
      </c>
      <c r="G11" s="2">
        <v>6</v>
      </c>
      <c r="H11" s="12"/>
      <c r="I11" s="12"/>
      <c r="J11" s="12"/>
      <c r="L11" s="2"/>
      <c r="P11" s="12"/>
      <c r="R11" s="2">
        <v>2</v>
      </c>
      <c r="S11" s="2">
        <f t="shared" ref="S11:S18" si="1">S10+0.5</f>
        <v>5.5</v>
      </c>
      <c r="T11" s="2">
        <f>PI()*S11^2-PI()*$T$2^2</f>
        <v>66.7588438887831</v>
      </c>
      <c r="U11" s="2">
        <f>T11/(PI()*$S$2^2)</f>
        <v>85</v>
      </c>
      <c r="V11" s="12">
        <f t="shared" ref="V11:V18" si="2">V10+2%</f>
        <v>0.52</v>
      </c>
      <c r="X11" s="2"/>
    </row>
    <row r="12" hidden="1" spans="2:24">
      <c r="B12" s="1" t="s">
        <v>48</v>
      </c>
      <c r="C12" s="2">
        <v>11</v>
      </c>
      <c r="D12" s="1">
        <f>PI()*(D3+J2)^2</f>
        <v>32.1699087727595</v>
      </c>
      <c r="E12" s="1">
        <f>PI()*(O4^2-T2^2)</f>
        <v>172.787595947439</v>
      </c>
      <c r="F12" s="11">
        <f>D11/E11</f>
        <v>0.186181818181818</v>
      </c>
      <c r="L12" s="2"/>
      <c r="P12" s="12"/>
      <c r="R12" s="2">
        <v>3</v>
      </c>
      <c r="S12" s="2">
        <f t="shared" si="1"/>
        <v>6</v>
      </c>
      <c r="T12" s="2">
        <f>PI()*S12^2-PI()*$T$2^2</f>
        <v>84.8230016469244</v>
      </c>
      <c r="U12" s="2">
        <f>T12/(PI()*$S$2^2)</f>
        <v>108</v>
      </c>
      <c r="V12" s="12">
        <f t="shared" si="2"/>
        <v>0.54</v>
      </c>
      <c r="X12" s="2"/>
    </row>
    <row r="13" hidden="1" spans="2:24">
      <c r="B13" s="1" t="s">
        <v>48</v>
      </c>
      <c r="C13" s="12">
        <v>0.5</v>
      </c>
      <c r="F13" s="13">
        <f>F12*(1+C13)^G11</f>
        <v>2.12072727272727</v>
      </c>
      <c r="L13" s="2"/>
      <c r="P13" s="12"/>
      <c r="R13" s="2">
        <v>4</v>
      </c>
      <c r="S13" s="2">
        <f t="shared" si="1"/>
        <v>6.5</v>
      </c>
      <c r="T13" s="2">
        <f>PI()*S13^2-PI()*$T$2^2</f>
        <v>104.457955731861</v>
      </c>
      <c r="U13" s="2">
        <f>T13/(PI()*$S$2^2)</f>
        <v>133</v>
      </c>
      <c r="V13" s="12">
        <f t="shared" si="2"/>
        <v>0.56</v>
      </c>
      <c r="X13" s="2"/>
    </row>
    <row r="14" hidden="1" spans="3:24">
      <c r="C14" s="2" t="s">
        <v>49</v>
      </c>
      <c r="D14" s="1" t="s">
        <v>44</v>
      </c>
      <c r="E14" s="1" t="s">
        <v>45</v>
      </c>
      <c r="F14" s="1" t="s">
        <v>46</v>
      </c>
      <c r="G14" s="2" t="s">
        <v>47</v>
      </c>
      <c r="L14" s="2"/>
      <c r="P14" s="12"/>
      <c r="R14" s="2">
        <v>5</v>
      </c>
      <c r="S14" s="2">
        <f t="shared" si="1"/>
        <v>7</v>
      </c>
      <c r="T14" s="2">
        <f>PI()*S14^2-PI()*$T$2^2</f>
        <v>125.663706143592</v>
      </c>
      <c r="U14" s="2">
        <f>T14/(PI()*$S$2^2)</f>
        <v>160</v>
      </c>
      <c r="V14" s="12">
        <f t="shared" si="2"/>
        <v>0.58</v>
      </c>
      <c r="X14" s="2"/>
    </row>
    <row r="15" hidden="1" spans="2:24">
      <c r="B15" s="1" t="s">
        <v>50</v>
      </c>
      <c r="C15" s="2">
        <v>7</v>
      </c>
      <c r="D15" s="1">
        <f>PI()*((D3+J4/2)^2+(J3/2)^2)</f>
        <v>60.0829594999048</v>
      </c>
      <c r="E15" s="1">
        <f>PI()*((O3*2)^2-T2^2)</f>
        <v>285.884931476671</v>
      </c>
      <c r="F15" s="11">
        <f t="shared" si="0"/>
        <v>0.210164835164835</v>
      </c>
      <c r="G15" s="2">
        <v>5</v>
      </c>
      <c r="L15" s="2"/>
      <c r="P15" s="12"/>
      <c r="R15" s="2">
        <v>6</v>
      </c>
      <c r="S15" s="2">
        <f t="shared" si="1"/>
        <v>7.5</v>
      </c>
      <c r="T15" s="2">
        <f>PI()*S15^2-PI()*$T$2^2</f>
        <v>148.440252882118</v>
      </c>
      <c r="U15" s="2">
        <f>T15/(PI()*$S$2^2)</f>
        <v>189</v>
      </c>
      <c r="V15" s="12">
        <f t="shared" si="2"/>
        <v>0.6</v>
      </c>
      <c r="X15" s="2"/>
    </row>
    <row r="16" hidden="1" spans="2:24">
      <c r="B16" s="1" t="s">
        <v>50</v>
      </c>
      <c r="C16" s="2">
        <v>11</v>
      </c>
      <c r="D16" s="1">
        <f>PI()*((D3+J4/2)^2+(J3/2)^2)</f>
        <v>60.0829594999048</v>
      </c>
      <c r="E16" s="1">
        <f>PI()*((O3*2)^2-T2^2)</f>
        <v>285.884931476671</v>
      </c>
      <c r="F16" s="11">
        <f t="shared" si="0"/>
        <v>0.210164835164835</v>
      </c>
      <c r="L16" s="2"/>
      <c r="P16" s="12"/>
      <c r="R16" s="2">
        <v>7</v>
      </c>
      <c r="S16" s="2">
        <f t="shared" si="1"/>
        <v>8</v>
      </c>
      <c r="T16" s="2">
        <f>PI()*S16^2-PI()*$T$2^2</f>
        <v>172.787595947439</v>
      </c>
      <c r="U16" s="2">
        <f>T16/(PI()*$S$2^2)</f>
        <v>220</v>
      </c>
      <c r="V16" s="12">
        <f t="shared" si="2"/>
        <v>0.62</v>
      </c>
      <c r="X16" s="2"/>
    </row>
    <row r="17" hidden="1" spans="2:24">
      <c r="B17" s="1" t="s">
        <v>50</v>
      </c>
      <c r="C17" s="12">
        <f>C13</f>
        <v>0.5</v>
      </c>
      <c r="F17" s="13">
        <f>F16*(1+C17)^G15</f>
        <v>1.59593921703297</v>
      </c>
      <c r="L17" s="2"/>
      <c r="P17" s="12"/>
      <c r="R17" s="2">
        <v>8</v>
      </c>
      <c r="S17" s="2">
        <f t="shared" si="1"/>
        <v>8.5</v>
      </c>
      <c r="T17" s="2">
        <f>PI()*S17^2-PI()*$T$2^2</f>
        <v>198.705735339554</v>
      </c>
      <c r="U17" s="2">
        <f>T17/(PI()*$S$2^2)</f>
        <v>253</v>
      </c>
      <c r="V17" s="12">
        <f t="shared" si="2"/>
        <v>0.64</v>
      </c>
      <c r="X17" s="2"/>
    </row>
    <row r="18" hidden="1" spans="3:24">
      <c r="C18" s="2" t="s">
        <v>51</v>
      </c>
      <c r="D18" s="1" t="s">
        <v>52</v>
      </c>
      <c r="E18" s="1" t="s">
        <v>53</v>
      </c>
      <c r="F18" s="1" t="s">
        <v>54</v>
      </c>
      <c r="G18" s="1" t="s">
        <v>55</v>
      </c>
      <c r="H18" s="1" t="s">
        <v>56</v>
      </c>
      <c r="I18" s="1" t="s">
        <v>57</v>
      </c>
      <c r="J18" s="1" t="s">
        <v>58</v>
      </c>
      <c r="L18" s="2"/>
      <c r="P18" s="12"/>
      <c r="R18" s="2">
        <v>9</v>
      </c>
      <c r="S18" s="2">
        <f t="shared" si="1"/>
        <v>9</v>
      </c>
      <c r="T18" s="2">
        <f>PI()*S18^2-PI()*$T$2^2</f>
        <v>226.194671058465</v>
      </c>
      <c r="U18" s="2">
        <f>T18/(PI()*$S$2^2)</f>
        <v>288</v>
      </c>
      <c r="V18" s="12">
        <f t="shared" si="2"/>
        <v>0.66</v>
      </c>
      <c r="X18" s="2"/>
    </row>
    <row r="19" hidden="1" spans="2:24">
      <c r="B19" s="1" t="s">
        <v>59</v>
      </c>
      <c r="C19" s="2">
        <v>7</v>
      </c>
      <c r="D19" s="1">
        <f>(2*D3^2/(1-COS(J6/180*PI())))^0.5</f>
        <v>15.3225951510808</v>
      </c>
      <c r="E19" s="1">
        <f>COS(J6/2/180*PI())*D19</f>
        <v>15.1915082254503</v>
      </c>
      <c r="F19" s="1">
        <f>2*E19*J5/D19</f>
        <v>0.99144486137381</v>
      </c>
      <c r="G19" s="13">
        <f>($T$2-F19)*TAN($J$6/2/180*PI())*($T$2-F19)</f>
        <v>0.531124847517513</v>
      </c>
      <c r="H19" s="1">
        <f>D3*E19</f>
        <v>30.3830164509006</v>
      </c>
      <c r="I19" s="1">
        <f>($O$2-F19)*TAN($J$6/2/180*PI())*($O$2-F19)</f>
        <v>4.75301521325293</v>
      </c>
      <c r="J19" s="1">
        <f>_xlfn.IFS((E19+F19)&lt;T$2,0,AND(F19&lt;T$2,(E19+F19)&lt;O$2),I19-G19,AND(F19&lt;T$2,(E19+F19)&gt;=O$2),H19-G19,AND(F19&lt;O$2,(E19+F19)&lt;O$2),H19,AND(F19&lt;O$2,(E19+F19)&gt;=O$2),I19,F19&gt;=7,0)</f>
        <v>29.8518916033831</v>
      </c>
      <c r="L19" s="2"/>
      <c r="P19" s="12"/>
      <c r="S19" s="2"/>
      <c r="T19" s="2"/>
      <c r="U19" s="2"/>
      <c r="V19" s="2"/>
      <c r="W19" s="12"/>
      <c r="X19" s="2"/>
    </row>
    <row r="20" hidden="1" spans="2:24">
      <c r="B20" s="1" t="s">
        <v>59</v>
      </c>
      <c r="C20" s="2">
        <v>11</v>
      </c>
      <c r="D20" s="1" t="s">
        <v>52</v>
      </c>
      <c r="E20" s="1" t="s">
        <v>53</v>
      </c>
      <c r="F20" s="1" t="s">
        <v>54</v>
      </c>
      <c r="G20" s="1" t="s">
        <v>55</v>
      </c>
      <c r="H20" s="1" t="s">
        <v>56</v>
      </c>
      <c r="I20" s="1" t="s">
        <v>57</v>
      </c>
      <c r="J20" s="1" t="s">
        <v>60</v>
      </c>
      <c r="L20" s="2"/>
      <c r="P20" s="12"/>
      <c r="R20" s="1" t="s">
        <v>61</v>
      </c>
      <c r="S20" s="2" t="s">
        <v>62</v>
      </c>
      <c r="T20" s="2" t="s">
        <v>40</v>
      </c>
      <c r="U20" s="2" t="s">
        <v>42</v>
      </c>
      <c r="V20" s="2" t="s">
        <v>63</v>
      </c>
      <c r="W20" s="12"/>
      <c r="X20" s="2"/>
    </row>
    <row r="21" hidden="1" spans="2:24">
      <c r="B21" s="1" t="s">
        <v>59</v>
      </c>
      <c r="C21" s="12">
        <f>C13</f>
        <v>0.5</v>
      </c>
      <c r="D21" s="1">
        <f>(2*D3^2/(1-COS($J$7/180*PI())))^0.5</f>
        <v>3.28535926340916</v>
      </c>
      <c r="E21" s="1">
        <f>COS($J$7/2/180*PI())*D21</f>
        <v>2.60645074568241</v>
      </c>
      <c r="F21" s="1">
        <f>2*E21*J5/D21</f>
        <v>0.793353340291235</v>
      </c>
      <c r="G21" s="13">
        <f>(T2-F21)*TAN(J7/2/180*PI())*(T2-F21)</f>
        <v>3.73633723090285</v>
      </c>
      <c r="H21" s="1">
        <f>D3*E21</f>
        <v>5.21290149136482</v>
      </c>
      <c r="I21" s="1">
        <f>(O2-F21)*TAN(J7/2/180*PI())*(O2-F21)</f>
        <v>29.5593253179915</v>
      </c>
      <c r="J21" s="1">
        <f>_xlfn.IFS((E21+F21)&lt;T$2,0,AND(F21&lt;T$2,(E21+F21)&lt;O$2),I21-G21,AND(F21&lt;T$2,(E21+F21)&gt;=O$2),H21-G21,AND(F21&lt;O$2,(E21+F21)&lt;O$2),H21,AND(F21&lt;O$2,(E21+F21)&gt;=O$2),I21,F21&gt;=7,0)</f>
        <v>25.8229880870886</v>
      </c>
      <c r="L21" s="2"/>
      <c r="P21" s="12"/>
      <c r="S21" s="2">
        <v>1.2</v>
      </c>
      <c r="T21" s="2">
        <f>PI()*S21^2</f>
        <v>4.5238934211693</v>
      </c>
      <c r="U21" s="12">
        <v>0.88</v>
      </c>
      <c r="V21" s="2">
        <f>((S21+0.5)/$S$2)^2*U21</f>
        <v>10.1728</v>
      </c>
      <c r="W21" s="12"/>
      <c r="X21" s="2"/>
    </row>
    <row r="22" hidden="1" spans="3:24">
      <c r="C22" s="2"/>
      <c r="D22" s="1" t="s">
        <v>52</v>
      </c>
      <c r="E22" s="1" t="s">
        <v>53</v>
      </c>
      <c r="F22" s="1" t="s">
        <v>54</v>
      </c>
      <c r="G22" s="1" t="s">
        <v>55</v>
      </c>
      <c r="H22" s="1" t="s">
        <v>56</v>
      </c>
      <c r="I22" s="1" t="s">
        <v>57</v>
      </c>
      <c r="J22" s="1" t="s">
        <v>64</v>
      </c>
      <c r="L22" s="2"/>
      <c r="P22" s="12"/>
      <c r="S22" s="2"/>
      <c r="T22" s="2"/>
      <c r="U22" s="2"/>
      <c r="V22" s="2"/>
      <c r="W22" s="12"/>
      <c r="X22" s="2"/>
    </row>
    <row r="23" hidden="1" spans="3:24">
      <c r="C23" s="2"/>
      <c r="D23" s="1">
        <f>(2*D3^2/(1-COS($J$8/180*PI())))^0.5</f>
        <v>2.82842712474619</v>
      </c>
      <c r="E23" s="1">
        <f>COS($J$8/2/180*PI())*D23</f>
        <v>2</v>
      </c>
      <c r="F23" s="1">
        <f>2*E23*$J$5/D23</f>
        <v>0.707106781186548</v>
      </c>
      <c r="G23" s="13">
        <f>($T$2-F23)*TAN($J$8/2/180*PI())*($T$2-F23)</f>
        <v>5.25735931288071</v>
      </c>
      <c r="H23" s="1">
        <f>D3*E23</f>
        <v>4</v>
      </c>
      <c r="I23" s="1">
        <f>($O$2-F23)*TAN($J$8/2/180*PI())*($O$2-F23)</f>
        <v>39.6005050633883</v>
      </c>
      <c r="J23" s="1">
        <f>_xlfn.IFS((E23+F23)&lt;T$2,0,AND(F23&lt;T$2,(E23+F23)&lt;O$2),I23-G23,AND(F23&lt;T$2,(E23+F23)&gt;=O$2),H23-G23,AND(F23&lt;O$2,(E23+F23)&lt;O$2),H23,AND(F23&lt;O$2,(E23+F23)&gt;=O$2),I23,F23&gt;=7,0)</f>
        <v>0</v>
      </c>
      <c r="L23" s="2"/>
      <c r="P23" s="12"/>
      <c r="R23" s="1" t="s">
        <v>65</v>
      </c>
      <c r="S23" s="2" t="s">
        <v>66</v>
      </c>
      <c r="T23" s="2" t="s">
        <v>40</v>
      </c>
      <c r="U23" s="2" t="s">
        <v>42</v>
      </c>
      <c r="V23" s="2" t="s">
        <v>63</v>
      </c>
      <c r="W23" s="12"/>
      <c r="X23" s="2"/>
    </row>
    <row r="24" hidden="1" spans="3:24">
      <c r="C24" s="2"/>
      <c r="D24" s="1" t="s">
        <v>67</v>
      </c>
      <c r="E24" s="1" t="s">
        <v>68</v>
      </c>
      <c r="F24" s="1" t="s">
        <v>69</v>
      </c>
      <c r="G24" s="14" t="s">
        <v>70</v>
      </c>
      <c r="H24" s="15" t="s">
        <v>71</v>
      </c>
      <c r="I24" s="2" t="s">
        <v>47</v>
      </c>
      <c r="J24" s="2" t="s">
        <v>72</v>
      </c>
      <c r="L24" s="2"/>
      <c r="P24" s="12"/>
      <c r="S24" s="2" t="s">
        <v>73</v>
      </c>
      <c r="T24" s="2">
        <f>4*2</f>
        <v>8</v>
      </c>
      <c r="U24" s="12">
        <v>0.88</v>
      </c>
      <c r="V24" s="2">
        <f>T24/(PI()*$S$2^2)*U24</f>
        <v>8.96360639493555</v>
      </c>
      <c r="W24" s="27">
        <f>V24/V21</f>
        <v>0.881134633034715</v>
      </c>
      <c r="X24" s="2"/>
    </row>
    <row r="25" hidden="1" spans="3:23">
      <c r="C25" s="2"/>
      <c r="D25" s="1">
        <f>($J$5+D3*2)*($O$2-$T$2)</f>
        <v>18</v>
      </c>
      <c r="E25" s="1">
        <f>PI()*($O$2^2-$T$2^2)</f>
        <v>125.663706143592</v>
      </c>
      <c r="F25" s="11">
        <f t="shared" ref="F25:F28" si="3">D25/E25</f>
        <v>0.143239448782706</v>
      </c>
      <c r="G25" s="16">
        <f>SUM(J19,J21,J23,D25*3)/E25</f>
        <v>0.872764961787375</v>
      </c>
      <c r="H25" s="16">
        <f>F25*3</f>
        <v>0.429718346348117</v>
      </c>
      <c r="I25" s="2">
        <v>6</v>
      </c>
      <c r="J25" s="1">
        <f>F25*(1+C21)^I25</f>
        <v>1.63158684629051</v>
      </c>
      <c r="S25" s="2"/>
      <c r="T25" s="2"/>
      <c r="U25" s="12"/>
      <c r="V25" s="2"/>
      <c r="W25" s="27"/>
    </row>
    <row r="26" hidden="1" spans="3:23">
      <c r="C26" s="2" t="s">
        <v>43</v>
      </c>
      <c r="D26" s="1" t="s">
        <v>44</v>
      </c>
      <c r="E26" s="1" t="s">
        <v>45</v>
      </c>
      <c r="F26" s="1" t="s">
        <v>46</v>
      </c>
      <c r="G26" s="2" t="s">
        <v>47</v>
      </c>
      <c r="L26" s="2"/>
      <c r="R26" s="1" t="s">
        <v>74</v>
      </c>
      <c r="S26" s="2" t="s">
        <v>66</v>
      </c>
      <c r="T26" s="2" t="s">
        <v>40</v>
      </c>
      <c r="U26" s="2" t="s">
        <v>42</v>
      </c>
      <c r="V26" s="2" t="s">
        <v>63</v>
      </c>
      <c r="W26" s="2"/>
    </row>
    <row r="27" hidden="1" spans="2:23">
      <c r="B27" s="1" t="s">
        <v>75</v>
      </c>
      <c r="C27" s="2">
        <v>0.5</v>
      </c>
      <c r="D27" s="1">
        <f>PI()*(C27+J2)^2</f>
        <v>9.0792027688745</v>
      </c>
      <c r="E27" s="1">
        <f>PI()*(O4^2-T2^2)</f>
        <v>172.787595947439</v>
      </c>
      <c r="F27" s="11">
        <f t="shared" si="3"/>
        <v>0.0525454545454545</v>
      </c>
      <c r="G27" s="2">
        <v>4</v>
      </c>
      <c r="L27" s="2"/>
      <c r="Q27" s="12"/>
      <c r="R27" s="2"/>
      <c r="S27" s="2" t="s">
        <v>76</v>
      </c>
      <c r="T27" s="2">
        <f>6.5*1.5</f>
        <v>9.75</v>
      </c>
      <c r="U27" s="12">
        <v>0.85</v>
      </c>
      <c r="V27" s="2">
        <f>T27/(PI()*$S$2^2)*U27</f>
        <v>10.5519727269927</v>
      </c>
      <c r="W27" s="2">
        <f>V27/V21</f>
        <v>1.0372731919425</v>
      </c>
    </row>
    <row r="28" hidden="1" spans="2:20">
      <c r="B28" s="1" t="s">
        <v>75</v>
      </c>
      <c r="C28" s="2">
        <v>0.9</v>
      </c>
      <c r="D28" s="1">
        <f>PI()*(C28+J2)^2</f>
        <v>13.854423602331</v>
      </c>
      <c r="E28" s="1">
        <f>PI()*(O4^2-T2^2)</f>
        <v>172.787595947439</v>
      </c>
      <c r="F28" s="11">
        <f t="shared" si="3"/>
        <v>0.0801818181818182</v>
      </c>
      <c r="L28" s="2"/>
      <c r="Q28" s="12"/>
      <c r="R28" s="2"/>
      <c r="S28" s="2"/>
      <c r="T28" s="2"/>
    </row>
    <row r="29" hidden="1" spans="2:20">
      <c r="B29" s="1" t="s">
        <v>75</v>
      </c>
      <c r="C29" s="12">
        <f>C13</f>
        <v>0.5</v>
      </c>
      <c r="F29" s="13">
        <f>(1-(1-F28)^((1+C29)*0.5))*3</f>
        <v>0.18228056726074</v>
      </c>
      <c r="L29" s="2"/>
      <c r="Q29" s="12"/>
      <c r="R29" s="2"/>
      <c r="S29" s="2"/>
      <c r="T29" s="2"/>
    </row>
    <row r="30" hidden="1" spans="3:18">
      <c r="C30" s="2" t="s">
        <v>49</v>
      </c>
      <c r="D30" s="1" t="s">
        <v>44</v>
      </c>
      <c r="E30" s="1" t="s">
        <v>45</v>
      </c>
      <c r="F30" s="1" t="s">
        <v>46</v>
      </c>
      <c r="G30" s="2" t="s">
        <v>47</v>
      </c>
      <c r="L30" s="2"/>
      <c r="Q30" s="12"/>
      <c r="R30" s="2"/>
    </row>
    <row r="31" hidden="1" spans="2:18">
      <c r="B31" s="1" t="s">
        <v>77</v>
      </c>
      <c r="C31" s="2">
        <f t="shared" ref="C31:C33" si="4">C27</f>
        <v>0.5</v>
      </c>
      <c r="D31" s="1">
        <f>PI()*((C31+J4/2)^2+(J3/2)^2)</f>
        <v>31.8086256175967</v>
      </c>
      <c r="E31" s="1">
        <f>PI()*((O3*2)^2-T2^2)</f>
        <v>285.884931476671</v>
      </c>
      <c r="F31" s="11">
        <f>D31/E31</f>
        <v>0.111263736263736</v>
      </c>
      <c r="G31" s="2">
        <v>3</v>
      </c>
      <c r="L31" s="2"/>
      <c r="Q31" s="12"/>
      <c r="R31" s="2"/>
    </row>
    <row r="32" hidden="1" spans="2:18">
      <c r="B32" s="1" t="s">
        <v>77</v>
      </c>
      <c r="C32" s="2">
        <f t="shared" si="4"/>
        <v>0.9</v>
      </c>
      <c r="D32" s="1">
        <f>PI()*((C32+J4/2)^2+(J3/2)^2)</f>
        <v>37.9661472186326</v>
      </c>
      <c r="E32" s="1">
        <f>PI()*((O3*2)^2-T2^2)</f>
        <v>285.884931476671</v>
      </c>
      <c r="F32" s="11">
        <f>D32/E32</f>
        <v>0.132802197802198</v>
      </c>
      <c r="L32" s="2"/>
      <c r="Q32" s="12"/>
      <c r="R32" s="2"/>
    </row>
    <row r="33" hidden="1" spans="2:18">
      <c r="B33" s="1" t="s">
        <v>77</v>
      </c>
      <c r="C33" s="12">
        <f t="shared" si="4"/>
        <v>0.5</v>
      </c>
      <c r="F33" s="13">
        <f>(1-(1-F32)^((1+C33)*0.5))*3</f>
        <v>0.304062118848676</v>
      </c>
      <c r="L33" s="2"/>
      <c r="Q33" s="12"/>
      <c r="R33" s="2"/>
    </row>
    <row r="34" hidden="1" spans="3:18">
      <c r="C34" s="2" t="s">
        <v>78</v>
      </c>
      <c r="D34" s="1" t="s">
        <v>52</v>
      </c>
      <c r="E34" s="1" t="s">
        <v>53</v>
      </c>
      <c r="F34" s="1" t="s">
        <v>54</v>
      </c>
      <c r="G34" s="1" t="s">
        <v>55</v>
      </c>
      <c r="H34" s="1" t="s">
        <v>56</v>
      </c>
      <c r="I34" s="1" t="s">
        <v>57</v>
      </c>
      <c r="J34" s="1" t="s">
        <v>58</v>
      </c>
      <c r="L34" s="2"/>
      <c r="Q34" s="12"/>
      <c r="R34" s="2"/>
    </row>
    <row r="35" hidden="1" spans="2:18">
      <c r="B35" s="1" t="s">
        <v>79</v>
      </c>
      <c r="C35" s="2">
        <f t="shared" ref="C35:C37" si="5">C31</f>
        <v>0.5</v>
      </c>
      <c r="D35" s="1">
        <f>(2*C35^2/(1-COS($J$6/180*PI())))^0.5</f>
        <v>3.8306487877702</v>
      </c>
      <c r="E35" s="1">
        <f>COS($J$6/2/180*PI())*D35</f>
        <v>3.79787705636258</v>
      </c>
      <c r="F35" s="1">
        <f>2*E35*$J$5/D35</f>
        <v>0.99144486137381</v>
      </c>
      <c r="G35" s="13">
        <f>($T$2-F35)*TAN($J$6/2/180*PI())*($T$2-F35)</f>
        <v>0.531124847517513</v>
      </c>
      <c r="H35" s="1">
        <f>C35*E35</f>
        <v>1.89893852818129</v>
      </c>
      <c r="I35" s="1">
        <f>($O$2-F35)*TAN($J$6/2/180*PI())*($O$2-F35)</f>
        <v>4.75301521325293</v>
      </c>
      <c r="J35" s="1">
        <f>_xlfn.IFS((E35+F35)&lt;T$2,0,AND(F35&lt;T$2,(E35+F35)&lt;O$2),I35-G35,AND(F35&lt;T$2,(E35+F35)&gt;=O$2),H35-G35,AND(F35&lt;O$2,(E35+F35)&lt;O$2),H35,AND(F35&lt;O$2,(E35+F35)&gt;=O$2),I35,F35&gt;=7,0)</f>
        <v>4.22189036573542</v>
      </c>
      <c r="L35" s="2"/>
      <c r="Q35" s="12"/>
      <c r="R35" s="2"/>
    </row>
    <row r="36" hidden="1" spans="2:18">
      <c r="B36" s="1" t="s">
        <v>79</v>
      </c>
      <c r="C36" s="2">
        <f t="shared" si="5"/>
        <v>0.9</v>
      </c>
      <c r="D36" s="1" t="s">
        <v>52</v>
      </c>
      <c r="E36" s="1" t="s">
        <v>53</v>
      </c>
      <c r="F36" s="1" t="s">
        <v>54</v>
      </c>
      <c r="G36" s="1" t="s">
        <v>55</v>
      </c>
      <c r="H36" s="1" t="s">
        <v>56</v>
      </c>
      <c r="I36" s="1" t="s">
        <v>57</v>
      </c>
      <c r="J36" s="1" t="s">
        <v>60</v>
      </c>
      <c r="L36" s="2"/>
      <c r="Q36" s="12"/>
      <c r="R36" s="2"/>
    </row>
    <row r="37" hidden="1" spans="2:18">
      <c r="B37" s="1" t="s">
        <v>79</v>
      </c>
      <c r="C37" s="12">
        <f t="shared" si="5"/>
        <v>0.5</v>
      </c>
      <c r="D37" s="1">
        <f>(2*C35^2/(1-COS($J$7/180*PI())))^0.5</f>
        <v>0.821339815852291</v>
      </c>
      <c r="E37" s="1">
        <f>COS($J$7/2/180*PI())*D37</f>
        <v>0.651612686420603</v>
      </c>
      <c r="F37" s="1">
        <f>2*E37*$J$5/D37</f>
        <v>0.793353340291235</v>
      </c>
      <c r="G37" s="13">
        <f>($T$2-F37)*TAN($J$6/2/180*PI())*($T$2-F37)</f>
        <v>0.641054121623861</v>
      </c>
      <c r="H37" s="1">
        <f>C35*E37</f>
        <v>0.325806343210301</v>
      </c>
      <c r="I37" s="1">
        <f>($O$2-F37)*TAN($J$6/2/180*PI())*($O$2-F37)</f>
        <v>5.07157843537054</v>
      </c>
      <c r="J37" s="1">
        <f>_xlfn.IFS((E37+F37)&lt;T$2,0,AND(F37&lt;T$2,(E37+F37)&lt;O$2),I37-G37,AND(F37&lt;T$2,(E37+F37)&gt;=O$2),H37-G37,AND(F37&lt;O$2,(E37+F37)&lt;O$2),H37,AND(F37&lt;O$2,(E37+F37)&gt;=O$2),I37,F37&gt;=7,0)</f>
        <v>0</v>
      </c>
      <c r="L37" s="2"/>
      <c r="Q37" s="12"/>
      <c r="R37" s="2"/>
    </row>
    <row r="38" hidden="1" spans="3:18">
      <c r="C38" s="2"/>
      <c r="D38" s="1" t="s">
        <v>52</v>
      </c>
      <c r="E38" s="1" t="s">
        <v>53</v>
      </c>
      <c r="F38" s="1" t="s">
        <v>54</v>
      </c>
      <c r="G38" s="1" t="s">
        <v>55</v>
      </c>
      <c r="H38" s="1" t="s">
        <v>56</v>
      </c>
      <c r="I38" s="1" t="s">
        <v>57</v>
      </c>
      <c r="J38" s="1" t="s">
        <v>64</v>
      </c>
      <c r="L38" s="2"/>
      <c r="Q38" s="12"/>
      <c r="R38" s="2"/>
    </row>
    <row r="39" hidden="1" spans="3:18">
      <c r="C39" s="2"/>
      <c r="D39" s="1">
        <f>(2*C35^2/(1-COS($J$8/180*PI())))^0.5</f>
        <v>0.707106781186548</v>
      </c>
      <c r="E39" s="1">
        <f>COS($J$8/2/180*PI())*D39</f>
        <v>0.5</v>
      </c>
      <c r="F39" s="1">
        <f>2*E39*$J$5/D39</f>
        <v>0.707106781186548</v>
      </c>
      <c r="G39" s="13">
        <f>($T$2-F39)*TAN($J$8/2/180*PI())*($T$2-F39)</f>
        <v>5.25735931288071</v>
      </c>
      <c r="H39" s="1">
        <f>C35*E39</f>
        <v>0.25</v>
      </c>
      <c r="I39" s="1">
        <f>($O$2-F39)*TAN($J$8/2/180*PI())*($O$2-F39)</f>
        <v>39.6005050633883</v>
      </c>
      <c r="J39" s="1">
        <f>_xlfn.IFS((E39+F39)&lt;T$2,0,AND(F39&lt;T$2,(E39+F39)&lt;O$2),I39-G39,AND(F39&lt;T$2,(E39+F39)&gt;=O$2),H39-G39,AND(F39&lt;O$2,(E39+F39)&lt;O$2),H39,AND(F39&lt;O$2,(E39+F39)&gt;=O$2),I39,F39&gt;=7,0)</f>
        <v>0</v>
      </c>
      <c r="L39" s="2"/>
      <c r="Q39" s="12"/>
      <c r="R39" s="2"/>
    </row>
    <row r="40" hidden="1" spans="3:18">
      <c r="C40" s="2"/>
      <c r="D40" s="1" t="s">
        <v>67</v>
      </c>
      <c r="E40" s="1" t="s">
        <v>68</v>
      </c>
      <c r="F40" s="1" t="s">
        <v>69</v>
      </c>
      <c r="G40" s="17" t="s">
        <v>80</v>
      </c>
      <c r="H40" s="5" t="s">
        <v>81</v>
      </c>
      <c r="L40" s="2"/>
      <c r="Q40" s="12"/>
      <c r="R40" s="2"/>
    </row>
    <row r="41" hidden="1" spans="4:18">
      <c r="D41" s="1">
        <f>($J$5+C35*2)*($O$2-$T$2)</f>
        <v>6</v>
      </c>
      <c r="E41" s="1">
        <f>PI()*($O$5^2-$T$2^2)</f>
        <v>172.787595947439</v>
      </c>
      <c r="F41" s="11">
        <f>D41/E41</f>
        <v>0.0347247148564135</v>
      </c>
      <c r="G41" s="18">
        <f>SUM(J35,J37,J39,D41*6)/E41</f>
        <v>0.232782278989348</v>
      </c>
      <c r="H41" s="17">
        <f>9*G41</f>
        <v>2.09504051090413</v>
      </c>
      <c r="L41" s="2"/>
      <c r="Q41" s="12"/>
      <c r="R41" s="2"/>
    </row>
    <row r="42" hidden="1" spans="4:19">
      <c r="D42" s="1" t="s">
        <v>52</v>
      </c>
      <c r="E42" s="1" t="s">
        <v>53</v>
      </c>
      <c r="F42" s="1" t="s">
        <v>54</v>
      </c>
      <c r="G42" s="1" t="s">
        <v>55</v>
      </c>
      <c r="H42" s="1" t="s">
        <v>56</v>
      </c>
      <c r="I42" s="1" t="s">
        <v>57</v>
      </c>
      <c r="J42" s="1" t="s">
        <v>58</v>
      </c>
      <c r="N42" s="1"/>
      <c r="R42" s="2"/>
      <c r="S42" s="2"/>
    </row>
    <row r="43" hidden="1" spans="4:18">
      <c r="D43" s="1">
        <f>(2*C36^2/(1-COS($J$6/180*PI())))^0.5</f>
        <v>6.89516781798635</v>
      </c>
      <c r="E43" s="1">
        <f>COS($J$6/2/180*PI())*D43</f>
        <v>6.83617870145264</v>
      </c>
      <c r="F43" s="1">
        <f>2*E43*$J$5/D43</f>
        <v>0.99144486137381</v>
      </c>
      <c r="G43" s="13">
        <f>($T$2-F43)*TAN($J$6/2/180*PI())*($T$2-F43)</f>
        <v>0.531124847517513</v>
      </c>
      <c r="H43" s="1">
        <f>C36*E43</f>
        <v>6.15256083130737</v>
      </c>
      <c r="I43" s="1">
        <f>($O$2-F43)*TAN($J$6/2/180*PI())*($O$2-F43)</f>
        <v>4.75301521325293</v>
      </c>
      <c r="J43" s="1">
        <f>_xlfn.IFS((E43+F43)&lt;T$2,0,AND(F43&lt;T$2,(E43+F43)&lt;O$2),I43-G43,AND(F43&lt;T$2,(E43+F43)&gt;=O$2),H43-G43,AND(F43&lt;O$2,(E43+F43)&lt;O$2),H43,AND(F43&lt;O$2,(E43+F43)&gt;=O$2),I43,F43&gt;=7,0)</f>
        <v>5.62143598378986</v>
      </c>
      <c r="N43" s="1"/>
      <c r="O43" s="1"/>
      <c r="P43" s="1"/>
      <c r="R43" s="2"/>
    </row>
    <row r="44" hidden="1" spans="4:18">
      <c r="D44" s="1" t="s">
        <v>52</v>
      </c>
      <c r="E44" s="1" t="s">
        <v>53</v>
      </c>
      <c r="F44" s="1" t="s">
        <v>54</v>
      </c>
      <c r="G44" s="1" t="s">
        <v>55</v>
      </c>
      <c r="H44" s="1" t="s">
        <v>56</v>
      </c>
      <c r="I44" s="1" t="s">
        <v>57</v>
      </c>
      <c r="J44" s="1" t="s">
        <v>60</v>
      </c>
      <c r="N44" s="1"/>
      <c r="O44" s="1"/>
      <c r="P44" s="1"/>
      <c r="R44" s="2"/>
    </row>
    <row r="45" hidden="1" spans="4:18">
      <c r="D45" s="1">
        <f>(2*C36^2/(1-COS($J$7/180*PI())))^0.5</f>
        <v>1.47841166853412</v>
      </c>
      <c r="E45" s="1">
        <f>COS($J$7/2/180*PI())*D45</f>
        <v>1.17290283555709</v>
      </c>
      <c r="F45" s="1">
        <f>2*E45*$J$5/D45</f>
        <v>0.793353340291235</v>
      </c>
      <c r="G45" s="13">
        <f>($T$2-F45)*TAN($J$6/2/180*PI())*($T$2-F45)</f>
        <v>0.641054121623861</v>
      </c>
      <c r="H45" s="1">
        <f>C36*E45</f>
        <v>1.05561255200138</v>
      </c>
      <c r="I45" s="1">
        <f>($O$2-F45)*TAN($J$6/2/180*PI())*($O$2-F45)</f>
        <v>5.07157843537054</v>
      </c>
      <c r="J45" s="1">
        <f>_xlfn.IFS((E45+F45)&lt;T$2,0,AND(F45&lt;T$2,(E45+F45)&lt;O$2),I45-G45,AND(F45&lt;T$2,(E45+F45)&gt;=O$2),H45-G45,AND(F45&lt;O$2,(E45+F45)&lt;O$2),H45,AND(F45&lt;O$2,(E45+F45)&gt;=O$2),I45,F45&gt;=7,0)</f>
        <v>0</v>
      </c>
      <c r="N45" s="1"/>
      <c r="O45" s="1"/>
      <c r="P45" s="1"/>
      <c r="R45" s="2"/>
    </row>
    <row r="46" hidden="1" spans="4:18">
      <c r="D46" s="1" t="s">
        <v>52</v>
      </c>
      <c r="E46" s="1" t="s">
        <v>53</v>
      </c>
      <c r="F46" s="1" t="s">
        <v>54</v>
      </c>
      <c r="G46" s="1" t="s">
        <v>55</v>
      </c>
      <c r="H46" s="1" t="s">
        <v>56</v>
      </c>
      <c r="I46" s="1" t="s">
        <v>57</v>
      </c>
      <c r="J46" s="1" t="s">
        <v>64</v>
      </c>
      <c r="N46" s="1"/>
      <c r="O46" s="1"/>
      <c r="P46" s="1"/>
      <c r="R46" s="2"/>
    </row>
    <row r="47" hidden="1" spans="4:18">
      <c r="D47" s="1">
        <f>(2*C36^2/(1-COS($J$8/180*PI())))^0.5</f>
        <v>1.27279220613579</v>
      </c>
      <c r="E47" s="1">
        <f>COS($J$8/2/180*PI())*D47</f>
        <v>0.9</v>
      </c>
      <c r="F47" s="1">
        <f>2*E47*$J$5/D47</f>
        <v>0.707106781186548</v>
      </c>
      <c r="G47" s="13">
        <f>($T$2-F47)*TAN($J$8/2/180*PI())*($T$2-F47)</f>
        <v>5.25735931288071</v>
      </c>
      <c r="H47" s="1">
        <f>C36*E47</f>
        <v>0.81</v>
      </c>
      <c r="I47" s="1">
        <f>($O$2-F47)*TAN($J$8/2/180*PI())*($O$2-F47)</f>
        <v>39.6005050633883</v>
      </c>
      <c r="J47" s="1">
        <f>_xlfn.IFS((E47+F47)&lt;T$2,0,AND(F47&lt;T$2,(E47+F47)&lt;O$2),I47-G47,AND(F47&lt;T$2,(E47+F47)&gt;=O$2),H47-G47,AND(F47&lt;O$2,(E47+F47)&lt;O$2),H47,AND(F47&lt;O$2,(E47+F47)&gt;=O$2),I47,F47&gt;=7,0)</f>
        <v>0</v>
      </c>
      <c r="N47" s="1"/>
      <c r="O47" s="1"/>
      <c r="P47" s="1"/>
      <c r="R47" s="2"/>
    </row>
    <row r="48" hidden="1" spans="4:17">
      <c r="D48" s="1" t="s">
        <v>67</v>
      </c>
      <c r="E48" s="1" t="s">
        <v>68</v>
      </c>
      <c r="F48" s="1" t="s">
        <v>69</v>
      </c>
      <c r="G48" s="14" t="s">
        <v>80</v>
      </c>
      <c r="H48" s="15" t="s">
        <v>82</v>
      </c>
      <c r="I48" s="2" t="s">
        <v>47</v>
      </c>
      <c r="J48" s="2" t="s">
        <v>72</v>
      </c>
      <c r="N48" s="1"/>
      <c r="O48" s="1"/>
      <c r="P48" s="1"/>
      <c r="Q48" s="1"/>
    </row>
    <row r="49" hidden="1" spans="4:19">
      <c r="D49" s="1">
        <f>($J$5+C36*2)*($O$2-$T$2)</f>
        <v>9.2</v>
      </c>
      <c r="E49" s="1">
        <f>PI()*($O$5^2-$T$2^2)</f>
        <v>172.787595947439</v>
      </c>
      <c r="F49" s="11">
        <f>D49/E49</f>
        <v>0.0532445627798341</v>
      </c>
      <c r="G49" s="16">
        <f>SUM(J43,J45,J47,D49*6)/E49</f>
        <v>0.352001170282452</v>
      </c>
      <c r="H49" s="16">
        <f>F49*3</f>
        <v>0.159733688339502</v>
      </c>
      <c r="I49" s="2">
        <v>6</v>
      </c>
      <c r="J49" s="13">
        <f>(1-(1-F49)^((1+C37)*0.5))*3</f>
        <v>0.120615843356463</v>
      </c>
      <c r="N49" s="1"/>
      <c r="O49" s="26"/>
      <c r="P49" s="26"/>
      <c r="Q49" s="26"/>
      <c r="R49" s="26"/>
      <c r="S49" s="26"/>
    </row>
    <row r="50" spans="12:19">
      <c r="L50" s="1">
        <f>L56/L65</f>
        <v>0.60990099009901</v>
      </c>
      <c r="M50" s="2">
        <f>M56/M65</f>
        <v>0.863729457173968</v>
      </c>
      <c r="N50" s="1"/>
      <c r="R50" s="2"/>
      <c r="S50" s="2"/>
    </row>
    <row r="51" spans="2:19">
      <c r="B51" s="1" t="s">
        <v>83</v>
      </c>
      <c r="C51" s="1" t="s">
        <v>84</v>
      </c>
      <c r="D51" s="1" t="s">
        <v>85</v>
      </c>
      <c r="E51" s="1" t="s">
        <v>86</v>
      </c>
      <c r="F51" s="1" t="s">
        <v>87</v>
      </c>
      <c r="G51" s="2" t="s">
        <v>88</v>
      </c>
      <c r="H51" s="2" t="s">
        <v>89</v>
      </c>
      <c r="I51" s="1" t="s">
        <v>90</v>
      </c>
      <c r="J51" s="1" t="s">
        <v>91</v>
      </c>
      <c r="K51" s="1" t="s">
        <v>92</v>
      </c>
      <c r="L51" s="1" t="s">
        <v>93</v>
      </c>
      <c r="M51" s="1" t="s">
        <v>94</v>
      </c>
      <c r="N51" s="1"/>
      <c r="R51" s="2"/>
      <c r="S51" s="2"/>
    </row>
    <row r="52" spans="1:18">
      <c r="A52" s="32" t="s">
        <v>143</v>
      </c>
      <c r="B52" s="1" t="s">
        <v>95</v>
      </c>
      <c r="C52" s="28">
        <v>3</v>
      </c>
      <c r="D52" s="28">
        <v>7</v>
      </c>
      <c r="E52" s="1">
        <f>C52*G52/$N$4*(ROUNDDOWN($R$4/$N$4,0)/(ROUNDDOWN($R$4/$N$4,0)+1))</f>
        <v>0</v>
      </c>
      <c r="F52" s="1">
        <f>D52*H52/$N$4*(1/(ROUNDDOWN($R$4/$N$4,0)+1))</f>
        <v>0</v>
      </c>
      <c r="G52" s="29">
        <v>0</v>
      </c>
      <c r="H52" s="29">
        <v>0</v>
      </c>
      <c r="I52" s="31">
        <f t="shared" ref="I52:I66" si="6">F52+E52</f>
        <v>0</v>
      </c>
      <c r="J52" s="1">
        <v>1</v>
      </c>
      <c r="K52" s="1">
        <f t="shared" ref="K52:K66" si="7">I52*$V$21*J52</f>
        <v>0</v>
      </c>
      <c r="L52" s="1">
        <f t="shared" ref="L52:L66" si="8">I52*$F$13*$C$12/20</f>
        <v>0</v>
      </c>
      <c r="M52" s="1">
        <f t="shared" ref="M52:M66" si="9">MIN(I52*$F$29*12/20*(1+$C$29)^$G$27,6*(1+$C$29)^4/20/4)</f>
        <v>0</v>
      </c>
      <c r="N52" s="1"/>
      <c r="O52" s="1"/>
      <c r="P52" s="1"/>
      <c r="R52" s="2"/>
    </row>
    <row r="53" spans="1:18">
      <c r="A53" s="33" t="s">
        <v>144</v>
      </c>
      <c r="B53" s="1" t="s">
        <v>96</v>
      </c>
      <c r="C53" s="28">
        <v>3</v>
      </c>
      <c r="D53" s="28">
        <v>7</v>
      </c>
      <c r="E53" s="1">
        <f>C53*G53/$N$4*(ROUNDDOWN($R$4/$N$4,0)/(ROUNDDOWN($R$4/$N$4,0)+1))</f>
        <v>0.296153846153846</v>
      </c>
      <c r="F53" s="1">
        <f>D53*H53/$N$4*(1/(ROUNDDOWN($R$4/$N$4,0)+1))</f>
        <v>0</v>
      </c>
      <c r="G53" s="29">
        <v>0.14</v>
      </c>
      <c r="H53" s="29">
        <v>0</v>
      </c>
      <c r="I53" s="31">
        <f t="shared" si="6"/>
        <v>0.296153846153846</v>
      </c>
      <c r="J53" s="1">
        <f t="shared" ref="J53:J66" si="10">$J$52</f>
        <v>1</v>
      </c>
      <c r="K53" s="1">
        <f t="shared" si="7"/>
        <v>3.01271384615385</v>
      </c>
      <c r="L53" s="1">
        <f t="shared" si="8"/>
        <v>0.345433846153846</v>
      </c>
      <c r="M53" s="1">
        <f t="shared" si="9"/>
        <v>0.16397363913537</v>
      </c>
      <c r="N53" s="1"/>
      <c r="O53" s="1"/>
      <c r="P53" s="1"/>
      <c r="R53" s="2"/>
    </row>
    <row r="54" spans="1:18">
      <c r="A54" s="34" t="s">
        <v>145</v>
      </c>
      <c r="B54" s="1" t="s">
        <v>97</v>
      </c>
      <c r="C54" s="28">
        <v>3</v>
      </c>
      <c r="D54" s="28">
        <v>7</v>
      </c>
      <c r="E54" s="1">
        <f>C54*G54/$N$4*(ROUNDDOWN($R$4/$N$4,0)/(ROUNDDOWN($R$4/$N$4,0)+1))</f>
        <v>0.296153846153846</v>
      </c>
      <c r="F54" s="1">
        <f>D54*H54/$N$4*(1/(ROUNDDOWN($R$4/$N$4,0)+1))</f>
        <v>0</v>
      </c>
      <c r="G54" s="29">
        <v>0.14</v>
      </c>
      <c r="H54" s="29">
        <v>0</v>
      </c>
      <c r="I54" s="31">
        <f t="shared" si="6"/>
        <v>0.296153846153846</v>
      </c>
      <c r="J54" s="1">
        <f t="shared" si="10"/>
        <v>1</v>
      </c>
      <c r="K54" s="1">
        <f t="shared" si="7"/>
        <v>3.01271384615385</v>
      </c>
      <c r="L54" s="1">
        <f t="shared" si="8"/>
        <v>0.345433846153846</v>
      </c>
      <c r="M54" s="1">
        <f t="shared" si="9"/>
        <v>0.16397363913537</v>
      </c>
      <c r="N54" s="1"/>
      <c r="O54" s="1"/>
      <c r="P54" s="1"/>
      <c r="R54" s="2"/>
    </row>
    <row r="55" spans="1:19">
      <c r="A55" s="35" t="s">
        <v>146</v>
      </c>
      <c r="B55" s="1" t="s">
        <v>98</v>
      </c>
      <c r="C55" s="28">
        <v>3</v>
      </c>
      <c r="D55" s="28">
        <v>7</v>
      </c>
      <c r="E55" s="1">
        <f>C55*G55/$N$4*(ROUNDDOWN($R$4/$N$4,0)/(ROUNDDOWN($R$4/$N$4,0)+1))</f>
        <v>0.296153846153846</v>
      </c>
      <c r="F55" s="1">
        <f>D55*H55/$N$4*(1/(ROUNDDOWN($R$4/$N$4,0)+1))</f>
        <v>0.296153846153846</v>
      </c>
      <c r="G55" s="29">
        <v>0.14</v>
      </c>
      <c r="H55" s="29">
        <v>0.66</v>
      </c>
      <c r="I55" s="31">
        <f t="shared" si="6"/>
        <v>0.592307692307692</v>
      </c>
      <c r="J55" s="1">
        <f t="shared" si="10"/>
        <v>1</v>
      </c>
      <c r="K55" s="1">
        <f t="shared" si="7"/>
        <v>6.02542769230769</v>
      </c>
      <c r="L55" s="1">
        <f t="shared" si="8"/>
        <v>0.690867692307691</v>
      </c>
      <c r="M55" s="1">
        <f t="shared" si="9"/>
        <v>0.327947278270741</v>
      </c>
      <c r="N55" s="1"/>
      <c r="R55" s="2"/>
      <c r="S55" s="2"/>
    </row>
    <row r="56" spans="1:23">
      <c r="A56" s="35" t="s">
        <v>146</v>
      </c>
      <c r="B56" s="1" t="s">
        <v>99</v>
      </c>
      <c r="C56" s="28">
        <v>3</v>
      </c>
      <c r="D56" s="28">
        <v>7</v>
      </c>
      <c r="E56" s="1">
        <f>C56*G56/$N$4*(ROUNDDOWN($R$4/$N$4,0)/(ROUNDDOWN($R$4/$N$4,0)+1))</f>
        <v>0.296153846153846</v>
      </c>
      <c r="F56" s="1">
        <f>D56*H56/$N$4*(1/(ROUNDDOWN($R$4/$N$4,0)+1))</f>
        <v>0.296153846153846</v>
      </c>
      <c r="G56" s="29">
        <v>0.14</v>
      </c>
      <c r="H56" s="29">
        <v>0.66</v>
      </c>
      <c r="I56" s="31">
        <f t="shared" si="6"/>
        <v>0.592307692307692</v>
      </c>
      <c r="J56" s="1">
        <f t="shared" si="10"/>
        <v>1</v>
      </c>
      <c r="K56" s="1">
        <f t="shared" si="7"/>
        <v>6.02542769230769</v>
      </c>
      <c r="L56" s="1">
        <f t="shared" si="8"/>
        <v>0.690867692307691</v>
      </c>
      <c r="M56" s="1">
        <f t="shared" si="9"/>
        <v>0.327947278270741</v>
      </c>
      <c r="P56" s="1"/>
      <c r="R56" s="2"/>
      <c r="S56" s="2"/>
      <c r="T56" s="2"/>
      <c r="U56" s="2"/>
      <c r="V56" s="2"/>
      <c r="W56" s="2"/>
    </row>
    <row r="57" spans="1:21">
      <c r="A57" s="35" t="s">
        <v>146</v>
      </c>
      <c r="B57" s="1" t="s">
        <v>100</v>
      </c>
      <c r="C57" s="28">
        <v>3</v>
      </c>
      <c r="D57" s="28">
        <v>7</v>
      </c>
      <c r="E57" s="1">
        <f>C57*G57/$N$4*(ROUNDDOWN($R$4/$N$4,0)/(ROUNDDOWN($R$4/$N$4,0)+1))</f>
        <v>0.296153846153846</v>
      </c>
      <c r="F57" s="1">
        <f>D57*H57/$N$4*(1/(ROUNDDOWN($R$4/$N$4,0)+1))</f>
        <v>0.296153846153846</v>
      </c>
      <c r="G57" s="29">
        <v>0.14</v>
      </c>
      <c r="H57" s="29">
        <v>0.66</v>
      </c>
      <c r="I57" s="31">
        <f t="shared" si="6"/>
        <v>0.592307692307692</v>
      </c>
      <c r="J57" s="1">
        <f t="shared" si="10"/>
        <v>1</v>
      </c>
      <c r="K57" s="1">
        <f t="shared" si="7"/>
        <v>6.02542769230769</v>
      </c>
      <c r="L57" s="1">
        <f t="shared" si="8"/>
        <v>0.690867692307691</v>
      </c>
      <c r="M57" s="1">
        <f t="shared" si="9"/>
        <v>0.327947278270741</v>
      </c>
      <c r="P57" s="1"/>
      <c r="R57" s="2"/>
      <c r="S57" s="2"/>
      <c r="T57" s="2"/>
      <c r="U57" s="2"/>
    </row>
    <row r="58" spans="1:21">
      <c r="A58" s="36" t="s">
        <v>147</v>
      </c>
      <c r="B58" s="1" t="s">
        <v>101</v>
      </c>
      <c r="C58" s="28">
        <v>3</v>
      </c>
      <c r="D58" s="28">
        <v>9</v>
      </c>
      <c r="E58" s="1">
        <f>C58*G58/$N$4*(ROUNDDOWN($R$4/$N$4,0)/(ROUNDDOWN($R$4/$N$4,0)+1))</f>
        <v>0.296153846153846</v>
      </c>
      <c r="F58" s="1">
        <f>D58*H58/$N$4*(1/(ROUNDDOWN($R$4/$N$4,0)+1))</f>
        <v>0.380769230769231</v>
      </c>
      <c r="G58" s="29">
        <v>0.14</v>
      </c>
      <c r="H58" s="29">
        <v>0.66</v>
      </c>
      <c r="I58" s="31">
        <f t="shared" si="6"/>
        <v>0.676923076923077</v>
      </c>
      <c r="J58" s="1">
        <f t="shared" si="10"/>
        <v>1</v>
      </c>
      <c r="K58" s="1">
        <f t="shared" si="7"/>
        <v>6.88620307692308</v>
      </c>
      <c r="L58" s="1">
        <f t="shared" si="8"/>
        <v>0.789563076923076</v>
      </c>
      <c r="M58" s="1">
        <f t="shared" si="9"/>
        <v>0.374796889452275</v>
      </c>
      <c r="P58" s="1"/>
      <c r="R58" s="2"/>
      <c r="S58" s="2"/>
      <c r="T58" s="2"/>
      <c r="U58" s="2"/>
    </row>
    <row r="59" spans="1:21">
      <c r="A59" s="36" t="s">
        <v>147</v>
      </c>
      <c r="B59" s="1" t="s">
        <v>102</v>
      </c>
      <c r="C59" s="28">
        <v>3</v>
      </c>
      <c r="D59" s="28">
        <v>9</v>
      </c>
      <c r="E59" s="1">
        <f>C59*G59/$N$4*(ROUNDDOWN($R$4/$N$4,0)/(ROUNDDOWN($R$4/$N$4,0)+1))</f>
        <v>0.486538461538462</v>
      </c>
      <c r="F59" s="1">
        <f>D59*H59/$N$4*(1/(ROUNDDOWN($R$4/$N$4,0)+1))</f>
        <v>0.484615384615385</v>
      </c>
      <c r="G59" s="29">
        <v>0.23</v>
      </c>
      <c r="H59" s="29">
        <v>0.84</v>
      </c>
      <c r="I59" s="31">
        <f t="shared" si="6"/>
        <v>0.971153846153846</v>
      </c>
      <c r="J59" s="1">
        <f t="shared" si="10"/>
        <v>1</v>
      </c>
      <c r="K59" s="1">
        <f t="shared" si="7"/>
        <v>9.87935384615385</v>
      </c>
      <c r="L59" s="1">
        <f t="shared" si="8"/>
        <v>1.13275384615384</v>
      </c>
      <c r="M59" s="1">
        <f t="shared" si="9"/>
        <v>0.3796875</v>
      </c>
      <c r="P59" s="1"/>
      <c r="R59" s="2"/>
      <c r="S59" s="2"/>
      <c r="T59" s="2"/>
      <c r="U59" s="2"/>
    </row>
    <row r="60" spans="1:21">
      <c r="A60" s="36" t="s">
        <v>147</v>
      </c>
      <c r="B60" s="1" t="s">
        <v>103</v>
      </c>
      <c r="C60" s="28">
        <v>3</v>
      </c>
      <c r="D60" s="28">
        <v>9</v>
      </c>
      <c r="E60" s="1">
        <f>C60*G60/$N$4*(ROUNDDOWN($R$4/$N$4,0)/(ROUNDDOWN($R$4/$N$4,0)+1))</f>
        <v>0.486538461538462</v>
      </c>
      <c r="F60" s="1">
        <f>D60*H60/$N$4*(1/(ROUNDDOWN($R$4/$N$4,0)+1))</f>
        <v>0.484615384615385</v>
      </c>
      <c r="G60" s="29">
        <v>0.23</v>
      </c>
      <c r="H60" s="29">
        <v>0.84</v>
      </c>
      <c r="I60" s="31">
        <f t="shared" si="6"/>
        <v>0.971153846153846</v>
      </c>
      <c r="J60" s="1">
        <f t="shared" si="10"/>
        <v>1</v>
      </c>
      <c r="K60" s="1">
        <f t="shared" si="7"/>
        <v>9.87935384615385</v>
      </c>
      <c r="L60" s="1">
        <f t="shared" si="8"/>
        <v>1.13275384615384</v>
      </c>
      <c r="M60" s="1">
        <f t="shared" si="9"/>
        <v>0.3796875</v>
      </c>
      <c r="P60" s="1"/>
      <c r="R60" s="2"/>
      <c r="S60" s="2"/>
      <c r="T60" s="2"/>
      <c r="U60" s="2"/>
    </row>
    <row r="61" spans="1:21">
      <c r="A61" s="36" t="s">
        <v>147</v>
      </c>
      <c r="B61" s="1" t="s">
        <v>104</v>
      </c>
      <c r="C61" s="28">
        <v>3</v>
      </c>
      <c r="D61" s="28">
        <v>9</v>
      </c>
      <c r="E61" s="1">
        <f>C61*G61/$N$4*(ROUNDDOWN($R$4/$N$4,0)/(ROUNDDOWN($R$4/$N$4,0)+1))</f>
        <v>0.486538461538462</v>
      </c>
      <c r="F61" s="1">
        <f>D61*H61/$N$4*(1/(ROUNDDOWN($R$4/$N$4,0)+1))</f>
        <v>0.484615384615385</v>
      </c>
      <c r="G61" s="29">
        <v>0.23</v>
      </c>
      <c r="H61" s="29">
        <v>0.84</v>
      </c>
      <c r="I61" s="31">
        <f t="shared" si="6"/>
        <v>0.971153846153846</v>
      </c>
      <c r="J61" s="1">
        <f t="shared" si="10"/>
        <v>1</v>
      </c>
      <c r="K61" s="1">
        <f t="shared" si="7"/>
        <v>9.87935384615385</v>
      </c>
      <c r="L61" s="1">
        <f t="shared" si="8"/>
        <v>1.13275384615384</v>
      </c>
      <c r="M61" s="1">
        <f t="shared" si="9"/>
        <v>0.3796875</v>
      </c>
      <c r="P61" s="1"/>
      <c r="R61" s="2"/>
      <c r="S61" s="2"/>
      <c r="T61" s="2"/>
      <c r="U61" s="2"/>
    </row>
    <row r="62" spans="1:21">
      <c r="A62" s="37" t="s">
        <v>148</v>
      </c>
      <c r="B62" s="1" t="s">
        <v>105</v>
      </c>
      <c r="C62" s="28">
        <v>3</v>
      </c>
      <c r="D62" s="28">
        <v>9</v>
      </c>
      <c r="E62" s="1">
        <f>C62*G62/$N$4*(ROUNDDOWN($R$4/$N$4,0)/(ROUNDDOWN($R$4/$N$4,0)+1))</f>
        <v>0.486538461538462</v>
      </c>
      <c r="F62" s="1">
        <f>D62*H62/$N$4*(1/(ROUNDDOWN($R$4/$N$4,0)+1))</f>
        <v>0.484615384615385</v>
      </c>
      <c r="G62" s="29">
        <v>0.23</v>
      </c>
      <c r="H62" s="29">
        <v>0.84</v>
      </c>
      <c r="I62" s="31">
        <f t="shared" si="6"/>
        <v>0.971153846153846</v>
      </c>
      <c r="J62" s="1">
        <f t="shared" si="10"/>
        <v>1</v>
      </c>
      <c r="K62" s="1">
        <f t="shared" si="7"/>
        <v>9.87935384615385</v>
      </c>
      <c r="L62" s="1">
        <f t="shared" si="8"/>
        <v>1.13275384615384</v>
      </c>
      <c r="M62" s="1">
        <f t="shared" si="9"/>
        <v>0.3796875</v>
      </c>
      <c r="P62" s="1"/>
      <c r="R62" s="2"/>
      <c r="S62" s="2"/>
      <c r="T62" s="2"/>
      <c r="U62" s="2"/>
    </row>
    <row r="63" spans="1:21">
      <c r="A63" s="37" t="s">
        <v>148</v>
      </c>
      <c r="B63" s="1" t="s">
        <v>106</v>
      </c>
      <c r="C63" s="28">
        <v>3</v>
      </c>
      <c r="D63" s="28">
        <v>9</v>
      </c>
      <c r="E63" s="1">
        <f>C63*G63/$N$4*(ROUNDDOWN($R$4/$N$4,0)/(ROUNDDOWN($R$4/$N$4,0)+1))</f>
        <v>0.486538461538462</v>
      </c>
      <c r="F63" s="1">
        <f>D63*H63/$N$4*(1/(ROUNDDOWN($R$4/$N$4,0)+1))</f>
        <v>0.484615384615385</v>
      </c>
      <c r="G63" s="29">
        <v>0.23</v>
      </c>
      <c r="H63" s="29">
        <v>0.84</v>
      </c>
      <c r="I63" s="31">
        <f t="shared" si="6"/>
        <v>0.971153846153846</v>
      </c>
      <c r="J63" s="1">
        <f t="shared" si="10"/>
        <v>1</v>
      </c>
      <c r="K63" s="1">
        <f t="shared" si="7"/>
        <v>9.87935384615385</v>
      </c>
      <c r="L63" s="1">
        <f t="shared" si="8"/>
        <v>1.13275384615384</v>
      </c>
      <c r="M63" s="1">
        <f t="shared" si="9"/>
        <v>0.3796875</v>
      </c>
      <c r="P63" s="1"/>
      <c r="R63" s="2"/>
      <c r="S63" s="2"/>
      <c r="T63" s="2"/>
      <c r="U63" s="2"/>
    </row>
    <row r="64" spans="1:21">
      <c r="A64" s="37" t="s">
        <v>148</v>
      </c>
      <c r="B64" s="1" t="s">
        <v>107</v>
      </c>
      <c r="C64" s="28">
        <v>3</v>
      </c>
      <c r="D64" s="28">
        <v>9</v>
      </c>
      <c r="E64" s="1">
        <f>C64*G64/$N$4*(ROUNDDOWN($R$4/$N$4,0)/(ROUNDDOWN($R$4/$N$4,0)+1))</f>
        <v>0.486538461538462</v>
      </c>
      <c r="F64" s="1">
        <f>D64*H64/$N$4*(1/(ROUNDDOWN($R$4/$N$4,0)+1))</f>
        <v>0.484615384615385</v>
      </c>
      <c r="G64" s="29">
        <v>0.23</v>
      </c>
      <c r="H64" s="29">
        <v>0.84</v>
      </c>
      <c r="I64" s="31">
        <f t="shared" si="6"/>
        <v>0.971153846153846</v>
      </c>
      <c r="J64" s="1">
        <f t="shared" si="10"/>
        <v>1</v>
      </c>
      <c r="K64" s="1">
        <f t="shared" si="7"/>
        <v>9.87935384615385</v>
      </c>
      <c r="L64" s="1">
        <f t="shared" si="8"/>
        <v>1.13275384615384</v>
      </c>
      <c r="M64" s="1">
        <f t="shared" si="9"/>
        <v>0.3796875</v>
      </c>
      <c r="P64" s="1"/>
      <c r="R64" s="2"/>
      <c r="S64" s="2"/>
      <c r="T64" s="2"/>
      <c r="U64" s="2"/>
    </row>
    <row r="65" spans="1:21">
      <c r="A65" s="37" t="s">
        <v>148</v>
      </c>
      <c r="B65" s="1" t="s">
        <v>108</v>
      </c>
      <c r="C65" s="28">
        <v>3</v>
      </c>
      <c r="D65" s="28">
        <v>9</v>
      </c>
      <c r="E65" s="1">
        <f>C65*G65/$N$4*(ROUNDDOWN($R$4/$N$4,0)/(ROUNDDOWN($R$4/$N$4,0)+1))</f>
        <v>0.486538461538462</v>
      </c>
      <c r="F65" s="1">
        <f>D65*H65/$N$4*(1/(ROUNDDOWN($R$4/$N$4,0)+1))</f>
        <v>0.484615384615385</v>
      </c>
      <c r="G65" s="29">
        <v>0.23</v>
      </c>
      <c r="H65" s="29">
        <v>0.84</v>
      </c>
      <c r="I65" s="31">
        <f t="shared" si="6"/>
        <v>0.971153846153846</v>
      </c>
      <c r="J65" s="1">
        <f t="shared" si="10"/>
        <v>1</v>
      </c>
      <c r="K65" s="1">
        <f t="shared" si="7"/>
        <v>9.87935384615385</v>
      </c>
      <c r="L65" s="1">
        <f t="shared" si="8"/>
        <v>1.13275384615384</v>
      </c>
      <c r="M65" s="1">
        <f t="shared" si="9"/>
        <v>0.3796875</v>
      </c>
      <c r="P65" s="1"/>
      <c r="R65" s="2"/>
      <c r="S65" s="2"/>
      <c r="T65" s="2"/>
      <c r="U65" s="2"/>
    </row>
    <row r="66" spans="1:21">
      <c r="A66" s="38" t="s">
        <v>149</v>
      </c>
      <c r="B66" s="1" t="s">
        <v>109</v>
      </c>
      <c r="C66" s="28">
        <v>3</v>
      </c>
      <c r="D66" s="28">
        <v>9</v>
      </c>
      <c r="E66" s="1">
        <f>C66*G66/$N$4*(ROUNDDOWN($R$4/$N$4,0)/(ROUNDDOWN($R$4/$N$4,0)+1))</f>
        <v>0.486538461538462</v>
      </c>
      <c r="F66" s="1">
        <f>D66*H66/$N$4*(1/(ROUNDDOWN($R$4/$N$4,0)+1))</f>
        <v>0.484615384615385</v>
      </c>
      <c r="G66" s="29">
        <v>0.23</v>
      </c>
      <c r="H66" s="29">
        <v>0.84</v>
      </c>
      <c r="I66" s="31">
        <f t="shared" si="6"/>
        <v>0.971153846153846</v>
      </c>
      <c r="J66" s="1">
        <f t="shared" si="10"/>
        <v>1</v>
      </c>
      <c r="K66" s="1">
        <f t="shared" si="7"/>
        <v>9.87935384615385</v>
      </c>
      <c r="L66" s="1">
        <f t="shared" si="8"/>
        <v>1.13275384615384</v>
      </c>
      <c r="M66" s="1">
        <f t="shared" si="9"/>
        <v>0.3796875</v>
      </c>
      <c r="P66" s="1"/>
      <c r="R66" s="2"/>
      <c r="S66" s="2"/>
      <c r="T66" s="2"/>
      <c r="U66" s="2"/>
    </row>
    <row r="67" hidden="1" spans="1:21">
      <c r="A67" s="38" t="s">
        <v>149</v>
      </c>
      <c r="M67" s="2">
        <f>M73/M82</f>
        <v>0.553944315545243</v>
      </c>
      <c r="N67" s="2">
        <f>N73/N83</f>
        <v>0.797745394232103</v>
      </c>
      <c r="P67" s="1"/>
      <c r="R67" s="2"/>
      <c r="S67" s="2"/>
      <c r="T67" s="2"/>
      <c r="U67" s="2"/>
    </row>
    <row r="68" hidden="1" spans="1:21">
      <c r="A68" s="38" t="s">
        <v>149</v>
      </c>
      <c r="B68" s="1" t="s">
        <v>65</v>
      </c>
      <c r="C68" s="1" t="s">
        <v>110</v>
      </c>
      <c r="D68" s="1" t="s">
        <v>85</v>
      </c>
      <c r="E68" s="1" t="s">
        <v>86</v>
      </c>
      <c r="F68" s="1" t="s">
        <v>87</v>
      </c>
      <c r="G68" s="2" t="s">
        <v>88</v>
      </c>
      <c r="H68" s="2" t="s">
        <v>89</v>
      </c>
      <c r="I68" s="1" t="s">
        <v>111</v>
      </c>
      <c r="J68" s="1" t="s">
        <v>112</v>
      </c>
      <c r="K68" s="1" t="s">
        <v>91</v>
      </c>
      <c r="L68" s="1" t="s">
        <v>92</v>
      </c>
      <c r="M68" s="1" t="s">
        <v>93</v>
      </c>
      <c r="N68" s="1" t="s">
        <v>94</v>
      </c>
      <c r="P68" s="1"/>
      <c r="R68" s="2"/>
      <c r="S68" s="2"/>
      <c r="T68" s="2"/>
      <c r="U68" s="2"/>
    </row>
    <row r="69" hidden="1" spans="1:21">
      <c r="A69" s="38" t="s">
        <v>149</v>
      </c>
      <c r="B69" s="1" t="s">
        <v>113</v>
      </c>
      <c r="C69" s="1">
        <v>3</v>
      </c>
      <c r="D69" s="1">
        <v>12</v>
      </c>
      <c r="E69" s="20">
        <f>(C69*G69/$N$3*(ROUNDDOWN($R$3/$N$3,0)/(ROUNDDOWN($R$3/$N$3,0)+1)))</f>
        <v>0</v>
      </c>
      <c r="F69" s="20">
        <f>D69*H69/$N$4*(1/(ROUNDDOWN($R$4/$N$4,0)+1))</f>
        <v>0</v>
      </c>
      <c r="G69" s="19">
        <v>0</v>
      </c>
      <c r="H69" s="19">
        <v>0</v>
      </c>
      <c r="I69" s="1" t="e">
        <f t="shared" ref="I69:I83" si="11">I52/SUM(E69,F69)</f>
        <v>#DIV/0!</v>
      </c>
      <c r="J69" s="1" t="e">
        <f t="shared" ref="J69:J83" si="12">I69/$W$24</f>
        <v>#DIV/0!</v>
      </c>
      <c r="K69" s="1">
        <v>1.25</v>
      </c>
      <c r="L69" s="1">
        <f t="shared" ref="L69:L83" si="13">SUM(E69,F69)*$V$24*K69</f>
        <v>0</v>
      </c>
      <c r="M69" s="1">
        <f t="shared" ref="M69:M83" si="14">SUM(E69,F69)*$F$17*$C$16/20</f>
        <v>0</v>
      </c>
      <c r="N69" s="1">
        <f t="shared" ref="N69:N83" si="15">MIN(SUM(E69:F69)*$F$33*12/20*(1+$C$33)^$G$31,6*(1+$C$33)^4/20/4)</f>
        <v>0</v>
      </c>
      <c r="P69" s="1"/>
      <c r="R69" s="2"/>
      <c r="S69" s="2"/>
      <c r="T69" s="2"/>
      <c r="U69" s="2"/>
    </row>
    <row r="70" hidden="1" spans="2:21">
      <c r="B70" s="21" t="s">
        <v>114</v>
      </c>
      <c r="C70" s="1">
        <v>3</v>
      </c>
      <c r="D70" s="1">
        <v>12</v>
      </c>
      <c r="E70" s="20">
        <f>(C70*G70/$N$3*(ROUNDDOWN($R$3/$N$3,0)/(ROUNDDOWN($R$3/$N$3,0)+1)))</f>
        <v>0.261160714285714</v>
      </c>
      <c r="F70" s="20">
        <f>D70*H70/$N$4*(1/(ROUNDDOWN($R$4/$N$4,0)+1))</f>
        <v>0</v>
      </c>
      <c r="G70" s="19">
        <v>0.15</v>
      </c>
      <c r="H70" s="19">
        <v>0</v>
      </c>
      <c r="I70" s="1">
        <f t="shared" si="11"/>
        <v>1.13399079552926</v>
      </c>
      <c r="J70" s="1">
        <f t="shared" si="12"/>
        <v>1.28696654633093</v>
      </c>
      <c r="K70" s="1">
        <f t="shared" ref="K70:K83" si="16">$K$69</f>
        <v>1.25</v>
      </c>
      <c r="L70" s="1">
        <f t="shared" si="13"/>
        <v>2.9261773108467</v>
      </c>
      <c r="M70" s="1">
        <f t="shared" si="14"/>
        <v>0.229238144232303</v>
      </c>
      <c r="N70" s="1">
        <f t="shared" si="15"/>
        <v>0.160803387295139</v>
      </c>
      <c r="P70" s="1"/>
      <c r="R70" s="2"/>
      <c r="S70" s="2"/>
      <c r="T70" s="2"/>
      <c r="U70" s="2"/>
    </row>
    <row r="71" hidden="1" spans="2:21">
      <c r="B71" s="1" t="s">
        <v>115</v>
      </c>
      <c r="C71" s="1">
        <v>3</v>
      </c>
      <c r="D71" s="1">
        <v>12</v>
      </c>
      <c r="E71" s="20">
        <f>(C71*G71/$N$3*(ROUNDDOWN($R$3/$N$3,0)/(ROUNDDOWN($R$3/$N$3,0)+1)))</f>
        <v>0.261160714285714</v>
      </c>
      <c r="F71" s="20">
        <f>D71*H71/$N$4*(1/(ROUNDDOWN($R$4/$N$4,0)+1))</f>
        <v>0</v>
      </c>
      <c r="G71" s="19">
        <v>0.15</v>
      </c>
      <c r="H71" s="19">
        <v>0</v>
      </c>
      <c r="I71" s="1">
        <f t="shared" si="11"/>
        <v>1.13399079552926</v>
      </c>
      <c r="J71" s="1">
        <f t="shared" si="12"/>
        <v>1.28696654633093</v>
      </c>
      <c r="K71" s="1">
        <f t="shared" si="16"/>
        <v>1.25</v>
      </c>
      <c r="L71" s="1">
        <f t="shared" si="13"/>
        <v>2.9261773108467</v>
      </c>
      <c r="M71" s="1">
        <f t="shared" si="14"/>
        <v>0.229238144232303</v>
      </c>
      <c r="N71" s="1">
        <f t="shared" si="15"/>
        <v>0.160803387295139</v>
      </c>
      <c r="P71" s="1"/>
      <c r="R71" s="2"/>
      <c r="S71" s="2"/>
      <c r="T71" s="2"/>
      <c r="U71" s="2"/>
    </row>
    <row r="72" hidden="1" spans="2:21">
      <c r="B72" s="21" t="s">
        <v>116</v>
      </c>
      <c r="C72" s="1">
        <v>3</v>
      </c>
      <c r="D72" s="1">
        <v>12</v>
      </c>
      <c r="E72" s="20">
        <f>(C72*G72/$N$3*(ROUNDDOWN($R$3/$N$3,0)/(ROUNDDOWN($R$3/$N$3,0)+1)))</f>
        <v>0.261160714285714</v>
      </c>
      <c r="F72" s="20">
        <f>D72*H72/$N$4*(1/(ROUNDDOWN($R$4/$N$4,0)+1))</f>
        <v>0.230769230769231</v>
      </c>
      <c r="G72" s="19">
        <v>0.15</v>
      </c>
      <c r="H72" s="19">
        <v>0.3</v>
      </c>
      <c r="I72" s="1">
        <f t="shared" si="11"/>
        <v>1.20404886561955</v>
      </c>
      <c r="J72" s="1">
        <f t="shared" si="12"/>
        <v>1.36647547432415</v>
      </c>
      <c r="K72" s="1">
        <f t="shared" si="16"/>
        <v>1.25</v>
      </c>
      <c r="L72" s="1">
        <f t="shared" si="13"/>
        <v>5.5118330016935</v>
      </c>
      <c r="M72" s="1">
        <f t="shared" si="14"/>
        <v>0.431799660240333</v>
      </c>
      <c r="N72" s="1">
        <f t="shared" si="15"/>
        <v>0.302893954372502</v>
      </c>
      <c r="P72" s="1"/>
      <c r="R72" s="2"/>
      <c r="S72" s="2"/>
      <c r="T72" s="2"/>
      <c r="U72" s="2"/>
    </row>
    <row r="73" hidden="1" spans="2:23">
      <c r="B73" s="1" t="s">
        <v>117</v>
      </c>
      <c r="C73" s="1">
        <v>3</v>
      </c>
      <c r="D73" s="1">
        <v>12</v>
      </c>
      <c r="E73" s="20">
        <f>(C73*G73/$N$3*(ROUNDDOWN($R$3/$N$3,0)/(ROUNDDOWN($R$3/$N$3,0)+1)))</f>
        <v>0.261160714285714</v>
      </c>
      <c r="F73" s="20">
        <f>D73*H73/$N$4*(1/(ROUNDDOWN($R$4/$N$4,0)+1))</f>
        <v>0.230769230769231</v>
      </c>
      <c r="G73" s="19">
        <v>0.15</v>
      </c>
      <c r="H73" s="19">
        <v>0.3</v>
      </c>
      <c r="I73" s="1">
        <f t="shared" si="11"/>
        <v>1.20404886561955</v>
      </c>
      <c r="J73" s="1">
        <f t="shared" si="12"/>
        <v>1.36647547432415</v>
      </c>
      <c r="K73" s="1">
        <f t="shared" si="16"/>
        <v>1.25</v>
      </c>
      <c r="L73" s="1">
        <f t="shared" si="13"/>
        <v>5.5118330016935</v>
      </c>
      <c r="M73" s="1">
        <f t="shared" si="14"/>
        <v>0.431799660240333</v>
      </c>
      <c r="N73" s="1">
        <f t="shared" si="15"/>
        <v>0.302893954372502</v>
      </c>
      <c r="R73" s="2"/>
      <c r="S73" s="2"/>
      <c r="T73" s="30"/>
      <c r="U73" s="2"/>
      <c r="W73" s="2"/>
    </row>
    <row r="74" hidden="1" spans="2:23">
      <c r="B74" s="1" t="s">
        <v>118</v>
      </c>
      <c r="C74" s="1">
        <v>3</v>
      </c>
      <c r="D74" s="1">
        <v>12</v>
      </c>
      <c r="E74" s="20">
        <f>(C74*G74/$N$3*(ROUNDDOWN($R$3/$N$3,0)/(ROUNDDOWN($R$3/$N$3,0)+1)))</f>
        <v>0.261160714285714</v>
      </c>
      <c r="F74" s="20">
        <f>D74*H74/$N$4*(1/(ROUNDDOWN($R$4/$N$4,0)+1))</f>
        <v>0.230769230769231</v>
      </c>
      <c r="G74" s="19">
        <v>0.15</v>
      </c>
      <c r="H74" s="19">
        <v>0.3</v>
      </c>
      <c r="I74" s="1">
        <f t="shared" si="11"/>
        <v>1.20404886561955</v>
      </c>
      <c r="J74" s="1">
        <f t="shared" si="12"/>
        <v>1.36647547432415</v>
      </c>
      <c r="K74" s="1">
        <f t="shared" si="16"/>
        <v>1.25</v>
      </c>
      <c r="L74" s="1">
        <f t="shared" si="13"/>
        <v>5.5118330016935</v>
      </c>
      <c r="M74" s="1">
        <f t="shared" si="14"/>
        <v>0.431799660240333</v>
      </c>
      <c r="N74" s="1">
        <f t="shared" si="15"/>
        <v>0.302893954372502</v>
      </c>
      <c r="P74" s="1"/>
      <c r="R74" s="2"/>
      <c r="S74" s="2"/>
      <c r="T74" s="2"/>
      <c r="U74" s="2"/>
      <c r="V74" s="2"/>
      <c r="W74" s="2"/>
    </row>
    <row r="75" hidden="1" spans="2:23">
      <c r="B75" s="21" t="s">
        <v>119</v>
      </c>
      <c r="C75" s="1">
        <v>4</v>
      </c>
      <c r="D75" s="1">
        <v>12</v>
      </c>
      <c r="E75" s="20">
        <f>(C75*G75/$N$3*(ROUNDDOWN($R$3/$N$3,0)/(ROUNDDOWN($R$3/$N$3,0)+1)))</f>
        <v>0.348214285714286</v>
      </c>
      <c r="F75" s="20">
        <f>D75*H75/$N$4*(1/(ROUNDDOWN($R$4/$N$4,0)+1))</f>
        <v>0.230769230769231</v>
      </c>
      <c r="G75" s="19">
        <v>0.15</v>
      </c>
      <c r="H75" s="19">
        <v>0.3</v>
      </c>
      <c r="I75" s="1">
        <f t="shared" si="11"/>
        <v>1.16915776986951</v>
      </c>
      <c r="J75" s="1">
        <f t="shared" si="12"/>
        <v>1.3268775576813</v>
      </c>
      <c r="K75" s="1">
        <f t="shared" si="16"/>
        <v>1.25</v>
      </c>
      <c r="L75" s="1">
        <f t="shared" si="13"/>
        <v>6.4872254386424</v>
      </c>
      <c r="M75" s="1">
        <f t="shared" si="14"/>
        <v>0.508212374984435</v>
      </c>
      <c r="N75" s="1">
        <f t="shared" si="15"/>
        <v>0.356495083470882</v>
      </c>
      <c r="P75" s="1"/>
      <c r="R75" s="2"/>
      <c r="S75" s="2"/>
      <c r="T75" s="2"/>
      <c r="U75" s="2"/>
      <c r="W75" s="2"/>
    </row>
    <row r="76" hidden="1" spans="2:23">
      <c r="B76" s="21" t="s">
        <v>120</v>
      </c>
      <c r="C76" s="1">
        <v>4</v>
      </c>
      <c r="D76" s="1">
        <v>12</v>
      </c>
      <c r="E76" s="20">
        <f>(C76*G76/$N$3*(ROUNDDOWN($R$3/$N$3,0)/(ROUNDDOWN($R$3/$N$3,0)+1)))</f>
        <v>0.464285714285714</v>
      </c>
      <c r="F76" s="20">
        <f>D76*H76/$N$4*(1/(ROUNDDOWN($R$4/$N$4,0)+1))</f>
        <v>0.307692307692308</v>
      </c>
      <c r="G76" s="19">
        <v>0.2</v>
      </c>
      <c r="H76" s="19">
        <v>0.4</v>
      </c>
      <c r="I76" s="1">
        <f t="shared" si="11"/>
        <v>1.25800711743772</v>
      </c>
      <c r="J76" s="1">
        <f t="shared" si="12"/>
        <v>1.42771271298805</v>
      </c>
      <c r="K76" s="1">
        <f t="shared" si="16"/>
        <v>1.25</v>
      </c>
      <c r="L76" s="1">
        <f t="shared" si="13"/>
        <v>8.64963391818986</v>
      </c>
      <c r="M76" s="1">
        <f t="shared" si="14"/>
        <v>0.677616499979246</v>
      </c>
      <c r="N76" s="1">
        <f t="shared" si="15"/>
        <v>0.3796875</v>
      </c>
      <c r="P76" s="1"/>
      <c r="R76" s="2"/>
      <c r="S76" s="2"/>
      <c r="T76" s="2"/>
      <c r="U76" s="2"/>
      <c r="W76" s="2"/>
    </row>
    <row r="77" hidden="1" spans="2:23">
      <c r="B77" s="1" t="s">
        <v>121</v>
      </c>
      <c r="C77" s="1">
        <v>4</v>
      </c>
      <c r="D77" s="1">
        <v>12</v>
      </c>
      <c r="E77" s="20">
        <f>(C77*G77/$N$3*(ROUNDDOWN($R$3/$N$3,0)/(ROUNDDOWN($R$3/$N$3,0)+1)))</f>
        <v>0.464285714285714</v>
      </c>
      <c r="F77" s="20">
        <f>D77*H77/$N$4*(1/(ROUNDDOWN($R$4/$N$4,0)+1))</f>
        <v>0.307692307692308</v>
      </c>
      <c r="G77" s="19">
        <v>0.2</v>
      </c>
      <c r="H77" s="19">
        <v>0.4</v>
      </c>
      <c r="I77" s="1">
        <f t="shared" si="11"/>
        <v>1.25800711743772</v>
      </c>
      <c r="J77" s="1">
        <f t="shared" si="12"/>
        <v>1.42771271298805</v>
      </c>
      <c r="K77" s="1">
        <f t="shared" si="16"/>
        <v>1.25</v>
      </c>
      <c r="L77" s="1">
        <f t="shared" si="13"/>
        <v>8.64963391818986</v>
      </c>
      <c r="M77" s="1">
        <f t="shared" si="14"/>
        <v>0.677616499979246</v>
      </c>
      <c r="N77" s="1">
        <f t="shared" si="15"/>
        <v>0.3796875</v>
      </c>
      <c r="P77" s="1"/>
      <c r="R77" s="2"/>
      <c r="S77" s="2"/>
      <c r="T77" s="2"/>
      <c r="U77" s="2"/>
      <c r="W77" s="2"/>
    </row>
    <row r="78" hidden="1" spans="2:23">
      <c r="B78" s="1" t="s">
        <v>122</v>
      </c>
      <c r="C78" s="1">
        <v>4</v>
      </c>
      <c r="D78" s="1">
        <v>12</v>
      </c>
      <c r="E78" s="20">
        <f>(C78*G78/$N$3*(ROUNDDOWN($R$3/$N$3,0)/(ROUNDDOWN($R$3/$N$3,0)+1)))</f>
        <v>0.464285714285714</v>
      </c>
      <c r="F78" s="20">
        <f>D78*H78/$N$4*(1/(ROUNDDOWN($R$4/$N$4,0)+1))</f>
        <v>0.307692307692308</v>
      </c>
      <c r="G78" s="19">
        <v>0.2</v>
      </c>
      <c r="H78" s="19">
        <v>0.4</v>
      </c>
      <c r="I78" s="1">
        <f t="shared" si="11"/>
        <v>1.25800711743772</v>
      </c>
      <c r="J78" s="1">
        <f t="shared" si="12"/>
        <v>1.42771271298805</v>
      </c>
      <c r="K78" s="1">
        <f t="shared" si="16"/>
        <v>1.25</v>
      </c>
      <c r="L78" s="1">
        <f t="shared" si="13"/>
        <v>8.64963391818986</v>
      </c>
      <c r="M78" s="1">
        <f t="shared" si="14"/>
        <v>0.677616499979246</v>
      </c>
      <c r="N78" s="1">
        <f t="shared" si="15"/>
        <v>0.3796875</v>
      </c>
      <c r="P78" s="1"/>
      <c r="R78" s="2"/>
      <c r="S78" s="2"/>
      <c r="T78" s="2"/>
      <c r="U78" s="2"/>
      <c r="W78" s="2"/>
    </row>
    <row r="79" hidden="1" spans="2:23">
      <c r="B79" s="1" t="s">
        <v>123</v>
      </c>
      <c r="C79" s="1">
        <v>4</v>
      </c>
      <c r="D79" s="1">
        <v>12</v>
      </c>
      <c r="E79" s="20">
        <f>(C79*G79/$N$3*(ROUNDDOWN($R$3/$N$3,0)/(ROUNDDOWN($R$3/$N$3,0)+1)))</f>
        <v>0.464285714285714</v>
      </c>
      <c r="F79" s="20">
        <f>D79*H79/$N$4*(1/(ROUNDDOWN($R$4/$N$4,0)+1))</f>
        <v>0.307692307692308</v>
      </c>
      <c r="G79" s="19">
        <v>0.2</v>
      </c>
      <c r="H79" s="19">
        <v>0.4</v>
      </c>
      <c r="I79" s="1">
        <f t="shared" si="11"/>
        <v>1.25800711743772</v>
      </c>
      <c r="J79" s="1">
        <f t="shared" si="12"/>
        <v>1.42771271298805</v>
      </c>
      <c r="K79" s="1">
        <f t="shared" si="16"/>
        <v>1.25</v>
      </c>
      <c r="L79" s="1">
        <f t="shared" si="13"/>
        <v>8.64963391818986</v>
      </c>
      <c r="M79" s="1">
        <f t="shared" si="14"/>
        <v>0.677616499979246</v>
      </c>
      <c r="N79" s="1">
        <f t="shared" si="15"/>
        <v>0.3796875</v>
      </c>
      <c r="P79" s="1"/>
      <c r="R79" s="2"/>
      <c r="S79" s="2"/>
      <c r="T79" s="2"/>
      <c r="U79" s="2"/>
      <c r="W79" s="2"/>
    </row>
    <row r="80" hidden="1" spans="2:23">
      <c r="B80" s="21" t="s">
        <v>124</v>
      </c>
      <c r="C80" s="1">
        <v>5</v>
      </c>
      <c r="D80" s="1">
        <v>12</v>
      </c>
      <c r="E80" s="20">
        <f>(C80*G80/$N$3*(ROUNDDOWN($R$3/$N$3,0)/(ROUNDDOWN($R$3/$N$3,0)+1)))</f>
        <v>0.580357142857143</v>
      </c>
      <c r="F80" s="20">
        <f>D80*H80/$N$4*(1/(ROUNDDOWN($R$4/$N$4,0)+1))</f>
        <v>0.307692307692308</v>
      </c>
      <c r="G80" s="19">
        <v>0.2</v>
      </c>
      <c r="H80" s="19">
        <v>0.4</v>
      </c>
      <c r="I80" s="1">
        <f t="shared" si="11"/>
        <v>1.09358081979892</v>
      </c>
      <c r="J80" s="1">
        <f t="shared" si="12"/>
        <v>1.2411052508883</v>
      </c>
      <c r="K80" s="1">
        <f t="shared" si="16"/>
        <v>1.25</v>
      </c>
      <c r="L80" s="1">
        <f t="shared" si="13"/>
        <v>9.95015716745507</v>
      </c>
      <c r="M80" s="1">
        <f t="shared" si="14"/>
        <v>0.779500119638047</v>
      </c>
      <c r="N80" s="1">
        <f t="shared" si="15"/>
        <v>0.3796875</v>
      </c>
      <c r="P80" s="1"/>
      <c r="R80" s="2"/>
      <c r="S80" s="2"/>
      <c r="T80" s="2"/>
      <c r="U80" s="2"/>
      <c r="W80" s="2"/>
    </row>
    <row r="81" hidden="1" spans="2:23">
      <c r="B81" s="1" t="s">
        <v>125</v>
      </c>
      <c r="C81" s="1">
        <v>5</v>
      </c>
      <c r="D81" s="1">
        <v>12</v>
      </c>
      <c r="E81" s="20">
        <f>(C81*G81/$N$3*(ROUNDDOWN($R$3/$N$3,0)/(ROUNDDOWN($R$3/$N$3,0)+1)))</f>
        <v>0.580357142857143</v>
      </c>
      <c r="F81" s="20">
        <f>D81*H81/$N$4*(1/(ROUNDDOWN($R$4/$N$4,0)+1))</f>
        <v>0.307692307692308</v>
      </c>
      <c r="G81" s="19">
        <v>0.2</v>
      </c>
      <c r="H81" s="19">
        <v>0.4</v>
      </c>
      <c r="I81" s="1">
        <f t="shared" si="11"/>
        <v>1.09358081979892</v>
      </c>
      <c r="J81" s="1">
        <f t="shared" si="12"/>
        <v>1.2411052508883</v>
      </c>
      <c r="K81" s="1">
        <f t="shared" si="16"/>
        <v>1.25</v>
      </c>
      <c r="L81" s="1">
        <f t="shared" si="13"/>
        <v>9.95015716745507</v>
      </c>
      <c r="M81" s="1">
        <f t="shared" si="14"/>
        <v>0.779500119638047</v>
      </c>
      <c r="N81" s="1">
        <f t="shared" si="15"/>
        <v>0.3796875</v>
      </c>
      <c r="P81" s="1"/>
      <c r="R81" s="2"/>
      <c r="S81" s="2"/>
      <c r="T81" s="2"/>
      <c r="U81" s="2"/>
      <c r="W81" s="2"/>
    </row>
    <row r="82" hidden="1" spans="2:23">
      <c r="B82" s="1" t="s">
        <v>126</v>
      </c>
      <c r="C82" s="1">
        <v>5</v>
      </c>
      <c r="D82" s="1">
        <v>12</v>
      </c>
      <c r="E82" s="20">
        <f>(C82*G82/$N$3*(ROUNDDOWN($R$3/$N$3,0)/(ROUNDDOWN($R$3/$N$3,0)+1)))</f>
        <v>0.580357142857143</v>
      </c>
      <c r="F82" s="20">
        <f>D82*H82/$N$4*(1/(ROUNDDOWN($R$4/$N$4,0)+1))</f>
        <v>0.307692307692308</v>
      </c>
      <c r="G82" s="19">
        <v>0.2</v>
      </c>
      <c r="H82" s="19">
        <v>0.4</v>
      </c>
      <c r="I82" s="1">
        <f t="shared" si="11"/>
        <v>1.09358081979892</v>
      </c>
      <c r="J82" s="1">
        <f t="shared" si="12"/>
        <v>1.2411052508883</v>
      </c>
      <c r="K82" s="1">
        <f t="shared" si="16"/>
        <v>1.25</v>
      </c>
      <c r="L82" s="1">
        <f t="shared" si="13"/>
        <v>9.95015716745507</v>
      </c>
      <c r="M82" s="1">
        <f t="shared" si="14"/>
        <v>0.779500119638047</v>
      </c>
      <c r="N82" s="1">
        <f t="shared" si="15"/>
        <v>0.3796875</v>
      </c>
      <c r="P82" s="1"/>
      <c r="R82" s="2"/>
      <c r="S82" s="2"/>
      <c r="T82" s="2"/>
      <c r="U82" s="2"/>
      <c r="W82" s="2"/>
    </row>
    <row r="83" hidden="1" spans="2:23">
      <c r="B83" s="1" t="s">
        <v>127</v>
      </c>
      <c r="C83" s="1">
        <v>5</v>
      </c>
      <c r="D83" s="1">
        <v>12</v>
      </c>
      <c r="E83" s="20">
        <f>(C83*G83/$N$3*(ROUNDDOWN($R$3/$N$3,0)/(ROUNDDOWN($R$3/$N$3,0)+1)))</f>
        <v>0.580357142857143</v>
      </c>
      <c r="F83" s="20">
        <f>D83*H83/$N$4*(1/(ROUNDDOWN($R$4/$N$4,0)+1))</f>
        <v>0.307692307692308</v>
      </c>
      <c r="G83" s="19">
        <v>0.2</v>
      </c>
      <c r="H83" s="19">
        <v>0.4</v>
      </c>
      <c r="I83" s="1">
        <f t="shared" si="11"/>
        <v>1.09358081979892</v>
      </c>
      <c r="J83" s="1">
        <f t="shared" si="12"/>
        <v>1.2411052508883</v>
      </c>
      <c r="K83" s="1">
        <f t="shared" si="16"/>
        <v>1.25</v>
      </c>
      <c r="L83" s="1">
        <f t="shared" si="13"/>
        <v>9.95015716745507</v>
      </c>
      <c r="M83" s="1">
        <f t="shared" si="14"/>
        <v>0.779500119638047</v>
      </c>
      <c r="N83" s="1">
        <f t="shared" si="15"/>
        <v>0.3796875</v>
      </c>
      <c r="P83" s="1"/>
      <c r="R83" s="2"/>
      <c r="S83" s="2"/>
      <c r="T83" s="2"/>
      <c r="U83" s="2"/>
      <c r="W83" s="2"/>
    </row>
    <row r="84" hidden="1" spans="14:23">
      <c r="N84" s="2">
        <f>N90/N99</f>
        <v>0.5</v>
      </c>
      <c r="O84" s="2">
        <f>O90/O99</f>
        <v>1</v>
      </c>
      <c r="P84" s="1"/>
      <c r="R84" s="2"/>
      <c r="S84" s="2"/>
      <c r="T84" s="2"/>
      <c r="U84" s="2"/>
      <c r="W84" s="2"/>
    </row>
    <row r="85" hidden="1" spans="2:23">
      <c r="B85" s="1" t="s">
        <v>74</v>
      </c>
      <c r="C85" s="1" t="s">
        <v>84</v>
      </c>
      <c r="D85" s="1" t="s">
        <v>85</v>
      </c>
      <c r="E85" s="1" t="s">
        <v>86</v>
      </c>
      <c r="F85" s="1" t="s">
        <v>87</v>
      </c>
      <c r="G85" s="2" t="s">
        <v>88</v>
      </c>
      <c r="H85" s="2" t="s">
        <v>89</v>
      </c>
      <c r="I85" s="1" t="s">
        <v>90</v>
      </c>
      <c r="J85" s="1" t="s">
        <v>111</v>
      </c>
      <c r="K85" s="1" t="s">
        <v>112</v>
      </c>
      <c r="L85" s="1" t="s">
        <v>91</v>
      </c>
      <c r="M85" s="1" t="s">
        <v>92</v>
      </c>
      <c r="N85" s="1" t="s">
        <v>93</v>
      </c>
      <c r="O85" s="1" t="s">
        <v>94</v>
      </c>
      <c r="P85" s="1"/>
      <c r="R85" s="2"/>
      <c r="S85" s="2"/>
      <c r="T85" s="2"/>
      <c r="U85" s="2"/>
      <c r="W85" s="2"/>
    </row>
    <row r="86" hidden="1" spans="2:23">
      <c r="B86" s="1" t="s">
        <v>128</v>
      </c>
      <c r="C86" s="1">
        <v>5</v>
      </c>
      <c r="D86" s="1">
        <v>5</v>
      </c>
      <c r="E86" s="1">
        <f t="shared" ref="E86:E100" si="17">C86*G86/$N$6*0.5*3</f>
        <v>0</v>
      </c>
      <c r="F86" s="1">
        <f t="shared" ref="F86:F100" si="18">D86*H86/$N$6*0.5*3</f>
        <v>0</v>
      </c>
      <c r="G86" s="19">
        <v>0</v>
      </c>
      <c r="H86" s="19">
        <v>0</v>
      </c>
      <c r="I86" s="20">
        <f t="shared" ref="I86:I100" si="19">SUM(E86:F86)</f>
        <v>0</v>
      </c>
      <c r="J86" s="1" t="e">
        <f t="shared" ref="J86:J100" si="20">I52/I86</f>
        <v>#DIV/0!</v>
      </c>
      <c r="K86" s="1" t="e">
        <f t="shared" ref="K86:K100" si="21">J86/$W$27</f>
        <v>#DIV/0!</v>
      </c>
      <c r="L86" s="1">
        <v>0.7</v>
      </c>
      <c r="M86" s="1">
        <f t="shared" ref="M86:M100" si="22">I86*$V$27*L86</f>
        <v>0</v>
      </c>
      <c r="N86" s="1">
        <f t="shared" ref="N86:N100" si="23">I86*$J$25*$C$20/20</f>
        <v>0</v>
      </c>
      <c r="O86" s="1">
        <f t="shared" ref="O86:O100" si="24">MIN(I86*$J$49*12/20*(1+$C$37)^$I$49,6*(1+$C$37)^4/20/4)</f>
        <v>0</v>
      </c>
      <c r="P86" s="1"/>
      <c r="R86" s="2"/>
      <c r="S86" s="2"/>
      <c r="T86" s="2"/>
      <c r="U86" s="2"/>
      <c r="W86" s="2"/>
    </row>
    <row r="87" hidden="1" spans="2:23">
      <c r="B87" s="21" t="s">
        <v>129</v>
      </c>
      <c r="C87" s="1">
        <v>5</v>
      </c>
      <c r="D87" s="1">
        <v>5</v>
      </c>
      <c r="E87" s="1">
        <f t="shared" si="17"/>
        <v>0.227272727272727</v>
      </c>
      <c r="F87" s="1">
        <f t="shared" si="18"/>
        <v>0</v>
      </c>
      <c r="G87" s="19">
        <f t="shared" ref="G87:G92" si="25">1/30</f>
        <v>0.0333333333333333</v>
      </c>
      <c r="H87" s="19">
        <v>0</v>
      </c>
      <c r="I87" s="20">
        <f t="shared" si="19"/>
        <v>0.227272727272727</v>
      </c>
      <c r="J87" s="1">
        <f t="shared" si="20"/>
        <v>1.30307692307692</v>
      </c>
      <c r="K87" s="1">
        <f t="shared" si="21"/>
        <v>1.25625238673782</v>
      </c>
      <c r="L87" s="1">
        <f t="shared" ref="L87:L100" si="26">$L$86</f>
        <v>0.7</v>
      </c>
      <c r="M87" s="1">
        <f t="shared" si="22"/>
        <v>1.67872293383974</v>
      </c>
      <c r="N87" s="1">
        <f t="shared" si="23"/>
        <v>0.203948355786313</v>
      </c>
      <c r="O87" s="1">
        <f t="shared" si="24"/>
        <v>0.187348614645301</v>
      </c>
      <c r="P87" s="1"/>
      <c r="R87" s="2"/>
      <c r="S87" s="2"/>
      <c r="T87" s="2"/>
      <c r="U87" s="2"/>
      <c r="W87" s="2"/>
    </row>
    <row r="88" hidden="1" spans="2:23">
      <c r="B88" s="1" t="s">
        <v>130</v>
      </c>
      <c r="C88" s="1">
        <v>5</v>
      </c>
      <c r="D88" s="1">
        <v>5</v>
      </c>
      <c r="E88" s="1">
        <f t="shared" si="17"/>
        <v>0.227272727272727</v>
      </c>
      <c r="F88" s="1">
        <f t="shared" si="18"/>
        <v>0</v>
      </c>
      <c r="G88" s="19">
        <f t="shared" si="25"/>
        <v>0.0333333333333333</v>
      </c>
      <c r="H88" s="19">
        <v>0</v>
      </c>
      <c r="I88" s="20">
        <f t="shared" si="19"/>
        <v>0.227272727272727</v>
      </c>
      <c r="J88" s="1">
        <f t="shared" si="20"/>
        <v>1.30307692307692</v>
      </c>
      <c r="K88" s="1">
        <f t="shared" si="21"/>
        <v>1.25625238673782</v>
      </c>
      <c r="L88" s="1">
        <f t="shared" si="26"/>
        <v>0.7</v>
      </c>
      <c r="M88" s="1">
        <f t="shared" si="22"/>
        <v>1.67872293383974</v>
      </c>
      <c r="N88" s="1">
        <f t="shared" si="23"/>
        <v>0.203948355786313</v>
      </c>
      <c r="O88" s="1">
        <f t="shared" si="24"/>
        <v>0.187348614645301</v>
      </c>
      <c r="P88" s="1"/>
      <c r="R88" s="2"/>
      <c r="S88" s="2"/>
      <c r="T88" s="2"/>
      <c r="U88" s="2"/>
      <c r="W88" s="2"/>
    </row>
    <row r="89" hidden="1" spans="2:23">
      <c r="B89" s="21" t="s">
        <v>131</v>
      </c>
      <c r="C89" s="1">
        <v>5</v>
      </c>
      <c r="D89" s="1">
        <v>5</v>
      </c>
      <c r="E89" s="1">
        <f t="shared" si="17"/>
        <v>0.227272727272727</v>
      </c>
      <c r="F89" s="1">
        <f t="shared" si="18"/>
        <v>0.454545454545454</v>
      </c>
      <c r="G89" s="19">
        <f t="shared" si="25"/>
        <v>0.0333333333333333</v>
      </c>
      <c r="H89" s="19">
        <f t="shared" ref="H89:H92" si="27">2/30</f>
        <v>0.0666666666666667</v>
      </c>
      <c r="I89" s="20">
        <f t="shared" si="19"/>
        <v>0.681818181818182</v>
      </c>
      <c r="J89" s="1">
        <f t="shared" si="20"/>
        <v>0.868717948717948</v>
      </c>
      <c r="K89" s="1">
        <f t="shared" si="21"/>
        <v>0.837501591158547</v>
      </c>
      <c r="L89" s="1">
        <f t="shared" si="26"/>
        <v>0.7</v>
      </c>
      <c r="M89" s="1">
        <f t="shared" si="22"/>
        <v>5.03616880151922</v>
      </c>
      <c r="N89" s="1">
        <f t="shared" si="23"/>
        <v>0.61184506735894</v>
      </c>
      <c r="O89" s="1">
        <f t="shared" si="24"/>
        <v>0.3796875</v>
      </c>
      <c r="P89" s="1"/>
      <c r="R89" s="2"/>
      <c r="S89" s="2"/>
      <c r="T89" s="2"/>
      <c r="U89" s="2"/>
      <c r="W89" s="2"/>
    </row>
    <row r="90" hidden="1" spans="2:15">
      <c r="B90" s="1" t="s">
        <v>132</v>
      </c>
      <c r="C90" s="1">
        <v>5</v>
      </c>
      <c r="D90" s="1">
        <v>5</v>
      </c>
      <c r="E90" s="1">
        <f t="shared" si="17"/>
        <v>0.227272727272727</v>
      </c>
      <c r="F90" s="1">
        <f t="shared" si="18"/>
        <v>0.454545454545454</v>
      </c>
      <c r="G90" s="19">
        <f t="shared" si="25"/>
        <v>0.0333333333333333</v>
      </c>
      <c r="H90" s="19">
        <f t="shared" si="27"/>
        <v>0.0666666666666667</v>
      </c>
      <c r="I90" s="20">
        <f t="shared" si="19"/>
        <v>0.681818181818182</v>
      </c>
      <c r="J90" s="1">
        <f t="shared" si="20"/>
        <v>0.868717948717948</v>
      </c>
      <c r="K90" s="1">
        <f t="shared" si="21"/>
        <v>0.837501591158547</v>
      </c>
      <c r="L90" s="1">
        <f t="shared" si="26"/>
        <v>0.7</v>
      </c>
      <c r="M90" s="1">
        <f t="shared" si="22"/>
        <v>5.03616880151922</v>
      </c>
      <c r="N90" s="1">
        <f t="shared" si="23"/>
        <v>0.61184506735894</v>
      </c>
      <c r="O90" s="1">
        <f t="shared" si="24"/>
        <v>0.3796875</v>
      </c>
    </row>
    <row r="91" hidden="1" spans="2:15">
      <c r="B91" s="1" t="s">
        <v>133</v>
      </c>
      <c r="C91" s="1">
        <v>5</v>
      </c>
      <c r="D91" s="1">
        <v>5</v>
      </c>
      <c r="E91" s="1">
        <f t="shared" si="17"/>
        <v>0.227272727272727</v>
      </c>
      <c r="F91" s="1">
        <f t="shared" si="18"/>
        <v>0.454545454545454</v>
      </c>
      <c r="G91" s="19">
        <f t="shared" si="25"/>
        <v>0.0333333333333333</v>
      </c>
      <c r="H91" s="19">
        <f t="shared" si="27"/>
        <v>0.0666666666666667</v>
      </c>
      <c r="I91" s="20">
        <f t="shared" si="19"/>
        <v>0.681818181818182</v>
      </c>
      <c r="J91" s="1">
        <f t="shared" si="20"/>
        <v>0.868717948717948</v>
      </c>
      <c r="K91" s="1">
        <f t="shared" si="21"/>
        <v>0.837501591158547</v>
      </c>
      <c r="L91" s="1">
        <f t="shared" si="26"/>
        <v>0.7</v>
      </c>
      <c r="M91" s="1">
        <f t="shared" si="22"/>
        <v>5.03616880151922</v>
      </c>
      <c r="N91" s="1">
        <f t="shared" si="23"/>
        <v>0.61184506735894</v>
      </c>
      <c r="O91" s="1">
        <f t="shared" si="24"/>
        <v>0.3796875</v>
      </c>
    </row>
    <row r="92" hidden="1" spans="2:19">
      <c r="B92" s="21" t="s">
        <v>134</v>
      </c>
      <c r="C92" s="1">
        <v>5</v>
      </c>
      <c r="D92" s="1">
        <v>5</v>
      </c>
      <c r="E92" s="1">
        <f t="shared" si="17"/>
        <v>0.227272727272727</v>
      </c>
      <c r="F92" s="1">
        <f t="shared" si="18"/>
        <v>0.454545454545454</v>
      </c>
      <c r="G92" s="19">
        <f t="shared" si="25"/>
        <v>0.0333333333333333</v>
      </c>
      <c r="H92" s="19">
        <f t="shared" si="27"/>
        <v>0.0666666666666667</v>
      </c>
      <c r="I92" s="20">
        <f t="shared" si="19"/>
        <v>0.681818181818182</v>
      </c>
      <c r="J92" s="1">
        <f t="shared" si="20"/>
        <v>0.992820512820513</v>
      </c>
      <c r="K92" s="1">
        <f t="shared" si="21"/>
        <v>0.957144675609768</v>
      </c>
      <c r="L92" s="1">
        <f t="shared" si="26"/>
        <v>0.7</v>
      </c>
      <c r="M92" s="1">
        <f t="shared" si="22"/>
        <v>5.03616880151922</v>
      </c>
      <c r="N92" s="1">
        <f t="shared" si="23"/>
        <v>0.61184506735894</v>
      </c>
      <c r="O92" s="1">
        <f t="shared" si="24"/>
        <v>0.3796875</v>
      </c>
      <c r="R92" s="2"/>
      <c r="S92" s="2"/>
    </row>
    <row r="93" hidden="1" spans="2:19">
      <c r="B93" s="21" t="s">
        <v>135</v>
      </c>
      <c r="C93" s="1">
        <v>5</v>
      </c>
      <c r="D93" s="1">
        <v>5</v>
      </c>
      <c r="E93" s="1">
        <f t="shared" si="17"/>
        <v>0.454545454545454</v>
      </c>
      <c r="F93" s="1">
        <f t="shared" si="18"/>
        <v>0.909090909090909</v>
      </c>
      <c r="G93" s="19">
        <f t="shared" ref="G93:G100" si="28">2/30</f>
        <v>0.0666666666666667</v>
      </c>
      <c r="H93" s="19">
        <f t="shared" ref="H93:H100" si="29">4/30</f>
        <v>0.133333333333333</v>
      </c>
      <c r="I93" s="20">
        <f t="shared" si="19"/>
        <v>1.36363636363636</v>
      </c>
      <c r="J93" s="1">
        <f t="shared" si="20"/>
        <v>0.712179487179489</v>
      </c>
      <c r="K93" s="1">
        <f t="shared" si="21"/>
        <v>0.686588155089395</v>
      </c>
      <c r="L93" s="1">
        <f t="shared" si="26"/>
        <v>0.7</v>
      </c>
      <c r="M93" s="1">
        <f t="shared" si="22"/>
        <v>10.0723376030384</v>
      </c>
      <c r="N93" s="1">
        <f t="shared" si="23"/>
        <v>1.22369013471788</v>
      </c>
      <c r="O93" s="1">
        <f t="shared" si="24"/>
        <v>0.3796875</v>
      </c>
      <c r="R93" s="2"/>
      <c r="S93" s="2"/>
    </row>
    <row r="94" hidden="1" spans="2:19">
      <c r="B94" s="1" t="s">
        <v>136</v>
      </c>
      <c r="C94" s="1">
        <v>5</v>
      </c>
      <c r="D94" s="1">
        <v>5</v>
      </c>
      <c r="E94" s="1">
        <f t="shared" si="17"/>
        <v>0.454545454545454</v>
      </c>
      <c r="F94" s="1">
        <f t="shared" si="18"/>
        <v>0.909090909090909</v>
      </c>
      <c r="G94" s="19">
        <f t="shared" si="28"/>
        <v>0.0666666666666667</v>
      </c>
      <c r="H94" s="19">
        <f t="shared" si="29"/>
        <v>0.133333333333333</v>
      </c>
      <c r="I94" s="20">
        <f t="shared" si="19"/>
        <v>1.36363636363636</v>
      </c>
      <c r="J94" s="1">
        <f t="shared" si="20"/>
        <v>0.712179487179489</v>
      </c>
      <c r="K94" s="1">
        <f t="shared" si="21"/>
        <v>0.686588155089395</v>
      </c>
      <c r="L94" s="1">
        <f t="shared" si="26"/>
        <v>0.7</v>
      </c>
      <c r="M94" s="1">
        <f t="shared" si="22"/>
        <v>10.0723376030384</v>
      </c>
      <c r="N94" s="1">
        <f t="shared" si="23"/>
        <v>1.22369013471788</v>
      </c>
      <c r="O94" s="1">
        <f t="shared" si="24"/>
        <v>0.3796875</v>
      </c>
      <c r="R94" s="2"/>
      <c r="S94" s="2"/>
    </row>
    <row r="95" hidden="1" spans="2:19">
      <c r="B95" s="1" t="s">
        <v>137</v>
      </c>
      <c r="C95" s="1">
        <v>5</v>
      </c>
      <c r="D95" s="1">
        <v>5</v>
      </c>
      <c r="E95" s="1">
        <f t="shared" si="17"/>
        <v>0.454545454545454</v>
      </c>
      <c r="F95" s="1">
        <f t="shared" si="18"/>
        <v>0.909090909090909</v>
      </c>
      <c r="G95" s="19">
        <f t="shared" si="28"/>
        <v>0.0666666666666667</v>
      </c>
      <c r="H95" s="19">
        <f t="shared" si="29"/>
        <v>0.133333333333333</v>
      </c>
      <c r="I95" s="20">
        <f t="shared" si="19"/>
        <v>1.36363636363636</v>
      </c>
      <c r="J95" s="1">
        <f t="shared" si="20"/>
        <v>0.712179487179489</v>
      </c>
      <c r="K95" s="1">
        <f t="shared" si="21"/>
        <v>0.686588155089395</v>
      </c>
      <c r="L95" s="1">
        <f t="shared" si="26"/>
        <v>0.7</v>
      </c>
      <c r="M95" s="1">
        <f t="shared" si="22"/>
        <v>10.0723376030384</v>
      </c>
      <c r="N95" s="1">
        <f t="shared" si="23"/>
        <v>1.22369013471788</v>
      </c>
      <c r="O95" s="1">
        <f t="shared" si="24"/>
        <v>0.3796875</v>
      </c>
      <c r="R95" s="2"/>
      <c r="S95" s="2"/>
    </row>
    <row r="96" hidden="1" spans="2:15">
      <c r="B96" s="1" t="s">
        <v>138</v>
      </c>
      <c r="C96" s="1">
        <v>5</v>
      </c>
      <c r="D96" s="1">
        <v>5</v>
      </c>
      <c r="E96" s="1">
        <f t="shared" si="17"/>
        <v>0.454545454545454</v>
      </c>
      <c r="F96" s="1">
        <f t="shared" si="18"/>
        <v>0.909090909090909</v>
      </c>
      <c r="G96" s="19">
        <f t="shared" si="28"/>
        <v>0.0666666666666667</v>
      </c>
      <c r="H96" s="19">
        <f t="shared" si="29"/>
        <v>0.133333333333333</v>
      </c>
      <c r="I96" s="20">
        <f t="shared" si="19"/>
        <v>1.36363636363636</v>
      </c>
      <c r="J96" s="1">
        <f t="shared" si="20"/>
        <v>0.712179487179489</v>
      </c>
      <c r="K96" s="1">
        <f t="shared" si="21"/>
        <v>0.686588155089395</v>
      </c>
      <c r="L96" s="1">
        <f t="shared" si="26"/>
        <v>0.7</v>
      </c>
      <c r="M96" s="1">
        <f t="shared" si="22"/>
        <v>10.0723376030384</v>
      </c>
      <c r="N96" s="1">
        <f t="shared" si="23"/>
        <v>1.22369013471788</v>
      </c>
      <c r="O96" s="1">
        <f t="shared" si="24"/>
        <v>0.3796875</v>
      </c>
    </row>
    <row r="97" hidden="1" spans="2:15">
      <c r="B97" s="21" t="s">
        <v>139</v>
      </c>
      <c r="C97" s="1">
        <v>5</v>
      </c>
      <c r="D97" s="1">
        <v>5</v>
      </c>
      <c r="E97" s="1">
        <f t="shared" si="17"/>
        <v>0.454545454545454</v>
      </c>
      <c r="F97" s="1">
        <f t="shared" si="18"/>
        <v>0.909090909090909</v>
      </c>
      <c r="G97" s="19">
        <f t="shared" si="28"/>
        <v>0.0666666666666667</v>
      </c>
      <c r="H97" s="19">
        <f t="shared" si="29"/>
        <v>0.133333333333333</v>
      </c>
      <c r="I97" s="20">
        <f t="shared" si="19"/>
        <v>1.36363636363636</v>
      </c>
      <c r="J97" s="1">
        <f t="shared" si="20"/>
        <v>0.712179487179489</v>
      </c>
      <c r="K97" s="1">
        <f t="shared" si="21"/>
        <v>0.686588155089395</v>
      </c>
      <c r="L97" s="1">
        <f t="shared" si="26"/>
        <v>0.7</v>
      </c>
      <c r="M97" s="1">
        <f t="shared" si="22"/>
        <v>10.0723376030384</v>
      </c>
      <c r="N97" s="1">
        <f t="shared" si="23"/>
        <v>1.22369013471788</v>
      </c>
      <c r="O97" s="1">
        <f t="shared" si="24"/>
        <v>0.3796875</v>
      </c>
    </row>
    <row r="98" hidden="1" spans="2:15">
      <c r="B98" s="1" t="s">
        <v>140</v>
      </c>
      <c r="C98" s="1">
        <v>5</v>
      </c>
      <c r="D98" s="1">
        <v>5</v>
      </c>
      <c r="E98" s="1">
        <f t="shared" si="17"/>
        <v>0.454545454545454</v>
      </c>
      <c r="F98" s="1">
        <f t="shared" si="18"/>
        <v>0.909090909090909</v>
      </c>
      <c r="G98" s="19">
        <f t="shared" si="28"/>
        <v>0.0666666666666667</v>
      </c>
      <c r="H98" s="19">
        <f t="shared" si="29"/>
        <v>0.133333333333333</v>
      </c>
      <c r="I98" s="20">
        <f t="shared" si="19"/>
        <v>1.36363636363636</v>
      </c>
      <c r="J98" s="1">
        <f t="shared" si="20"/>
        <v>0.712179487179489</v>
      </c>
      <c r="K98" s="1">
        <f t="shared" si="21"/>
        <v>0.686588155089395</v>
      </c>
      <c r="L98" s="1">
        <f t="shared" si="26"/>
        <v>0.7</v>
      </c>
      <c r="M98" s="1">
        <f t="shared" si="22"/>
        <v>10.0723376030384</v>
      </c>
      <c r="N98" s="1">
        <f t="shared" si="23"/>
        <v>1.22369013471788</v>
      </c>
      <c r="O98" s="1">
        <f t="shared" si="24"/>
        <v>0.3796875</v>
      </c>
    </row>
    <row r="99" hidden="1" spans="2:15">
      <c r="B99" s="1" t="s">
        <v>141</v>
      </c>
      <c r="C99" s="1">
        <v>5</v>
      </c>
      <c r="D99" s="1">
        <v>5</v>
      </c>
      <c r="E99" s="1">
        <f t="shared" si="17"/>
        <v>0.454545454545454</v>
      </c>
      <c r="F99" s="1">
        <f t="shared" si="18"/>
        <v>0.909090909090909</v>
      </c>
      <c r="G99" s="19">
        <f t="shared" si="28"/>
        <v>0.0666666666666667</v>
      </c>
      <c r="H99" s="19">
        <f t="shared" si="29"/>
        <v>0.133333333333333</v>
      </c>
      <c r="I99" s="20">
        <f t="shared" si="19"/>
        <v>1.36363636363636</v>
      </c>
      <c r="J99" s="1">
        <f t="shared" si="20"/>
        <v>0.712179487179489</v>
      </c>
      <c r="K99" s="1">
        <f t="shared" si="21"/>
        <v>0.686588155089395</v>
      </c>
      <c r="L99" s="1">
        <f t="shared" si="26"/>
        <v>0.7</v>
      </c>
      <c r="M99" s="1">
        <f t="shared" si="22"/>
        <v>10.0723376030384</v>
      </c>
      <c r="N99" s="1">
        <f t="shared" si="23"/>
        <v>1.22369013471788</v>
      </c>
      <c r="O99" s="1">
        <f t="shared" si="24"/>
        <v>0.3796875</v>
      </c>
    </row>
    <row r="100" hidden="1" spans="2:15">
      <c r="B100" s="1" t="s">
        <v>142</v>
      </c>
      <c r="C100" s="1">
        <v>5</v>
      </c>
      <c r="D100" s="1">
        <v>5</v>
      </c>
      <c r="E100" s="1">
        <f t="shared" si="17"/>
        <v>0.454545454545454</v>
      </c>
      <c r="F100" s="1">
        <f t="shared" si="18"/>
        <v>0.909090909090909</v>
      </c>
      <c r="G100" s="19">
        <f t="shared" si="28"/>
        <v>0.0666666666666667</v>
      </c>
      <c r="H100" s="19">
        <f t="shared" si="29"/>
        <v>0.133333333333333</v>
      </c>
      <c r="I100" s="20">
        <f t="shared" si="19"/>
        <v>1.36363636363636</v>
      </c>
      <c r="J100" s="1">
        <f t="shared" si="20"/>
        <v>0.712179487179489</v>
      </c>
      <c r="K100" s="1">
        <f t="shared" si="21"/>
        <v>0.686588155089395</v>
      </c>
      <c r="L100" s="1">
        <f t="shared" si="26"/>
        <v>0.7</v>
      </c>
      <c r="M100" s="1">
        <f t="shared" si="22"/>
        <v>10.0723376030384</v>
      </c>
      <c r="N100" s="1">
        <f t="shared" si="23"/>
        <v>1.22369013471788</v>
      </c>
      <c r="O100" s="1">
        <f t="shared" si="24"/>
        <v>0.3796875</v>
      </c>
    </row>
    <row r="103" spans="7:8">
      <c r="G103" s="1">
        <f>G66-G56</f>
        <v>0.09</v>
      </c>
      <c r="H103" s="1">
        <f>H66-H56</f>
        <v>0.18</v>
      </c>
    </row>
    <row r="104" spans="7:8">
      <c r="G104" s="1">
        <v>1</v>
      </c>
      <c r="H104" s="1">
        <v>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3"/>
  <sheetViews>
    <sheetView workbookViewId="0">
      <selection activeCell="G103" sqref="G103:H103"/>
    </sheetView>
  </sheetViews>
  <sheetFormatPr defaultColWidth="9" defaultRowHeight="16.5"/>
  <cols>
    <col min="1" max="1" width="9" style="1"/>
    <col min="2" max="2" width="14.875" style="1" customWidth="1"/>
    <col min="3" max="3" width="18" style="1" customWidth="1"/>
    <col min="4" max="4" width="11.25" style="1" customWidth="1"/>
    <col min="5" max="12" width="9.00833333333333" style="1" customWidth="1"/>
    <col min="13" max="15" width="9.00833333333333" style="2" customWidth="1"/>
    <col min="16" max="17" width="10.625" style="2" customWidth="1"/>
    <col min="18" max="19" width="12.625" style="1"/>
    <col min="20" max="23" width="9.00833333333333" style="1" customWidth="1"/>
    <col min="24" max="25" width="9.375" style="1"/>
    <col min="26" max="16384" width="9" style="1"/>
  </cols>
  <sheetData>
    <row r="1" spans="2:21">
      <c r="B1" s="1" t="s">
        <v>0</v>
      </c>
      <c r="H1" s="3" t="s">
        <v>1</v>
      </c>
      <c r="I1" s="4" t="s">
        <v>2</v>
      </c>
      <c r="J1" s="22"/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</row>
    <row r="2" spans="3:21">
      <c r="C2" s="5" t="s">
        <v>12</v>
      </c>
      <c r="D2" s="6">
        <v>60</v>
      </c>
      <c r="H2" s="7"/>
      <c r="I2" s="8" t="s">
        <v>13</v>
      </c>
      <c r="J2" s="23">
        <v>1.2</v>
      </c>
      <c r="M2" s="2" t="s">
        <v>14</v>
      </c>
      <c r="N2" s="2">
        <v>1.3</v>
      </c>
      <c r="O2" s="2">
        <v>7</v>
      </c>
      <c r="P2" s="2">
        <f>3/1.5</f>
        <v>2</v>
      </c>
      <c r="Q2" s="2">
        <f>3/2</f>
        <v>1.5</v>
      </c>
      <c r="R2" s="2">
        <v>19.5</v>
      </c>
      <c r="S2" s="2">
        <v>0.5</v>
      </c>
      <c r="T2" s="2">
        <v>3</v>
      </c>
      <c r="U2" s="2">
        <v>0.8</v>
      </c>
    </row>
    <row r="3" spans="3:21">
      <c r="C3" s="1" t="s">
        <v>15</v>
      </c>
      <c r="D3" s="2">
        <v>2</v>
      </c>
      <c r="H3" s="3" t="s">
        <v>16</v>
      </c>
      <c r="I3" s="4" t="s">
        <v>17</v>
      </c>
      <c r="J3" s="22">
        <f>3*1.5</f>
        <v>4.5</v>
      </c>
      <c r="M3" s="2" t="s">
        <v>18</v>
      </c>
      <c r="N3" s="2">
        <v>1.6</v>
      </c>
      <c r="O3" s="2">
        <v>5</v>
      </c>
      <c r="P3" s="2">
        <f>3/1</f>
        <v>3</v>
      </c>
      <c r="Q3" s="2">
        <f>3/1.5</f>
        <v>2</v>
      </c>
      <c r="R3" s="2">
        <v>20.8</v>
      </c>
      <c r="S3" s="2"/>
      <c r="T3" s="2" t="s">
        <v>19</v>
      </c>
      <c r="U3" s="2" t="s">
        <v>20</v>
      </c>
    </row>
    <row r="4" spans="3:21">
      <c r="C4" s="5" t="s">
        <v>21</v>
      </c>
      <c r="D4" s="6" t="str">
        <f>IF((E4-D3*2)&lt;0,"相交",IF((E4-D3*2)&lt;0=0,"相切","否"))</f>
        <v>相交</v>
      </c>
      <c r="E4" s="5">
        <f>((E6-E7)^2+(F6-F7)^2)^0.5</f>
        <v>3.99644842328786</v>
      </c>
      <c r="F4" s="5"/>
      <c r="H4" s="9"/>
      <c r="I4" s="8" t="s">
        <v>22</v>
      </c>
      <c r="J4" s="23">
        <f>1*1.5+2</f>
        <v>3.5</v>
      </c>
      <c r="M4" s="25" t="s">
        <v>23</v>
      </c>
      <c r="N4" s="25">
        <v>1.4</v>
      </c>
      <c r="O4" s="2">
        <v>8</v>
      </c>
      <c r="P4" s="2">
        <f>3/1</f>
        <v>3</v>
      </c>
      <c r="Q4" s="2">
        <f>3/3</f>
        <v>1</v>
      </c>
      <c r="R4" s="25">
        <v>14</v>
      </c>
      <c r="S4" s="2"/>
      <c r="T4" s="2">
        <v>4.6</v>
      </c>
      <c r="U4" s="2">
        <v>6.2</v>
      </c>
    </row>
    <row r="5" spans="3:19">
      <c r="C5" s="5"/>
      <c r="D5" s="6"/>
      <c r="E5" s="6" t="s">
        <v>24</v>
      </c>
      <c r="F5" s="6" t="s">
        <v>25</v>
      </c>
      <c r="G5" s="2"/>
      <c r="H5" s="3" t="s">
        <v>26</v>
      </c>
      <c r="I5" s="4" t="s">
        <v>27</v>
      </c>
      <c r="J5" s="22">
        <v>0.5</v>
      </c>
      <c r="K5" s="2"/>
      <c r="M5" s="2" t="s">
        <v>28</v>
      </c>
      <c r="N5" s="2">
        <v>1.2</v>
      </c>
      <c r="O5" s="2">
        <v>8</v>
      </c>
      <c r="P5" s="2">
        <f>3/0.75</f>
        <v>4</v>
      </c>
      <c r="Q5" s="2">
        <f>3/1</f>
        <v>3</v>
      </c>
      <c r="R5" s="2">
        <v>20</v>
      </c>
      <c r="S5" s="2"/>
    </row>
    <row r="6" spans="3:19">
      <c r="C6" s="5" t="s">
        <v>29</v>
      </c>
      <c r="D6" s="6" t="s">
        <v>30</v>
      </c>
      <c r="E6" s="6">
        <v>0</v>
      </c>
      <c r="F6" s="6">
        <v>4</v>
      </c>
      <c r="G6" s="2"/>
      <c r="H6" s="10"/>
      <c r="I6" s="1" t="s">
        <v>31</v>
      </c>
      <c r="J6" s="24">
        <v>15</v>
      </c>
      <c r="K6" s="2"/>
      <c r="M6" s="2" t="s">
        <v>32</v>
      </c>
      <c r="N6" s="2">
        <v>1.1</v>
      </c>
      <c r="O6" s="2">
        <v>7</v>
      </c>
      <c r="P6" s="2">
        <f>3/1.25</f>
        <v>2.4</v>
      </c>
      <c r="Q6" s="2">
        <f>3/2</f>
        <v>1.5</v>
      </c>
      <c r="R6" s="2">
        <v>20</v>
      </c>
      <c r="S6" s="2"/>
    </row>
    <row r="7" spans="3:11">
      <c r="C7" s="5" t="s">
        <v>33</v>
      </c>
      <c r="D7" s="6" t="s">
        <v>29</v>
      </c>
      <c r="E7" s="6">
        <f>ROUND(E6*COS(D2/180*PI())-F6*SIN(D2/180*PI()),2)</f>
        <v>-3.46</v>
      </c>
      <c r="F7" s="6">
        <f>ROUND(E6*SIN(D2/180*PI())+F6*COS(D2/180*PI()),2)</f>
        <v>2</v>
      </c>
      <c r="G7" s="2"/>
      <c r="H7" s="10"/>
      <c r="I7" s="1" t="s">
        <v>34</v>
      </c>
      <c r="J7" s="24">
        <f>90-J6</f>
        <v>75</v>
      </c>
      <c r="K7" s="2"/>
    </row>
    <row r="8" spans="3:13">
      <c r="C8" s="5" t="s">
        <v>35</v>
      </c>
      <c r="D8" s="6" t="s">
        <v>36</v>
      </c>
      <c r="E8" s="6">
        <f>ROUND(E6*COS((-1)*D2/180*PI())-F6*SIN((-1)*D2/180*PI()),2)</f>
        <v>3.46</v>
      </c>
      <c r="F8" s="6">
        <f>ROUND(E6*SIN((-1)*D2/180*PI())+F6*COS((-1)*D2/180*PI()),2)</f>
        <v>2</v>
      </c>
      <c r="G8" s="2"/>
      <c r="H8" s="7"/>
      <c r="I8" s="8" t="s">
        <v>37</v>
      </c>
      <c r="J8" s="23">
        <v>90</v>
      </c>
      <c r="K8" s="2"/>
      <c r="M8" s="1"/>
    </row>
    <row r="9" hidden="1" spans="12:24">
      <c r="L9" s="2"/>
      <c r="R9" s="2" t="s">
        <v>38</v>
      </c>
      <c r="S9" s="2" t="s">
        <v>39</v>
      </c>
      <c r="T9" s="2" t="s">
        <v>40</v>
      </c>
      <c r="U9" s="2" t="s">
        <v>41</v>
      </c>
      <c r="V9" s="2" t="s">
        <v>42</v>
      </c>
      <c r="X9" s="2"/>
    </row>
    <row r="10" hidden="1" spans="3:24">
      <c r="C10" s="2" t="s">
        <v>43</v>
      </c>
      <c r="D10" s="1" t="s">
        <v>44</v>
      </c>
      <c r="E10" s="1" t="s">
        <v>45</v>
      </c>
      <c r="F10" s="1" t="s">
        <v>46</v>
      </c>
      <c r="G10" s="2" t="s">
        <v>47</v>
      </c>
      <c r="I10" s="2"/>
      <c r="J10" s="2"/>
      <c r="L10" s="2"/>
      <c r="P10" s="12"/>
      <c r="R10" s="2">
        <v>1</v>
      </c>
      <c r="S10" s="2">
        <v>5</v>
      </c>
      <c r="T10" s="2">
        <f>PI()*S10^2-PI()*$T$2^2</f>
        <v>50.2654824574367</v>
      </c>
      <c r="U10" s="2">
        <f>T10/(PI()*$S$2^2)</f>
        <v>64</v>
      </c>
      <c r="V10" s="12">
        <v>0.5</v>
      </c>
      <c r="X10" s="2"/>
    </row>
    <row r="11" hidden="1" spans="2:24">
      <c r="B11" s="1" t="s">
        <v>48</v>
      </c>
      <c r="C11" s="2">
        <v>7</v>
      </c>
      <c r="D11" s="1">
        <f>PI()*(D3+J2)^2</f>
        <v>32.1699087727595</v>
      </c>
      <c r="E11" s="1">
        <f>PI()*(O4^2-T2^2)</f>
        <v>172.787595947439</v>
      </c>
      <c r="F11" s="11">
        <f t="shared" ref="F11:F16" si="0">D11/E11</f>
        <v>0.186181818181818</v>
      </c>
      <c r="G11" s="2">
        <v>6</v>
      </c>
      <c r="H11" s="12"/>
      <c r="I11" s="12"/>
      <c r="J11" s="12"/>
      <c r="L11" s="2"/>
      <c r="P11" s="12"/>
      <c r="R11" s="2">
        <v>2</v>
      </c>
      <c r="S11" s="2">
        <f t="shared" ref="S11:S18" si="1">S10+0.5</f>
        <v>5.5</v>
      </c>
      <c r="T11" s="2">
        <f>PI()*S11^2-PI()*$T$2^2</f>
        <v>66.7588438887831</v>
      </c>
      <c r="U11" s="2">
        <f>T11/(PI()*$S$2^2)</f>
        <v>85</v>
      </c>
      <c r="V11" s="12">
        <f t="shared" ref="V11:V18" si="2">V10+2%</f>
        <v>0.52</v>
      </c>
      <c r="X11" s="2"/>
    </row>
    <row r="12" hidden="1" spans="2:24">
      <c r="B12" s="1" t="s">
        <v>48</v>
      </c>
      <c r="C12" s="2">
        <v>11</v>
      </c>
      <c r="D12" s="1">
        <f>PI()*(D3+J2)^2</f>
        <v>32.1699087727595</v>
      </c>
      <c r="E12" s="1">
        <f>PI()*(O4^2-T2^2)</f>
        <v>172.787595947439</v>
      </c>
      <c r="F12" s="11">
        <f>D11/E11</f>
        <v>0.186181818181818</v>
      </c>
      <c r="L12" s="2"/>
      <c r="P12" s="12"/>
      <c r="R12" s="2">
        <v>3</v>
      </c>
      <c r="S12" s="2">
        <f t="shared" si="1"/>
        <v>6</v>
      </c>
      <c r="T12" s="2">
        <f>PI()*S12^2-PI()*$T$2^2</f>
        <v>84.8230016469244</v>
      </c>
      <c r="U12" s="2">
        <f>T12/(PI()*$S$2^2)</f>
        <v>108</v>
      </c>
      <c r="V12" s="12">
        <f t="shared" si="2"/>
        <v>0.54</v>
      </c>
      <c r="X12" s="2"/>
    </row>
    <row r="13" hidden="1" spans="2:24">
      <c r="B13" s="1" t="s">
        <v>48</v>
      </c>
      <c r="C13" s="12">
        <v>0.5</v>
      </c>
      <c r="F13" s="13">
        <f>F12*(1+C13)^G11</f>
        <v>2.12072727272727</v>
      </c>
      <c r="L13" s="2"/>
      <c r="P13" s="12"/>
      <c r="R13" s="2">
        <v>4</v>
      </c>
      <c r="S13" s="2">
        <f t="shared" si="1"/>
        <v>6.5</v>
      </c>
      <c r="T13" s="2">
        <f>PI()*S13^2-PI()*$T$2^2</f>
        <v>104.457955731861</v>
      </c>
      <c r="U13" s="2">
        <f>T13/(PI()*$S$2^2)</f>
        <v>133</v>
      </c>
      <c r="V13" s="12">
        <f t="shared" si="2"/>
        <v>0.56</v>
      </c>
      <c r="X13" s="2"/>
    </row>
    <row r="14" hidden="1" spans="3:24">
      <c r="C14" s="2" t="s">
        <v>49</v>
      </c>
      <c r="D14" s="1" t="s">
        <v>44</v>
      </c>
      <c r="E14" s="1" t="s">
        <v>45</v>
      </c>
      <c r="F14" s="1" t="s">
        <v>46</v>
      </c>
      <c r="G14" s="2" t="s">
        <v>47</v>
      </c>
      <c r="L14" s="2"/>
      <c r="P14" s="12"/>
      <c r="R14" s="2">
        <v>5</v>
      </c>
      <c r="S14" s="2">
        <f t="shared" si="1"/>
        <v>7</v>
      </c>
      <c r="T14" s="2">
        <f>PI()*S14^2-PI()*$T$2^2</f>
        <v>125.663706143592</v>
      </c>
      <c r="U14" s="2">
        <f>T14/(PI()*$S$2^2)</f>
        <v>160</v>
      </c>
      <c r="V14" s="12">
        <f t="shared" si="2"/>
        <v>0.58</v>
      </c>
      <c r="X14" s="2"/>
    </row>
    <row r="15" hidden="1" spans="2:24">
      <c r="B15" s="1" t="s">
        <v>50</v>
      </c>
      <c r="C15" s="2">
        <v>7</v>
      </c>
      <c r="D15" s="1">
        <f>PI()*((D3+J4/2)^2+(J3/2)^2)</f>
        <v>60.0829594999048</v>
      </c>
      <c r="E15" s="1">
        <f>PI()*((O3*2)^2-T2^2)</f>
        <v>285.884931476671</v>
      </c>
      <c r="F15" s="11">
        <f t="shared" si="0"/>
        <v>0.210164835164835</v>
      </c>
      <c r="G15" s="2">
        <v>5</v>
      </c>
      <c r="L15" s="2"/>
      <c r="P15" s="12"/>
      <c r="R15" s="2">
        <v>6</v>
      </c>
      <c r="S15" s="2">
        <f t="shared" si="1"/>
        <v>7.5</v>
      </c>
      <c r="T15" s="2">
        <f>PI()*S15^2-PI()*$T$2^2</f>
        <v>148.440252882118</v>
      </c>
      <c r="U15" s="2">
        <f>T15/(PI()*$S$2^2)</f>
        <v>189</v>
      </c>
      <c r="V15" s="12">
        <f t="shared" si="2"/>
        <v>0.6</v>
      </c>
      <c r="X15" s="2"/>
    </row>
    <row r="16" hidden="1" spans="2:24">
      <c r="B16" s="1" t="s">
        <v>50</v>
      </c>
      <c r="C16" s="2">
        <v>11</v>
      </c>
      <c r="D16" s="1">
        <f>PI()*((D3+J4/2)^2+(J3/2)^2)</f>
        <v>60.0829594999048</v>
      </c>
      <c r="E16" s="1">
        <f>PI()*((O3*2)^2-T2^2)</f>
        <v>285.884931476671</v>
      </c>
      <c r="F16" s="11">
        <f t="shared" si="0"/>
        <v>0.210164835164835</v>
      </c>
      <c r="L16" s="2"/>
      <c r="P16" s="12"/>
      <c r="R16" s="2">
        <v>7</v>
      </c>
      <c r="S16" s="2">
        <f t="shared" si="1"/>
        <v>8</v>
      </c>
      <c r="T16" s="2">
        <f>PI()*S16^2-PI()*$T$2^2</f>
        <v>172.787595947439</v>
      </c>
      <c r="U16" s="2">
        <f>T16/(PI()*$S$2^2)</f>
        <v>220</v>
      </c>
      <c r="V16" s="12">
        <f t="shared" si="2"/>
        <v>0.62</v>
      </c>
      <c r="X16" s="2"/>
    </row>
    <row r="17" hidden="1" spans="2:24">
      <c r="B17" s="1" t="s">
        <v>50</v>
      </c>
      <c r="C17" s="12">
        <f>C13</f>
        <v>0.5</v>
      </c>
      <c r="F17" s="13">
        <f>F16*(1+C17)^G15</f>
        <v>1.59593921703297</v>
      </c>
      <c r="L17" s="2"/>
      <c r="P17" s="12"/>
      <c r="R17" s="2">
        <v>8</v>
      </c>
      <c r="S17" s="2">
        <f t="shared" si="1"/>
        <v>8.5</v>
      </c>
      <c r="T17" s="2">
        <f>PI()*S17^2-PI()*$T$2^2</f>
        <v>198.705735339554</v>
      </c>
      <c r="U17" s="2">
        <f>T17/(PI()*$S$2^2)</f>
        <v>253</v>
      </c>
      <c r="V17" s="12">
        <f t="shared" si="2"/>
        <v>0.64</v>
      </c>
      <c r="X17" s="2"/>
    </row>
    <row r="18" hidden="1" spans="3:24">
      <c r="C18" s="2" t="s">
        <v>51</v>
      </c>
      <c r="D18" s="1" t="s">
        <v>52</v>
      </c>
      <c r="E18" s="1" t="s">
        <v>53</v>
      </c>
      <c r="F18" s="1" t="s">
        <v>54</v>
      </c>
      <c r="G18" s="1" t="s">
        <v>55</v>
      </c>
      <c r="H18" s="1" t="s">
        <v>56</v>
      </c>
      <c r="I18" s="1" t="s">
        <v>57</v>
      </c>
      <c r="J18" s="1" t="s">
        <v>58</v>
      </c>
      <c r="L18" s="2"/>
      <c r="P18" s="12"/>
      <c r="R18" s="2">
        <v>9</v>
      </c>
      <c r="S18" s="2">
        <f t="shared" si="1"/>
        <v>9</v>
      </c>
      <c r="T18" s="2">
        <f>PI()*S18^2-PI()*$T$2^2</f>
        <v>226.194671058465</v>
      </c>
      <c r="U18" s="2">
        <f>T18/(PI()*$S$2^2)</f>
        <v>288</v>
      </c>
      <c r="V18" s="12">
        <f t="shared" si="2"/>
        <v>0.66</v>
      </c>
      <c r="X18" s="2"/>
    </row>
    <row r="19" hidden="1" spans="2:24">
      <c r="B19" s="1" t="s">
        <v>59</v>
      </c>
      <c r="C19" s="2">
        <v>7</v>
      </c>
      <c r="D19" s="1">
        <f>(2*D3^2/(1-COS(J6/180*PI())))^0.5</f>
        <v>15.3225951510808</v>
      </c>
      <c r="E19" s="1">
        <f>COS(J6/2/180*PI())*D19</f>
        <v>15.1915082254503</v>
      </c>
      <c r="F19" s="1">
        <f>2*E19*J5/D19</f>
        <v>0.99144486137381</v>
      </c>
      <c r="G19" s="13">
        <f>($T$2-F19)*TAN($J$6/2/180*PI())*($T$2-F19)</f>
        <v>0.531124847517513</v>
      </c>
      <c r="H19" s="1">
        <f>D3*E19</f>
        <v>30.3830164509006</v>
      </c>
      <c r="I19" s="1">
        <f>($O$2-F19)*TAN($J$6/2/180*PI())*($O$2-F19)</f>
        <v>4.75301521325293</v>
      </c>
      <c r="J19" s="1">
        <f>_xlfn.IFS((E19+F19)&lt;T$2,0,AND(F19&lt;T$2,(E19+F19)&lt;O$2),I19-G19,AND(F19&lt;T$2,(E19+F19)&gt;=O$2),H19-G19,AND(F19&lt;O$2,(E19+F19)&lt;O$2),H19,AND(F19&lt;O$2,(E19+F19)&gt;=O$2),I19,F19&gt;=7,0)</f>
        <v>29.8518916033831</v>
      </c>
      <c r="L19" s="2"/>
      <c r="P19" s="12"/>
      <c r="S19" s="2"/>
      <c r="T19" s="2"/>
      <c r="U19" s="2"/>
      <c r="V19" s="2"/>
      <c r="W19" s="12"/>
      <c r="X19" s="2"/>
    </row>
    <row r="20" hidden="1" spans="2:24">
      <c r="B20" s="1" t="s">
        <v>59</v>
      </c>
      <c r="C20" s="2">
        <v>11</v>
      </c>
      <c r="D20" s="1" t="s">
        <v>52</v>
      </c>
      <c r="E20" s="1" t="s">
        <v>53</v>
      </c>
      <c r="F20" s="1" t="s">
        <v>54</v>
      </c>
      <c r="G20" s="1" t="s">
        <v>55</v>
      </c>
      <c r="H20" s="1" t="s">
        <v>56</v>
      </c>
      <c r="I20" s="1" t="s">
        <v>57</v>
      </c>
      <c r="J20" s="1" t="s">
        <v>60</v>
      </c>
      <c r="L20" s="2"/>
      <c r="P20" s="12"/>
      <c r="R20" s="1" t="s">
        <v>61</v>
      </c>
      <c r="S20" s="2" t="s">
        <v>62</v>
      </c>
      <c r="T20" s="2" t="s">
        <v>40</v>
      </c>
      <c r="U20" s="2" t="s">
        <v>42</v>
      </c>
      <c r="V20" s="2" t="s">
        <v>63</v>
      </c>
      <c r="W20" s="12"/>
      <c r="X20" s="2"/>
    </row>
    <row r="21" hidden="1" spans="2:24">
      <c r="B21" s="1" t="s">
        <v>59</v>
      </c>
      <c r="C21" s="12">
        <f>C13</f>
        <v>0.5</v>
      </c>
      <c r="D21" s="1">
        <f>(2*D3^2/(1-COS($J$7/180*PI())))^0.5</f>
        <v>3.28535926340916</v>
      </c>
      <c r="E21" s="1">
        <f>COS($J$7/2/180*PI())*D21</f>
        <v>2.60645074568241</v>
      </c>
      <c r="F21" s="1">
        <f>2*E21*J5/D21</f>
        <v>0.793353340291235</v>
      </c>
      <c r="G21" s="13">
        <f>(T2-F21)*TAN(J7/2/180*PI())*(T2-F21)</f>
        <v>3.73633723090285</v>
      </c>
      <c r="H21" s="1">
        <f>D3*E21</f>
        <v>5.21290149136482</v>
      </c>
      <c r="I21" s="1">
        <f>(O2-F21)*TAN(J7/2/180*PI())*(O2-F21)</f>
        <v>29.5593253179915</v>
      </c>
      <c r="J21" s="1">
        <f>_xlfn.IFS((E21+F21)&lt;T$2,0,AND(F21&lt;T$2,(E21+F21)&lt;O$2),I21-G21,AND(F21&lt;T$2,(E21+F21)&gt;=O$2),H21-G21,AND(F21&lt;O$2,(E21+F21)&lt;O$2),H21,AND(F21&lt;O$2,(E21+F21)&gt;=O$2),I21,F21&gt;=7,0)</f>
        <v>25.8229880870886</v>
      </c>
      <c r="L21" s="2"/>
      <c r="P21" s="12"/>
      <c r="S21" s="2">
        <v>1.2</v>
      </c>
      <c r="T21" s="2">
        <f>PI()*S21^2</f>
        <v>4.5238934211693</v>
      </c>
      <c r="U21" s="12">
        <v>0.88</v>
      </c>
      <c r="V21" s="2">
        <f>((S21+0.5)/$S$2)^2*U21</f>
        <v>10.1728</v>
      </c>
      <c r="W21" s="12"/>
      <c r="X21" s="2"/>
    </row>
    <row r="22" hidden="1" spans="3:24">
      <c r="C22" s="2"/>
      <c r="D22" s="1" t="s">
        <v>52</v>
      </c>
      <c r="E22" s="1" t="s">
        <v>53</v>
      </c>
      <c r="F22" s="1" t="s">
        <v>54</v>
      </c>
      <c r="G22" s="1" t="s">
        <v>55</v>
      </c>
      <c r="H22" s="1" t="s">
        <v>56</v>
      </c>
      <c r="I22" s="1" t="s">
        <v>57</v>
      </c>
      <c r="J22" s="1" t="s">
        <v>64</v>
      </c>
      <c r="L22" s="2"/>
      <c r="P22" s="12"/>
      <c r="S22" s="2"/>
      <c r="T22" s="2"/>
      <c r="U22" s="2"/>
      <c r="V22" s="2"/>
      <c r="W22" s="12"/>
      <c r="X22" s="2"/>
    </row>
    <row r="23" hidden="1" spans="3:24">
      <c r="C23" s="2"/>
      <c r="D23" s="1">
        <f>(2*D3^2/(1-COS($J$8/180*PI())))^0.5</f>
        <v>2.82842712474619</v>
      </c>
      <c r="E23" s="1">
        <f>COS($J$8/2/180*PI())*D23</f>
        <v>2</v>
      </c>
      <c r="F23" s="1">
        <f>2*E23*$J$5/D23</f>
        <v>0.707106781186548</v>
      </c>
      <c r="G23" s="13">
        <f>($T$2-F23)*TAN($J$8/2/180*PI())*($T$2-F23)</f>
        <v>5.25735931288071</v>
      </c>
      <c r="H23" s="1">
        <f>D3*E23</f>
        <v>4</v>
      </c>
      <c r="I23" s="1">
        <f>($O$2-F23)*TAN($J$8/2/180*PI())*($O$2-F23)</f>
        <v>39.6005050633883</v>
      </c>
      <c r="J23" s="1">
        <f>_xlfn.IFS((E23+F23)&lt;T$2,0,AND(F23&lt;T$2,(E23+F23)&lt;O$2),I23-G23,AND(F23&lt;T$2,(E23+F23)&gt;=O$2),H23-G23,AND(F23&lt;O$2,(E23+F23)&lt;O$2),H23,AND(F23&lt;O$2,(E23+F23)&gt;=O$2),I23,F23&gt;=7,0)</f>
        <v>0</v>
      </c>
      <c r="L23" s="2"/>
      <c r="P23" s="12"/>
      <c r="R23" s="1" t="s">
        <v>65</v>
      </c>
      <c r="S23" s="2" t="s">
        <v>66</v>
      </c>
      <c r="T23" s="2" t="s">
        <v>40</v>
      </c>
      <c r="U23" s="2" t="s">
        <v>42</v>
      </c>
      <c r="V23" s="2" t="s">
        <v>63</v>
      </c>
      <c r="W23" s="12"/>
      <c r="X23" s="2"/>
    </row>
    <row r="24" hidden="1" spans="3:24">
      <c r="C24" s="2"/>
      <c r="D24" s="1" t="s">
        <v>67</v>
      </c>
      <c r="E24" s="1" t="s">
        <v>68</v>
      </c>
      <c r="F24" s="1" t="s">
        <v>69</v>
      </c>
      <c r="G24" s="14" t="s">
        <v>70</v>
      </c>
      <c r="H24" s="15" t="s">
        <v>71</v>
      </c>
      <c r="I24" s="2" t="s">
        <v>47</v>
      </c>
      <c r="J24" s="2" t="s">
        <v>72</v>
      </c>
      <c r="L24" s="2"/>
      <c r="P24" s="12"/>
      <c r="S24" s="2" t="s">
        <v>73</v>
      </c>
      <c r="T24" s="2">
        <f>4*2</f>
        <v>8</v>
      </c>
      <c r="U24" s="12">
        <v>0.88</v>
      </c>
      <c r="V24" s="2">
        <f>T24/(PI()*$S$2^2)*U24</f>
        <v>8.96360639493555</v>
      </c>
      <c r="W24" s="27">
        <f>V24/V21</f>
        <v>0.881134633034715</v>
      </c>
      <c r="X24" s="2"/>
    </row>
    <row r="25" hidden="1" spans="3:23">
      <c r="C25" s="2"/>
      <c r="D25" s="1">
        <f>($J$5+D3*2)*($O$2-$T$2)</f>
        <v>18</v>
      </c>
      <c r="E25" s="1">
        <f>PI()*($O$2^2-$T$2^2)</f>
        <v>125.663706143592</v>
      </c>
      <c r="F25" s="11">
        <f t="shared" ref="F25:F28" si="3">D25/E25</f>
        <v>0.143239448782706</v>
      </c>
      <c r="G25" s="16">
        <f>SUM(J19,J21,J23,D25*3)/E25</f>
        <v>0.872764961787375</v>
      </c>
      <c r="H25" s="16">
        <f>F25*3</f>
        <v>0.429718346348117</v>
      </c>
      <c r="I25" s="2">
        <v>6</v>
      </c>
      <c r="J25" s="1">
        <f>F25*(1+C21)^I25</f>
        <v>1.63158684629051</v>
      </c>
      <c r="S25" s="2"/>
      <c r="T25" s="2"/>
      <c r="U25" s="12"/>
      <c r="V25" s="2"/>
      <c r="W25" s="27"/>
    </row>
    <row r="26" hidden="1" spans="3:23">
      <c r="C26" s="2" t="s">
        <v>43</v>
      </c>
      <c r="D26" s="1" t="s">
        <v>44</v>
      </c>
      <c r="E26" s="1" t="s">
        <v>45</v>
      </c>
      <c r="F26" s="1" t="s">
        <v>46</v>
      </c>
      <c r="G26" s="2" t="s">
        <v>47</v>
      </c>
      <c r="L26" s="2"/>
      <c r="R26" s="1" t="s">
        <v>74</v>
      </c>
      <c r="S26" s="2" t="s">
        <v>66</v>
      </c>
      <c r="T26" s="2" t="s">
        <v>40</v>
      </c>
      <c r="U26" s="2" t="s">
        <v>42</v>
      </c>
      <c r="V26" s="2" t="s">
        <v>63</v>
      </c>
      <c r="W26" s="2"/>
    </row>
    <row r="27" hidden="1" spans="2:23">
      <c r="B27" s="1" t="s">
        <v>75</v>
      </c>
      <c r="C27" s="2">
        <v>0.5</v>
      </c>
      <c r="D27" s="1">
        <f>PI()*(C27+J2)^2</f>
        <v>9.0792027688745</v>
      </c>
      <c r="E27" s="1">
        <f>PI()*(O4^2-T2^2)</f>
        <v>172.787595947439</v>
      </c>
      <c r="F27" s="11">
        <f t="shared" si="3"/>
        <v>0.0525454545454545</v>
      </c>
      <c r="G27" s="2">
        <v>4</v>
      </c>
      <c r="L27" s="2"/>
      <c r="Q27" s="12"/>
      <c r="R27" s="2"/>
      <c r="S27" s="2" t="s">
        <v>76</v>
      </c>
      <c r="T27" s="2">
        <f>6.5*1.5</f>
        <v>9.75</v>
      </c>
      <c r="U27" s="12">
        <v>0.85</v>
      </c>
      <c r="V27" s="2">
        <f>T27/(PI()*$S$2^2)*U27</f>
        <v>10.5519727269927</v>
      </c>
      <c r="W27" s="2">
        <f>V27/V21</f>
        <v>1.0372731919425</v>
      </c>
    </row>
    <row r="28" hidden="1" spans="2:20">
      <c r="B28" s="1" t="s">
        <v>75</v>
      </c>
      <c r="C28" s="2">
        <v>0.9</v>
      </c>
      <c r="D28" s="1">
        <f>PI()*(C28+J2)^2</f>
        <v>13.854423602331</v>
      </c>
      <c r="E28" s="1">
        <f>PI()*(O4^2-T2^2)</f>
        <v>172.787595947439</v>
      </c>
      <c r="F28" s="11">
        <f t="shared" si="3"/>
        <v>0.0801818181818182</v>
      </c>
      <c r="L28" s="2"/>
      <c r="Q28" s="12"/>
      <c r="R28" s="2"/>
      <c r="S28" s="2"/>
      <c r="T28" s="2"/>
    </row>
    <row r="29" hidden="1" spans="2:20">
      <c r="B29" s="1" t="s">
        <v>75</v>
      </c>
      <c r="C29" s="12">
        <f>C13</f>
        <v>0.5</v>
      </c>
      <c r="F29" s="13">
        <f>(1-(1-F28)^((1+C29)*0.5))*3</f>
        <v>0.18228056726074</v>
      </c>
      <c r="L29" s="2"/>
      <c r="Q29" s="12"/>
      <c r="R29" s="2"/>
      <c r="S29" s="2"/>
      <c r="T29" s="2"/>
    </row>
    <row r="30" hidden="1" spans="3:18">
      <c r="C30" s="2" t="s">
        <v>49</v>
      </c>
      <c r="D30" s="1" t="s">
        <v>44</v>
      </c>
      <c r="E30" s="1" t="s">
        <v>45</v>
      </c>
      <c r="F30" s="1" t="s">
        <v>46</v>
      </c>
      <c r="G30" s="2" t="s">
        <v>47</v>
      </c>
      <c r="L30" s="2"/>
      <c r="Q30" s="12"/>
      <c r="R30" s="2"/>
    </row>
    <row r="31" hidden="1" spans="2:18">
      <c r="B31" s="1" t="s">
        <v>77</v>
      </c>
      <c r="C31" s="2">
        <f t="shared" ref="C31:C33" si="4">C27</f>
        <v>0.5</v>
      </c>
      <c r="D31" s="1">
        <f>PI()*((C31+J4/2)^2+(J3/2)^2)</f>
        <v>31.8086256175967</v>
      </c>
      <c r="E31" s="1">
        <f>PI()*((O3*2)^2-T2^2)</f>
        <v>285.884931476671</v>
      </c>
      <c r="F31" s="11">
        <f>D31/E31</f>
        <v>0.111263736263736</v>
      </c>
      <c r="G31" s="2">
        <v>3</v>
      </c>
      <c r="L31" s="2"/>
      <c r="Q31" s="12"/>
      <c r="R31" s="2"/>
    </row>
    <row r="32" hidden="1" spans="2:18">
      <c r="B32" s="1" t="s">
        <v>77</v>
      </c>
      <c r="C32" s="2">
        <f t="shared" si="4"/>
        <v>0.9</v>
      </c>
      <c r="D32" s="1">
        <f>PI()*((C32+J4/2)^2+(J3/2)^2)</f>
        <v>37.9661472186326</v>
      </c>
      <c r="E32" s="1">
        <f>PI()*((O3*2)^2-T2^2)</f>
        <v>285.884931476671</v>
      </c>
      <c r="F32" s="11">
        <f>D32/E32</f>
        <v>0.132802197802198</v>
      </c>
      <c r="L32" s="2"/>
      <c r="Q32" s="12"/>
      <c r="R32" s="2"/>
    </row>
    <row r="33" hidden="1" spans="2:18">
      <c r="B33" s="1" t="s">
        <v>77</v>
      </c>
      <c r="C33" s="12">
        <f t="shared" si="4"/>
        <v>0.5</v>
      </c>
      <c r="F33" s="13">
        <f>(1-(1-F32)^((1+C33)*0.5))*3</f>
        <v>0.304062118848676</v>
      </c>
      <c r="L33" s="2"/>
      <c r="Q33" s="12"/>
      <c r="R33" s="2"/>
    </row>
    <row r="34" hidden="1" spans="3:18">
      <c r="C34" s="2" t="s">
        <v>78</v>
      </c>
      <c r="D34" s="1" t="s">
        <v>52</v>
      </c>
      <c r="E34" s="1" t="s">
        <v>53</v>
      </c>
      <c r="F34" s="1" t="s">
        <v>54</v>
      </c>
      <c r="G34" s="1" t="s">
        <v>55</v>
      </c>
      <c r="H34" s="1" t="s">
        <v>56</v>
      </c>
      <c r="I34" s="1" t="s">
        <v>57</v>
      </c>
      <c r="J34" s="1" t="s">
        <v>58</v>
      </c>
      <c r="L34" s="2"/>
      <c r="Q34" s="12"/>
      <c r="R34" s="2"/>
    </row>
    <row r="35" hidden="1" spans="2:18">
      <c r="B35" s="1" t="s">
        <v>79</v>
      </c>
      <c r="C35" s="2">
        <f t="shared" ref="C35:C37" si="5">C31</f>
        <v>0.5</v>
      </c>
      <c r="D35" s="1">
        <f>(2*C35^2/(1-COS($J$6/180*PI())))^0.5</f>
        <v>3.8306487877702</v>
      </c>
      <c r="E35" s="1">
        <f>COS($J$6/2/180*PI())*D35</f>
        <v>3.79787705636258</v>
      </c>
      <c r="F35" s="1">
        <f>2*E35*$J$5/D35</f>
        <v>0.99144486137381</v>
      </c>
      <c r="G35" s="13">
        <f>($T$2-F35)*TAN($J$6/2/180*PI())*($T$2-F35)</f>
        <v>0.531124847517513</v>
      </c>
      <c r="H35" s="1">
        <f>C35*E35</f>
        <v>1.89893852818129</v>
      </c>
      <c r="I35" s="1">
        <f>($O$2-F35)*TAN($J$6/2/180*PI())*($O$2-F35)</f>
        <v>4.75301521325293</v>
      </c>
      <c r="J35" s="1">
        <f>_xlfn.IFS((E35+F35)&lt;T$2,0,AND(F35&lt;T$2,(E35+F35)&lt;O$2),I35-G35,AND(F35&lt;T$2,(E35+F35)&gt;=O$2),H35-G35,AND(F35&lt;O$2,(E35+F35)&lt;O$2),H35,AND(F35&lt;O$2,(E35+F35)&gt;=O$2),I35,F35&gt;=7,0)</f>
        <v>4.22189036573542</v>
      </c>
      <c r="L35" s="2"/>
      <c r="Q35" s="12"/>
      <c r="R35" s="2"/>
    </row>
    <row r="36" hidden="1" spans="2:18">
      <c r="B36" s="1" t="s">
        <v>79</v>
      </c>
      <c r="C36" s="2">
        <f t="shared" si="5"/>
        <v>0.9</v>
      </c>
      <c r="D36" s="1" t="s">
        <v>52</v>
      </c>
      <c r="E36" s="1" t="s">
        <v>53</v>
      </c>
      <c r="F36" s="1" t="s">
        <v>54</v>
      </c>
      <c r="G36" s="1" t="s">
        <v>55</v>
      </c>
      <c r="H36" s="1" t="s">
        <v>56</v>
      </c>
      <c r="I36" s="1" t="s">
        <v>57</v>
      </c>
      <c r="J36" s="1" t="s">
        <v>60</v>
      </c>
      <c r="L36" s="2"/>
      <c r="Q36" s="12"/>
      <c r="R36" s="2"/>
    </row>
    <row r="37" hidden="1" spans="2:18">
      <c r="B37" s="1" t="s">
        <v>79</v>
      </c>
      <c r="C37" s="12">
        <f t="shared" si="5"/>
        <v>0.5</v>
      </c>
      <c r="D37" s="1">
        <f>(2*C35^2/(1-COS($J$7/180*PI())))^0.5</f>
        <v>0.821339815852291</v>
      </c>
      <c r="E37" s="1">
        <f>COS($J$7/2/180*PI())*D37</f>
        <v>0.651612686420603</v>
      </c>
      <c r="F37" s="1">
        <f>2*E37*$J$5/D37</f>
        <v>0.793353340291235</v>
      </c>
      <c r="G37" s="13">
        <f>($T$2-F37)*TAN($J$6/2/180*PI())*($T$2-F37)</f>
        <v>0.641054121623861</v>
      </c>
      <c r="H37" s="1">
        <f>C35*E37</f>
        <v>0.325806343210301</v>
      </c>
      <c r="I37" s="1">
        <f>($O$2-F37)*TAN($J$6/2/180*PI())*($O$2-F37)</f>
        <v>5.07157843537054</v>
      </c>
      <c r="J37" s="1">
        <f>_xlfn.IFS((E37+F37)&lt;T$2,0,AND(F37&lt;T$2,(E37+F37)&lt;O$2),I37-G37,AND(F37&lt;T$2,(E37+F37)&gt;=O$2),H37-G37,AND(F37&lt;O$2,(E37+F37)&lt;O$2),H37,AND(F37&lt;O$2,(E37+F37)&gt;=O$2),I37,F37&gt;=7,0)</f>
        <v>0</v>
      </c>
      <c r="L37" s="2"/>
      <c r="Q37" s="12"/>
      <c r="R37" s="2"/>
    </row>
    <row r="38" hidden="1" spans="3:18">
      <c r="C38" s="2"/>
      <c r="D38" s="1" t="s">
        <v>52</v>
      </c>
      <c r="E38" s="1" t="s">
        <v>53</v>
      </c>
      <c r="F38" s="1" t="s">
        <v>54</v>
      </c>
      <c r="G38" s="1" t="s">
        <v>55</v>
      </c>
      <c r="H38" s="1" t="s">
        <v>56</v>
      </c>
      <c r="I38" s="1" t="s">
        <v>57</v>
      </c>
      <c r="J38" s="1" t="s">
        <v>64</v>
      </c>
      <c r="L38" s="2"/>
      <c r="Q38" s="12"/>
      <c r="R38" s="2"/>
    </row>
    <row r="39" hidden="1" spans="3:18">
      <c r="C39" s="2"/>
      <c r="D39" s="1">
        <f>(2*C35^2/(1-COS($J$8/180*PI())))^0.5</f>
        <v>0.707106781186548</v>
      </c>
      <c r="E39" s="1">
        <f>COS($J$8/2/180*PI())*D39</f>
        <v>0.5</v>
      </c>
      <c r="F39" s="1">
        <f>2*E39*$J$5/D39</f>
        <v>0.707106781186548</v>
      </c>
      <c r="G39" s="13">
        <f>($T$2-F39)*TAN($J$8/2/180*PI())*($T$2-F39)</f>
        <v>5.25735931288071</v>
      </c>
      <c r="H39" s="1">
        <f>C35*E39</f>
        <v>0.25</v>
      </c>
      <c r="I39" s="1">
        <f>($O$2-F39)*TAN($J$8/2/180*PI())*($O$2-F39)</f>
        <v>39.6005050633883</v>
      </c>
      <c r="J39" s="1">
        <f>_xlfn.IFS((E39+F39)&lt;T$2,0,AND(F39&lt;T$2,(E39+F39)&lt;O$2),I39-G39,AND(F39&lt;T$2,(E39+F39)&gt;=O$2),H39-G39,AND(F39&lt;O$2,(E39+F39)&lt;O$2),H39,AND(F39&lt;O$2,(E39+F39)&gt;=O$2),I39,F39&gt;=7,0)</f>
        <v>0</v>
      </c>
      <c r="L39" s="2"/>
      <c r="Q39" s="12"/>
      <c r="R39" s="2"/>
    </row>
    <row r="40" hidden="1" spans="3:18">
      <c r="C40" s="2"/>
      <c r="D40" s="1" t="s">
        <v>67</v>
      </c>
      <c r="E40" s="1" t="s">
        <v>68</v>
      </c>
      <c r="F40" s="1" t="s">
        <v>69</v>
      </c>
      <c r="G40" s="17" t="s">
        <v>80</v>
      </c>
      <c r="H40" s="5" t="s">
        <v>81</v>
      </c>
      <c r="L40" s="2"/>
      <c r="Q40" s="12"/>
      <c r="R40" s="2"/>
    </row>
    <row r="41" hidden="1" spans="4:18">
      <c r="D41" s="1">
        <f>($J$5+C35*2)*($O$2-$T$2)</f>
        <v>6</v>
      </c>
      <c r="E41" s="1">
        <f>PI()*($O$5^2-$T$2^2)</f>
        <v>172.787595947439</v>
      </c>
      <c r="F41" s="11">
        <f>D41/E41</f>
        <v>0.0347247148564135</v>
      </c>
      <c r="G41" s="18">
        <f>SUM(J35,J37,J39,D41*6)/E41</f>
        <v>0.232782278989348</v>
      </c>
      <c r="H41" s="17">
        <f>9*G41</f>
        <v>2.09504051090413</v>
      </c>
      <c r="L41" s="2"/>
      <c r="Q41" s="12"/>
      <c r="R41" s="2"/>
    </row>
    <row r="42" hidden="1" spans="4:19">
      <c r="D42" s="1" t="s">
        <v>52</v>
      </c>
      <c r="E42" s="1" t="s">
        <v>53</v>
      </c>
      <c r="F42" s="1" t="s">
        <v>54</v>
      </c>
      <c r="G42" s="1" t="s">
        <v>55</v>
      </c>
      <c r="H42" s="1" t="s">
        <v>56</v>
      </c>
      <c r="I42" s="1" t="s">
        <v>57</v>
      </c>
      <c r="J42" s="1" t="s">
        <v>58</v>
      </c>
      <c r="N42" s="1"/>
      <c r="R42" s="2"/>
      <c r="S42" s="2"/>
    </row>
    <row r="43" hidden="1" spans="4:18">
      <c r="D43" s="1">
        <f>(2*C36^2/(1-COS($J$6/180*PI())))^0.5</f>
        <v>6.89516781798635</v>
      </c>
      <c r="E43" s="1">
        <f>COS($J$6/2/180*PI())*D43</f>
        <v>6.83617870145264</v>
      </c>
      <c r="F43" s="1">
        <f>2*E43*$J$5/D43</f>
        <v>0.99144486137381</v>
      </c>
      <c r="G43" s="13">
        <f>($T$2-F43)*TAN($J$6/2/180*PI())*($T$2-F43)</f>
        <v>0.531124847517513</v>
      </c>
      <c r="H43" s="1">
        <f>C36*E43</f>
        <v>6.15256083130737</v>
      </c>
      <c r="I43" s="1">
        <f>($O$2-F43)*TAN($J$6/2/180*PI())*($O$2-F43)</f>
        <v>4.75301521325293</v>
      </c>
      <c r="J43" s="1">
        <f>_xlfn.IFS((E43+F43)&lt;T$2,0,AND(F43&lt;T$2,(E43+F43)&lt;O$2),I43-G43,AND(F43&lt;T$2,(E43+F43)&gt;=O$2),H43-G43,AND(F43&lt;O$2,(E43+F43)&lt;O$2),H43,AND(F43&lt;O$2,(E43+F43)&gt;=O$2),I43,F43&gt;=7,0)</f>
        <v>5.62143598378986</v>
      </c>
      <c r="N43" s="1"/>
      <c r="O43" s="1"/>
      <c r="P43" s="1"/>
      <c r="R43" s="2"/>
    </row>
    <row r="44" hidden="1" spans="4:18">
      <c r="D44" s="1" t="s">
        <v>52</v>
      </c>
      <c r="E44" s="1" t="s">
        <v>53</v>
      </c>
      <c r="F44" s="1" t="s">
        <v>54</v>
      </c>
      <c r="G44" s="1" t="s">
        <v>55</v>
      </c>
      <c r="H44" s="1" t="s">
        <v>56</v>
      </c>
      <c r="I44" s="1" t="s">
        <v>57</v>
      </c>
      <c r="J44" s="1" t="s">
        <v>60</v>
      </c>
      <c r="N44" s="1"/>
      <c r="O44" s="1"/>
      <c r="P44" s="1"/>
      <c r="R44" s="2"/>
    </row>
    <row r="45" hidden="1" spans="4:18">
      <c r="D45" s="1">
        <f>(2*C36^2/(1-COS($J$7/180*PI())))^0.5</f>
        <v>1.47841166853412</v>
      </c>
      <c r="E45" s="1">
        <f>COS($J$7/2/180*PI())*D45</f>
        <v>1.17290283555709</v>
      </c>
      <c r="F45" s="1">
        <f>2*E45*$J$5/D45</f>
        <v>0.793353340291235</v>
      </c>
      <c r="G45" s="13">
        <f>($T$2-F45)*TAN($J$6/2/180*PI())*($T$2-F45)</f>
        <v>0.641054121623861</v>
      </c>
      <c r="H45" s="1">
        <f>C36*E45</f>
        <v>1.05561255200138</v>
      </c>
      <c r="I45" s="1">
        <f>($O$2-F45)*TAN($J$6/2/180*PI())*($O$2-F45)</f>
        <v>5.07157843537054</v>
      </c>
      <c r="J45" s="1">
        <f>_xlfn.IFS((E45+F45)&lt;T$2,0,AND(F45&lt;T$2,(E45+F45)&lt;O$2),I45-G45,AND(F45&lt;T$2,(E45+F45)&gt;=O$2),H45-G45,AND(F45&lt;O$2,(E45+F45)&lt;O$2),H45,AND(F45&lt;O$2,(E45+F45)&gt;=O$2),I45,F45&gt;=7,0)</f>
        <v>0</v>
      </c>
      <c r="N45" s="1"/>
      <c r="O45" s="1"/>
      <c r="P45" s="1"/>
      <c r="R45" s="2"/>
    </row>
    <row r="46" hidden="1" spans="4:18">
      <c r="D46" s="1" t="s">
        <v>52</v>
      </c>
      <c r="E46" s="1" t="s">
        <v>53</v>
      </c>
      <c r="F46" s="1" t="s">
        <v>54</v>
      </c>
      <c r="G46" s="1" t="s">
        <v>55</v>
      </c>
      <c r="H46" s="1" t="s">
        <v>56</v>
      </c>
      <c r="I46" s="1" t="s">
        <v>57</v>
      </c>
      <c r="J46" s="1" t="s">
        <v>64</v>
      </c>
      <c r="N46" s="1"/>
      <c r="O46" s="1"/>
      <c r="P46" s="1"/>
      <c r="R46" s="2"/>
    </row>
    <row r="47" hidden="1" spans="4:18">
      <c r="D47" s="1">
        <f>(2*C36^2/(1-COS($J$8/180*PI())))^0.5</f>
        <v>1.27279220613579</v>
      </c>
      <c r="E47" s="1">
        <f>COS($J$8/2/180*PI())*D47</f>
        <v>0.9</v>
      </c>
      <c r="F47" s="1">
        <f>2*E47*$J$5/D47</f>
        <v>0.707106781186548</v>
      </c>
      <c r="G47" s="13">
        <f>($T$2-F47)*TAN($J$8/2/180*PI())*($T$2-F47)</f>
        <v>5.25735931288071</v>
      </c>
      <c r="H47" s="1">
        <f>C36*E47</f>
        <v>0.81</v>
      </c>
      <c r="I47" s="1">
        <f>($O$2-F47)*TAN($J$8/2/180*PI())*($O$2-F47)</f>
        <v>39.6005050633883</v>
      </c>
      <c r="J47" s="1">
        <f>_xlfn.IFS((E47+F47)&lt;T$2,0,AND(F47&lt;T$2,(E47+F47)&lt;O$2),I47-G47,AND(F47&lt;T$2,(E47+F47)&gt;=O$2),H47-G47,AND(F47&lt;O$2,(E47+F47)&lt;O$2),H47,AND(F47&lt;O$2,(E47+F47)&gt;=O$2),I47,F47&gt;=7,0)</f>
        <v>0</v>
      </c>
      <c r="N47" s="1"/>
      <c r="O47" s="1"/>
      <c r="P47" s="1"/>
      <c r="R47" s="2"/>
    </row>
    <row r="48" hidden="1" spans="4:17">
      <c r="D48" s="1" t="s">
        <v>67</v>
      </c>
      <c r="E48" s="1" t="s">
        <v>68</v>
      </c>
      <c r="F48" s="1" t="s">
        <v>69</v>
      </c>
      <c r="G48" s="14" t="s">
        <v>80</v>
      </c>
      <c r="H48" s="15" t="s">
        <v>82</v>
      </c>
      <c r="I48" s="2" t="s">
        <v>47</v>
      </c>
      <c r="J48" s="2" t="s">
        <v>72</v>
      </c>
      <c r="N48" s="1"/>
      <c r="O48" s="1"/>
      <c r="P48" s="1"/>
      <c r="Q48" s="1"/>
    </row>
    <row r="49" hidden="1" spans="4:19">
      <c r="D49" s="1">
        <f>($J$5+C36*2)*($O$2-$T$2)</f>
        <v>9.2</v>
      </c>
      <c r="E49" s="1">
        <f>PI()*($O$5^2-$T$2^2)</f>
        <v>172.787595947439</v>
      </c>
      <c r="F49" s="11">
        <f>D49/E49</f>
        <v>0.0532445627798341</v>
      </c>
      <c r="G49" s="16">
        <f>SUM(J43,J45,J47,D49*6)/E49</f>
        <v>0.352001170282452</v>
      </c>
      <c r="H49" s="16">
        <f>F49*3</f>
        <v>0.159733688339502</v>
      </c>
      <c r="I49" s="2">
        <v>6</v>
      </c>
      <c r="J49" s="13">
        <f>(1-(1-F49)^((1+C37)*0.5))*3</f>
        <v>0.120615843356463</v>
      </c>
      <c r="N49" s="1"/>
      <c r="O49" s="26"/>
      <c r="P49" s="26"/>
      <c r="Q49" s="26"/>
      <c r="R49" s="26"/>
      <c r="S49" s="26"/>
    </row>
    <row r="50" spans="12:19">
      <c r="L50" s="1">
        <f>L56/L65</f>
        <v>0.576158940397351</v>
      </c>
      <c r="M50" s="2">
        <f>M56/M65</f>
        <v>0.823813472814773</v>
      </c>
      <c r="N50" s="1"/>
      <c r="R50" s="2"/>
      <c r="S50" s="2"/>
    </row>
    <row r="51" spans="2:19">
      <c r="B51" s="1" t="s">
        <v>83</v>
      </c>
      <c r="C51" s="1" t="s">
        <v>84</v>
      </c>
      <c r="D51" s="1" t="s">
        <v>85</v>
      </c>
      <c r="E51" s="1" t="s">
        <v>86</v>
      </c>
      <c r="F51" s="1" t="s">
        <v>87</v>
      </c>
      <c r="G51" s="2" t="s">
        <v>88</v>
      </c>
      <c r="H51" s="2" t="s">
        <v>89</v>
      </c>
      <c r="I51" s="1" t="s">
        <v>90</v>
      </c>
      <c r="J51" s="1" t="s">
        <v>91</v>
      </c>
      <c r="K51" s="1" t="s">
        <v>92</v>
      </c>
      <c r="L51" s="1" t="s">
        <v>93</v>
      </c>
      <c r="M51" s="1" t="s">
        <v>94</v>
      </c>
      <c r="N51" s="1"/>
      <c r="R51" s="2"/>
      <c r="S51" s="2"/>
    </row>
    <row r="52" spans="1:18">
      <c r="A52" s="32" t="s">
        <v>143</v>
      </c>
      <c r="B52" s="1" t="s">
        <v>95</v>
      </c>
      <c r="C52" s="28">
        <v>3</v>
      </c>
      <c r="D52" s="28">
        <v>15</v>
      </c>
      <c r="E52" s="1">
        <f>C52*G52/$N$4*(ROUNDDOWN($R$4/$N$4,0)/(ROUNDDOWN($R$4/$N$4,0)+1))</f>
        <v>0</v>
      </c>
      <c r="F52" s="1">
        <f>D52*H52/$N$4*(1/(ROUNDDOWN($R$4/$N$4,0)+1))</f>
        <v>0</v>
      </c>
      <c r="G52" s="29">
        <v>0</v>
      </c>
      <c r="H52" s="29">
        <v>0</v>
      </c>
      <c r="I52" s="31">
        <f t="shared" ref="I52:I66" si="6">F52+E52</f>
        <v>0</v>
      </c>
      <c r="J52" s="1">
        <v>1</v>
      </c>
      <c r="K52" s="1">
        <f t="shared" ref="K52:K66" si="7">I52*$V$21*J52</f>
        <v>0</v>
      </c>
      <c r="L52" s="1">
        <f t="shared" ref="L52:L66" si="8">I52*$F$13*$C$12/20</f>
        <v>0</v>
      </c>
      <c r="M52" s="1">
        <f t="shared" ref="M52:M66" si="9">MIN(I52*$F$29*12/20*(1+$C$29)^$G$27,6*(1+$C$29)^4/20/4)</f>
        <v>0</v>
      </c>
      <c r="N52" s="1"/>
      <c r="O52" s="1"/>
      <c r="P52" s="1"/>
      <c r="R52" s="2"/>
    </row>
    <row r="53" spans="1:18">
      <c r="A53" s="33" t="s">
        <v>144</v>
      </c>
      <c r="B53" s="1" t="s">
        <v>96</v>
      </c>
      <c r="C53" s="28">
        <v>3</v>
      </c>
      <c r="D53" s="28">
        <v>15</v>
      </c>
      <c r="E53" s="1">
        <f>C53*G53/$N$4*(ROUNDDOWN($R$4/$N$4,0)/(ROUNDDOWN($R$4/$N$4,0)+1))</f>
        <v>0.331168831168831</v>
      </c>
      <c r="F53" s="1">
        <f>D53*H53/$N$4*(1/(ROUNDDOWN($R$4/$N$4,0)+1))</f>
        <v>0</v>
      </c>
      <c r="G53" s="29">
        <v>0.17</v>
      </c>
      <c r="H53" s="29">
        <v>0</v>
      </c>
      <c r="I53" s="31">
        <f t="shared" si="6"/>
        <v>0.331168831168831</v>
      </c>
      <c r="J53" s="1">
        <f t="shared" ref="J53:J66" si="10">$J$52</f>
        <v>1</v>
      </c>
      <c r="K53" s="1">
        <f t="shared" si="7"/>
        <v>3.36891428571429</v>
      </c>
      <c r="L53" s="1">
        <f t="shared" si="8"/>
        <v>0.386275324675324</v>
      </c>
      <c r="M53" s="1">
        <f t="shared" si="9"/>
        <v>0.183360638803762</v>
      </c>
      <c r="N53" s="1"/>
      <c r="O53" s="1"/>
      <c r="P53" s="1"/>
      <c r="R53" s="2"/>
    </row>
    <row r="54" spans="1:18">
      <c r="A54" s="34" t="s">
        <v>145</v>
      </c>
      <c r="B54" s="1" t="s">
        <v>97</v>
      </c>
      <c r="C54" s="28">
        <v>3</v>
      </c>
      <c r="D54" s="28">
        <v>15</v>
      </c>
      <c r="E54" s="1">
        <f>C54*G54/$N$4*(ROUNDDOWN($R$4/$N$4,0)/(ROUNDDOWN($R$4/$N$4,0)+1))</f>
        <v>0.331168831168831</v>
      </c>
      <c r="F54" s="1">
        <f>D54*H54/$N$4*(1/(ROUNDDOWN($R$4/$N$4,0)+1))</f>
        <v>0</v>
      </c>
      <c r="G54" s="29">
        <v>0.17</v>
      </c>
      <c r="H54" s="29">
        <v>0</v>
      </c>
      <c r="I54" s="31">
        <f t="shared" si="6"/>
        <v>0.331168831168831</v>
      </c>
      <c r="J54" s="1">
        <f t="shared" si="10"/>
        <v>1</v>
      </c>
      <c r="K54" s="1">
        <f t="shared" si="7"/>
        <v>3.36891428571429</v>
      </c>
      <c r="L54" s="1">
        <f t="shared" si="8"/>
        <v>0.386275324675324</v>
      </c>
      <c r="M54" s="1">
        <f t="shared" si="9"/>
        <v>0.183360638803762</v>
      </c>
      <c r="N54" s="1"/>
      <c r="O54" s="1"/>
      <c r="P54" s="1"/>
      <c r="R54" s="2"/>
    </row>
    <row r="55" spans="1:19">
      <c r="A55" s="35" t="s">
        <v>146</v>
      </c>
      <c r="B55" s="1" t="s">
        <v>98</v>
      </c>
      <c r="C55" s="28">
        <v>3</v>
      </c>
      <c r="D55" s="28">
        <v>15</v>
      </c>
      <c r="E55" s="1">
        <f>C55*G55/$N$4*(ROUNDDOWN($R$4/$N$4,0)/(ROUNDDOWN($R$4/$N$4,0)+1))</f>
        <v>0.331168831168831</v>
      </c>
      <c r="F55" s="1">
        <f>D55*H55/$N$4*(1/(ROUNDDOWN($R$4/$N$4,0)+1))</f>
        <v>0.233766233766234</v>
      </c>
      <c r="G55" s="29">
        <v>0.17</v>
      </c>
      <c r="H55" s="29">
        <v>0.24</v>
      </c>
      <c r="I55" s="31">
        <f t="shared" si="6"/>
        <v>0.564935064935065</v>
      </c>
      <c r="J55" s="1">
        <f t="shared" si="10"/>
        <v>1</v>
      </c>
      <c r="K55" s="1">
        <f t="shared" si="7"/>
        <v>5.74697142857143</v>
      </c>
      <c r="L55" s="1">
        <f t="shared" si="8"/>
        <v>0.658940259740259</v>
      </c>
      <c r="M55" s="1">
        <f t="shared" si="9"/>
        <v>0.312791677959359</v>
      </c>
      <c r="N55" s="1"/>
      <c r="R55" s="2"/>
      <c r="S55" s="2"/>
    </row>
    <row r="56" spans="1:23">
      <c r="A56" s="35" t="s">
        <v>146</v>
      </c>
      <c r="B56" s="1" t="s">
        <v>99</v>
      </c>
      <c r="C56" s="28">
        <v>3</v>
      </c>
      <c r="D56" s="28">
        <v>15</v>
      </c>
      <c r="E56" s="1">
        <f>C56*G56/$N$4*(ROUNDDOWN($R$4/$N$4,0)/(ROUNDDOWN($R$4/$N$4,0)+1))</f>
        <v>0.331168831168831</v>
      </c>
      <c r="F56" s="1">
        <f>D56*H56/$N$4*(1/(ROUNDDOWN($R$4/$N$4,0)+1))</f>
        <v>0.233766233766234</v>
      </c>
      <c r="G56" s="29">
        <v>0.17</v>
      </c>
      <c r="H56" s="29">
        <v>0.24</v>
      </c>
      <c r="I56" s="31">
        <f t="shared" si="6"/>
        <v>0.564935064935065</v>
      </c>
      <c r="J56" s="1">
        <f t="shared" si="10"/>
        <v>1</v>
      </c>
      <c r="K56" s="1">
        <f t="shared" si="7"/>
        <v>5.74697142857143</v>
      </c>
      <c r="L56" s="1">
        <f t="shared" si="8"/>
        <v>0.658940259740259</v>
      </c>
      <c r="M56" s="1">
        <f t="shared" si="9"/>
        <v>0.312791677959359</v>
      </c>
      <c r="P56" s="1"/>
      <c r="R56" s="2"/>
      <c r="S56" s="2"/>
      <c r="T56" s="2"/>
      <c r="U56" s="2"/>
      <c r="V56" s="2"/>
      <c r="W56" s="2"/>
    </row>
    <row r="57" spans="1:21">
      <c r="A57" s="35" t="s">
        <v>146</v>
      </c>
      <c r="B57" s="1" t="s">
        <v>100</v>
      </c>
      <c r="C57" s="28">
        <v>3</v>
      </c>
      <c r="D57" s="28">
        <v>15</v>
      </c>
      <c r="E57" s="1">
        <f>C57*G57/$N$4*(ROUNDDOWN($R$4/$N$4,0)/(ROUNDDOWN($R$4/$N$4,0)+1))</f>
        <v>0.331168831168831</v>
      </c>
      <c r="F57" s="1">
        <f>D57*H57/$N$4*(1/(ROUNDDOWN($R$4/$N$4,0)+1))</f>
        <v>0.233766233766234</v>
      </c>
      <c r="G57" s="29">
        <v>0.17</v>
      </c>
      <c r="H57" s="29">
        <v>0.24</v>
      </c>
      <c r="I57" s="31">
        <f t="shared" si="6"/>
        <v>0.564935064935065</v>
      </c>
      <c r="J57" s="1">
        <f t="shared" si="10"/>
        <v>1</v>
      </c>
      <c r="K57" s="1">
        <f t="shared" si="7"/>
        <v>5.74697142857143</v>
      </c>
      <c r="L57" s="1">
        <f t="shared" si="8"/>
        <v>0.658940259740259</v>
      </c>
      <c r="M57" s="1">
        <f t="shared" si="9"/>
        <v>0.312791677959359</v>
      </c>
      <c r="P57" s="1"/>
      <c r="R57" s="2"/>
      <c r="S57" s="2"/>
      <c r="T57" s="2"/>
      <c r="U57" s="2"/>
    </row>
    <row r="58" spans="1:21">
      <c r="A58" s="36" t="s">
        <v>147</v>
      </c>
      <c r="B58" s="1" t="s">
        <v>101</v>
      </c>
      <c r="C58" s="28">
        <v>3</v>
      </c>
      <c r="D58" s="28">
        <v>19</v>
      </c>
      <c r="E58" s="1">
        <f>C58*G58/$N$4*(ROUNDDOWN($R$4/$N$4,0)/(ROUNDDOWN($R$4/$N$4,0)+1))</f>
        <v>0.331168831168831</v>
      </c>
      <c r="F58" s="1">
        <f>D58*H58/$N$4*(1/(ROUNDDOWN($R$4/$N$4,0)+1))</f>
        <v>0.296103896103896</v>
      </c>
      <c r="G58" s="29">
        <v>0.17</v>
      </c>
      <c r="H58" s="29">
        <v>0.24</v>
      </c>
      <c r="I58" s="31">
        <f t="shared" si="6"/>
        <v>0.627272727272727</v>
      </c>
      <c r="J58" s="1">
        <f t="shared" si="10"/>
        <v>1</v>
      </c>
      <c r="K58" s="1">
        <f t="shared" si="7"/>
        <v>6.38112</v>
      </c>
      <c r="L58" s="1">
        <f t="shared" si="8"/>
        <v>0.731650909090908</v>
      </c>
      <c r="M58" s="1">
        <f t="shared" si="9"/>
        <v>0.347306621734185</v>
      </c>
      <c r="P58" s="1"/>
      <c r="R58" s="2"/>
      <c r="S58" s="2"/>
      <c r="T58" s="2"/>
      <c r="U58" s="2"/>
    </row>
    <row r="59" spans="1:21">
      <c r="A59" s="36" t="s">
        <v>147</v>
      </c>
      <c r="B59" s="1" t="s">
        <v>102</v>
      </c>
      <c r="C59" s="28">
        <v>3</v>
      </c>
      <c r="D59" s="28">
        <v>19</v>
      </c>
      <c r="E59" s="1">
        <f>C59*G59/$N$4*(ROUNDDOWN($R$4/$N$4,0)/(ROUNDDOWN($R$4/$N$4,0)+1))</f>
        <v>0.487012987012987</v>
      </c>
      <c r="F59" s="1">
        <f>D59*H59/$N$4*(1/(ROUNDDOWN($R$4/$N$4,0)+1))</f>
        <v>0.493506493506494</v>
      </c>
      <c r="G59" s="29">
        <v>0.25</v>
      </c>
      <c r="H59" s="29">
        <v>0.4</v>
      </c>
      <c r="I59" s="31">
        <f t="shared" si="6"/>
        <v>0.980519480519481</v>
      </c>
      <c r="J59" s="1">
        <f t="shared" si="10"/>
        <v>1</v>
      </c>
      <c r="K59" s="1">
        <f t="shared" si="7"/>
        <v>9.97462857142857</v>
      </c>
      <c r="L59" s="1">
        <f t="shared" si="8"/>
        <v>1.14367792207792</v>
      </c>
      <c r="M59" s="1">
        <f t="shared" si="9"/>
        <v>0.3796875</v>
      </c>
      <c r="P59" s="1"/>
      <c r="R59" s="2"/>
      <c r="S59" s="2"/>
      <c r="T59" s="2"/>
      <c r="U59" s="2"/>
    </row>
    <row r="60" spans="1:21">
      <c r="A60" s="36" t="s">
        <v>147</v>
      </c>
      <c r="B60" s="1" t="s">
        <v>103</v>
      </c>
      <c r="C60" s="28">
        <v>3</v>
      </c>
      <c r="D60" s="28">
        <v>19</v>
      </c>
      <c r="E60" s="1">
        <f>C60*G60/$N$4*(ROUNDDOWN($R$4/$N$4,0)/(ROUNDDOWN($R$4/$N$4,0)+1))</f>
        <v>0.487012987012987</v>
      </c>
      <c r="F60" s="1">
        <f>D60*H60/$N$4*(1/(ROUNDDOWN($R$4/$N$4,0)+1))</f>
        <v>0.493506493506494</v>
      </c>
      <c r="G60" s="29">
        <v>0.25</v>
      </c>
      <c r="H60" s="29">
        <v>0.4</v>
      </c>
      <c r="I60" s="31">
        <f t="shared" si="6"/>
        <v>0.980519480519481</v>
      </c>
      <c r="J60" s="1">
        <f t="shared" si="10"/>
        <v>1</v>
      </c>
      <c r="K60" s="1">
        <f t="shared" si="7"/>
        <v>9.97462857142857</v>
      </c>
      <c r="L60" s="1">
        <f t="shared" si="8"/>
        <v>1.14367792207792</v>
      </c>
      <c r="M60" s="1">
        <f t="shared" si="9"/>
        <v>0.3796875</v>
      </c>
      <c r="P60" s="1"/>
      <c r="R60" s="2"/>
      <c r="S60" s="2"/>
      <c r="T60" s="2"/>
      <c r="U60" s="2"/>
    </row>
    <row r="61" spans="1:21">
      <c r="A61" s="36" t="s">
        <v>147</v>
      </c>
      <c r="B61" s="1" t="s">
        <v>104</v>
      </c>
      <c r="C61" s="28">
        <v>3</v>
      </c>
      <c r="D61" s="28">
        <v>19</v>
      </c>
      <c r="E61" s="1">
        <f>C61*G61/$N$4*(ROUNDDOWN($R$4/$N$4,0)/(ROUNDDOWN($R$4/$N$4,0)+1))</f>
        <v>0.487012987012987</v>
      </c>
      <c r="F61" s="1">
        <f>D61*H61/$N$4*(1/(ROUNDDOWN($R$4/$N$4,0)+1))</f>
        <v>0.493506493506494</v>
      </c>
      <c r="G61" s="29">
        <v>0.25</v>
      </c>
      <c r="H61" s="29">
        <v>0.4</v>
      </c>
      <c r="I61" s="31">
        <f t="shared" si="6"/>
        <v>0.980519480519481</v>
      </c>
      <c r="J61" s="1">
        <f t="shared" si="10"/>
        <v>1</v>
      </c>
      <c r="K61" s="1">
        <f t="shared" si="7"/>
        <v>9.97462857142857</v>
      </c>
      <c r="L61" s="1">
        <f t="shared" si="8"/>
        <v>1.14367792207792</v>
      </c>
      <c r="M61" s="1">
        <f t="shared" si="9"/>
        <v>0.3796875</v>
      </c>
      <c r="P61" s="1"/>
      <c r="R61" s="2"/>
      <c r="S61" s="2"/>
      <c r="T61" s="2"/>
      <c r="U61" s="2"/>
    </row>
    <row r="62" spans="1:21">
      <c r="A62" s="37" t="s">
        <v>148</v>
      </c>
      <c r="B62" s="1" t="s">
        <v>105</v>
      </c>
      <c r="C62" s="28">
        <v>3</v>
      </c>
      <c r="D62" s="28">
        <v>19</v>
      </c>
      <c r="E62" s="1">
        <f>C62*G62/$N$4*(ROUNDDOWN($R$4/$N$4,0)/(ROUNDDOWN($R$4/$N$4,0)+1))</f>
        <v>0.487012987012987</v>
      </c>
      <c r="F62" s="1">
        <f>D62*H62/$N$4*(1/(ROUNDDOWN($R$4/$N$4,0)+1))</f>
        <v>0.493506493506494</v>
      </c>
      <c r="G62" s="29">
        <v>0.25</v>
      </c>
      <c r="H62" s="29">
        <v>0.4</v>
      </c>
      <c r="I62" s="31">
        <f t="shared" si="6"/>
        <v>0.980519480519481</v>
      </c>
      <c r="J62" s="1">
        <f t="shared" si="10"/>
        <v>1</v>
      </c>
      <c r="K62" s="1">
        <f t="shared" si="7"/>
        <v>9.97462857142857</v>
      </c>
      <c r="L62" s="1">
        <f t="shared" si="8"/>
        <v>1.14367792207792</v>
      </c>
      <c r="M62" s="1">
        <f t="shared" si="9"/>
        <v>0.3796875</v>
      </c>
      <c r="P62" s="1"/>
      <c r="R62" s="2"/>
      <c r="S62" s="2"/>
      <c r="T62" s="2"/>
      <c r="U62" s="2"/>
    </row>
    <row r="63" spans="1:21">
      <c r="A63" s="37" t="s">
        <v>148</v>
      </c>
      <c r="B63" s="1" t="s">
        <v>106</v>
      </c>
      <c r="C63" s="28">
        <v>3</v>
      </c>
      <c r="D63" s="28">
        <v>19</v>
      </c>
      <c r="E63" s="1">
        <f>C63*G63/$N$4*(ROUNDDOWN($R$4/$N$4,0)/(ROUNDDOWN($R$4/$N$4,0)+1))</f>
        <v>0.487012987012987</v>
      </c>
      <c r="F63" s="1">
        <f>D63*H63/$N$4*(1/(ROUNDDOWN($R$4/$N$4,0)+1))</f>
        <v>0.493506493506494</v>
      </c>
      <c r="G63" s="29">
        <v>0.25</v>
      </c>
      <c r="H63" s="29">
        <v>0.4</v>
      </c>
      <c r="I63" s="31">
        <f t="shared" si="6"/>
        <v>0.980519480519481</v>
      </c>
      <c r="J63" s="1">
        <f t="shared" si="10"/>
        <v>1</v>
      </c>
      <c r="K63" s="1">
        <f t="shared" si="7"/>
        <v>9.97462857142857</v>
      </c>
      <c r="L63" s="1">
        <f t="shared" si="8"/>
        <v>1.14367792207792</v>
      </c>
      <c r="M63" s="1">
        <f t="shared" si="9"/>
        <v>0.3796875</v>
      </c>
      <c r="P63" s="1"/>
      <c r="R63" s="2"/>
      <c r="S63" s="2"/>
      <c r="T63" s="2"/>
      <c r="U63" s="2"/>
    </row>
    <row r="64" spans="1:21">
      <c r="A64" s="37" t="s">
        <v>148</v>
      </c>
      <c r="B64" s="1" t="s">
        <v>107</v>
      </c>
      <c r="C64" s="28">
        <v>3</v>
      </c>
      <c r="D64" s="28">
        <v>19</v>
      </c>
      <c r="E64" s="1">
        <f>C64*G64/$N$4*(ROUNDDOWN($R$4/$N$4,0)/(ROUNDDOWN($R$4/$N$4,0)+1))</f>
        <v>0.487012987012987</v>
      </c>
      <c r="F64" s="1">
        <f>D64*H64/$N$4*(1/(ROUNDDOWN($R$4/$N$4,0)+1))</f>
        <v>0.493506493506494</v>
      </c>
      <c r="G64" s="29">
        <v>0.25</v>
      </c>
      <c r="H64" s="29">
        <v>0.4</v>
      </c>
      <c r="I64" s="31">
        <f t="shared" si="6"/>
        <v>0.980519480519481</v>
      </c>
      <c r="J64" s="1">
        <f t="shared" si="10"/>
        <v>1</v>
      </c>
      <c r="K64" s="1">
        <f t="shared" si="7"/>
        <v>9.97462857142857</v>
      </c>
      <c r="L64" s="1">
        <f t="shared" si="8"/>
        <v>1.14367792207792</v>
      </c>
      <c r="M64" s="1">
        <f t="shared" si="9"/>
        <v>0.3796875</v>
      </c>
      <c r="P64" s="1"/>
      <c r="R64" s="2"/>
      <c r="S64" s="2"/>
      <c r="T64" s="2"/>
      <c r="U64" s="2"/>
    </row>
    <row r="65" spans="1:21">
      <c r="A65" s="37" t="s">
        <v>148</v>
      </c>
      <c r="B65" s="1" t="s">
        <v>108</v>
      </c>
      <c r="C65" s="28">
        <v>3</v>
      </c>
      <c r="D65" s="28">
        <v>19</v>
      </c>
      <c r="E65" s="1">
        <f>C65*G65/$N$4*(ROUNDDOWN($R$4/$N$4,0)/(ROUNDDOWN($R$4/$N$4,0)+1))</f>
        <v>0.487012987012987</v>
      </c>
      <c r="F65" s="1">
        <f>D65*H65/$N$4*(1/(ROUNDDOWN($R$4/$N$4,0)+1))</f>
        <v>0.493506493506494</v>
      </c>
      <c r="G65" s="29">
        <v>0.25</v>
      </c>
      <c r="H65" s="29">
        <v>0.4</v>
      </c>
      <c r="I65" s="31">
        <f t="shared" si="6"/>
        <v>0.980519480519481</v>
      </c>
      <c r="J65" s="1">
        <f t="shared" si="10"/>
        <v>1</v>
      </c>
      <c r="K65" s="1">
        <f t="shared" si="7"/>
        <v>9.97462857142857</v>
      </c>
      <c r="L65" s="1">
        <f t="shared" si="8"/>
        <v>1.14367792207792</v>
      </c>
      <c r="M65" s="1">
        <f t="shared" si="9"/>
        <v>0.3796875</v>
      </c>
      <c r="P65" s="1"/>
      <c r="R65" s="2"/>
      <c r="S65" s="2"/>
      <c r="T65" s="2"/>
      <c r="U65" s="2"/>
    </row>
    <row r="66" spans="1:21">
      <c r="A66" s="38" t="s">
        <v>149</v>
      </c>
      <c r="B66" s="1" t="s">
        <v>109</v>
      </c>
      <c r="C66" s="28">
        <v>3</v>
      </c>
      <c r="D66" s="28">
        <v>19</v>
      </c>
      <c r="E66" s="1">
        <f>C66*G66/$N$4*(ROUNDDOWN($R$4/$N$4,0)/(ROUNDDOWN($R$4/$N$4,0)+1))</f>
        <v>0.487012987012987</v>
      </c>
      <c r="F66" s="1">
        <f>D66*H66/$N$4*(1/(ROUNDDOWN($R$4/$N$4,0)+1))</f>
        <v>0.493506493506494</v>
      </c>
      <c r="G66" s="29">
        <v>0.25</v>
      </c>
      <c r="H66" s="29">
        <v>0.4</v>
      </c>
      <c r="I66" s="31">
        <f t="shared" si="6"/>
        <v>0.980519480519481</v>
      </c>
      <c r="J66" s="1">
        <f t="shared" si="10"/>
        <v>1</v>
      </c>
      <c r="K66" s="1">
        <f t="shared" si="7"/>
        <v>9.97462857142857</v>
      </c>
      <c r="L66" s="1">
        <f t="shared" si="8"/>
        <v>1.14367792207792</v>
      </c>
      <c r="M66" s="1">
        <f t="shared" si="9"/>
        <v>0.3796875</v>
      </c>
      <c r="P66" s="1"/>
      <c r="R66" s="2"/>
      <c r="S66" s="2"/>
      <c r="T66" s="2"/>
      <c r="U66" s="2"/>
    </row>
    <row r="67" hidden="1" spans="13:21">
      <c r="M67" s="2">
        <f>M73/M82</f>
        <v>0.554822565969062</v>
      </c>
      <c r="N67" s="2">
        <f>N73/N83</f>
        <v>0.802605527999914</v>
      </c>
      <c r="P67" s="1"/>
      <c r="R67" s="2"/>
      <c r="S67" s="2"/>
      <c r="T67" s="2"/>
      <c r="U67" s="2"/>
    </row>
    <row r="68" hidden="1" spans="2:21">
      <c r="B68" s="1" t="s">
        <v>65</v>
      </c>
      <c r="C68" s="1" t="s">
        <v>110</v>
      </c>
      <c r="D68" s="1" t="s">
        <v>85</v>
      </c>
      <c r="E68" s="1" t="s">
        <v>86</v>
      </c>
      <c r="F68" s="1" t="s">
        <v>87</v>
      </c>
      <c r="G68" s="2" t="s">
        <v>88</v>
      </c>
      <c r="H68" s="2" t="s">
        <v>89</v>
      </c>
      <c r="I68" s="1" t="s">
        <v>111</v>
      </c>
      <c r="J68" s="1" t="s">
        <v>112</v>
      </c>
      <c r="K68" s="1" t="s">
        <v>91</v>
      </c>
      <c r="L68" s="1" t="s">
        <v>92</v>
      </c>
      <c r="M68" s="1" t="s">
        <v>93</v>
      </c>
      <c r="N68" s="1" t="s">
        <v>94</v>
      </c>
      <c r="P68" s="1"/>
      <c r="R68" s="2"/>
      <c r="S68" s="2"/>
      <c r="T68" s="2"/>
      <c r="U68" s="2"/>
    </row>
    <row r="69" hidden="1" spans="2:21">
      <c r="B69" s="1" t="s">
        <v>113</v>
      </c>
      <c r="C69" s="1">
        <v>3</v>
      </c>
      <c r="D69" s="1">
        <v>12</v>
      </c>
      <c r="E69" s="20">
        <f>(C69*G69/$N$3*(ROUNDDOWN($R$3/$N$3,0)/(ROUNDDOWN($R$3/$N$3,0)+1)))</f>
        <v>0</v>
      </c>
      <c r="F69" s="20">
        <f>D69*H69/$N$4*(1/(ROUNDDOWN($R$4/$N$4,0)+1))</f>
        <v>0</v>
      </c>
      <c r="G69" s="19">
        <v>0</v>
      </c>
      <c r="H69" s="19">
        <v>0</v>
      </c>
      <c r="I69" s="1" t="e">
        <f t="shared" ref="I69:I83" si="11">I52/SUM(E69,F69)</f>
        <v>#DIV/0!</v>
      </c>
      <c r="J69" s="1" t="e">
        <f t="shared" ref="J69:J83" si="12">I69/$W$24</f>
        <v>#DIV/0!</v>
      </c>
      <c r="K69" s="1">
        <v>1.25</v>
      </c>
      <c r="L69" s="1">
        <f t="shared" ref="L69:L83" si="13">SUM(E69,F69)*$V$24*K69</f>
        <v>0</v>
      </c>
      <c r="M69" s="1">
        <f t="shared" ref="M69:M83" si="14">SUM(E69,F69)*$F$17*$C$16/20</f>
        <v>0</v>
      </c>
      <c r="N69" s="1">
        <f t="shared" ref="N69:N83" si="15">MIN(SUM(E69:F69)*$F$33*12/20*(1+$C$33)^$G$31,6*(1+$C$33)^4/20/4)</f>
        <v>0</v>
      </c>
      <c r="P69" s="1"/>
      <c r="R69" s="2"/>
      <c r="S69" s="2"/>
      <c r="T69" s="2"/>
      <c r="U69" s="2"/>
    </row>
    <row r="70" hidden="1" spans="2:21">
      <c r="B70" s="21" t="s">
        <v>114</v>
      </c>
      <c r="C70" s="1">
        <v>3</v>
      </c>
      <c r="D70" s="1">
        <v>12</v>
      </c>
      <c r="E70" s="20">
        <f>(C70*G70/$N$3*(ROUNDDOWN($R$3/$N$3,0)/(ROUNDDOWN($R$3/$N$3,0)+1)))</f>
        <v>0.261160714285714</v>
      </c>
      <c r="F70" s="20">
        <f>D70*H70/$N$4*(1/(ROUNDDOWN($R$4/$N$4,0)+1))</f>
        <v>0</v>
      </c>
      <c r="G70" s="19">
        <v>0.15</v>
      </c>
      <c r="H70" s="19">
        <v>0</v>
      </c>
      <c r="I70" s="1">
        <f t="shared" si="11"/>
        <v>1.26806526806527</v>
      </c>
      <c r="J70" s="1">
        <f t="shared" si="12"/>
        <v>1.43912771161647</v>
      </c>
      <c r="K70" s="1">
        <f t="shared" ref="K70:K83" si="16">$K$69</f>
        <v>1.25</v>
      </c>
      <c r="L70" s="1">
        <f t="shared" si="13"/>
        <v>2.9261773108467</v>
      </c>
      <c r="M70" s="1">
        <f t="shared" si="14"/>
        <v>0.229238144232303</v>
      </c>
      <c r="N70" s="1">
        <f t="shared" si="15"/>
        <v>0.160803387295139</v>
      </c>
      <c r="P70" s="1"/>
      <c r="R70" s="2"/>
      <c r="S70" s="2"/>
      <c r="T70" s="2"/>
      <c r="U70" s="2"/>
    </row>
    <row r="71" hidden="1" spans="2:21">
      <c r="B71" s="1" t="s">
        <v>115</v>
      </c>
      <c r="C71" s="1">
        <v>3</v>
      </c>
      <c r="D71" s="1">
        <v>12</v>
      </c>
      <c r="E71" s="20">
        <f>(C71*G71/$N$3*(ROUNDDOWN($R$3/$N$3,0)/(ROUNDDOWN($R$3/$N$3,0)+1)))</f>
        <v>0.261160714285714</v>
      </c>
      <c r="F71" s="20">
        <f>D71*H71/$N$4*(1/(ROUNDDOWN($R$4/$N$4,0)+1))</f>
        <v>0</v>
      </c>
      <c r="G71" s="19">
        <v>0.15</v>
      </c>
      <c r="H71" s="19">
        <v>0</v>
      </c>
      <c r="I71" s="1">
        <f t="shared" si="11"/>
        <v>1.26806526806527</v>
      </c>
      <c r="J71" s="1">
        <f t="shared" si="12"/>
        <v>1.43912771161647</v>
      </c>
      <c r="K71" s="1">
        <f t="shared" si="16"/>
        <v>1.25</v>
      </c>
      <c r="L71" s="1">
        <f t="shared" si="13"/>
        <v>2.9261773108467</v>
      </c>
      <c r="M71" s="1">
        <f t="shared" si="14"/>
        <v>0.229238144232303</v>
      </c>
      <c r="N71" s="1">
        <f t="shared" si="15"/>
        <v>0.160803387295139</v>
      </c>
      <c r="P71" s="1"/>
      <c r="R71" s="2"/>
      <c r="S71" s="2"/>
      <c r="T71" s="2"/>
      <c r="U71" s="2"/>
    </row>
    <row r="72" hidden="1" spans="2:21">
      <c r="B72" s="21" t="s">
        <v>116</v>
      </c>
      <c r="C72" s="1">
        <v>3</v>
      </c>
      <c r="D72" s="1">
        <v>12</v>
      </c>
      <c r="E72" s="20">
        <f>(C72*G72/$N$3*(ROUNDDOWN($R$3/$N$3,0)/(ROUNDDOWN($R$3/$N$3,0)+1)))</f>
        <v>0.261160714285714</v>
      </c>
      <c r="F72" s="20">
        <f>D72*H72/$N$4*(1/(ROUNDDOWN($R$4/$N$4,0)+1))</f>
        <v>0.233766233766234</v>
      </c>
      <c r="G72" s="19">
        <v>0.15</v>
      </c>
      <c r="H72" s="19">
        <v>0.3</v>
      </c>
      <c r="I72" s="1">
        <f t="shared" si="11"/>
        <v>1.14145141451415</v>
      </c>
      <c r="J72" s="1">
        <f t="shared" si="12"/>
        <v>1.29543360539907</v>
      </c>
      <c r="K72" s="1">
        <f t="shared" si="16"/>
        <v>1.25</v>
      </c>
      <c r="L72" s="1">
        <f t="shared" si="13"/>
        <v>5.54541294573047</v>
      </c>
      <c r="M72" s="1">
        <f t="shared" si="14"/>
        <v>0.434430329279399</v>
      </c>
      <c r="N72" s="1">
        <f t="shared" si="15"/>
        <v>0.304739286412467</v>
      </c>
      <c r="P72" s="1"/>
      <c r="R72" s="2"/>
      <c r="S72" s="2"/>
      <c r="T72" s="2"/>
      <c r="U72" s="2"/>
    </row>
    <row r="73" hidden="1" spans="2:23">
      <c r="B73" s="1" t="s">
        <v>117</v>
      </c>
      <c r="C73" s="1">
        <v>3</v>
      </c>
      <c r="D73" s="1">
        <v>12</v>
      </c>
      <c r="E73" s="20">
        <f>(C73*G73/$N$3*(ROUNDDOWN($R$3/$N$3,0)/(ROUNDDOWN($R$3/$N$3,0)+1)))</f>
        <v>0.261160714285714</v>
      </c>
      <c r="F73" s="20">
        <f>D73*H73/$N$4*(1/(ROUNDDOWN($R$4/$N$4,0)+1))</f>
        <v>0.233766233766234</v>
      </c>
      <c r="G73" s="19">
        <v>0.15</v>
      </c>
      <c r="H73" s="19">
        <v>0.3</v>
      </c>
      <c r="I73" s="1">
        <f t="shared" si="11"/>
        <v>1.14145141451415</v>
      </c>
      <c r="J73" s="1">
        <f t="shared" si="12"/>
        <v>1.29543360539907</v>
      </c>
      <c r="K73" s="1">
        <f t="shared" si="16"/>
        <v>1.25</v>
      </c>
      <c r="L73" s="1">
        <f t="shared" si="13"/>
        <v>5.54541294573047</v>
      </c>
      <c r="M73" s="1">
        <f t="shared" si="14"/>
        <v>0.434430329279399</v>
      </c>
      <c r="N73" s="1">
        <f t="shared" si="15"/>
        <v>0.304739286412467</v>
      </c>
      <c r="R73" s="2"/>
      <c r="S73" s="2"/>
      <c r="T73" s="30"/>
      <c r="U73" s="2"/>
      <c r="W73" s="2"/>
    </row>
    <row r="74" hidden="1" spans="2:23">
      <c r="B74" s="1" t="s">
        <v>118</v>
      </c>
      <c r="C74" s="1">
        <v>3</v>
      </c>
      <c r="D74" s="1">
        <v>12</v>
      </c>
      <c r="E74" s="20">
        <f>(C74*G74/$N$3*(ROUNDDOWN($R$3/$N$3,0)/(ROUNDDOWN($R$3/$N$3,0)+1)))</f>
        <v>0.261160714285714</v>
      </c>
      <c r="F74" s="20">
        <f>D74*H74/$N$4*(1/(ROUNDDOWN($R$4/$N$4,0)+1))</f>
        <v>0.233766233766234</v>
      </c>
      <c r="G74" s="19">
        <v>0.15</v>
      </c>
      <c r="H74" s="19">
        <v>0.3</v>
      </c>
      <c r="I74" s="1">
        <f t="shared" si="11"/>
        <v>1.14145141451415</v>
      </c>
      <c r="J74" s="1">
        <f t="shared" si="12"/>
        <v>1.29543360539907</v>
      </c>
      <c r="K74" s="1">
        <f t="shared" si="16"/>
        <v>1.25</v>
      </c>
      <c r="L74" s="1">
        <f t="shared" si="13"/>
        <v>5.54541294573047</v>
      </c>
      <c r="M74" s="1">
        <f t="shared" si="14"/>
        <v>0.434430329279399</v>
      </c>
      <c r="N74" s="1">
        <f t="shared" si="15"/>
        <v>0.304739286412467</v>
      </c>
      <c r="P74" s="1"/>
      <c r="R74" s="2"/>
      <c r="S74" s="2"/>
      <c r="T74" s="2"/>
      <c r="U74" s="2"/>
      <c r="V74" s="2"/>
      <c r="W74" s="2"/>
    </row>
    <row r="75" hidden="1" spans="2:23">
      <c r="B75" s="21" t="s">
        <v>119</v>
      </c>
      <c r="C75" s="1">
        <v>4</v>
      </c>
      <c r="D75" s="1">
        <v>12</v>
      </c>
      <c r="E75" s="20">
        <f>(C75*G75/$N$3*(ROUNDDOWN($R$3/$N$3,0)/(ROUNDDOWN($R$3/$N$3,0)+1)))</f>
        <v>0.348214285714286</v>
      </c>
      <c r="F75" s="20">
        <f>D75*H75/$N$4*(1/(ROUNDDOWN($R$4/$N$4,0)+1))</f>
        <v>0.233766233766234</v>
      </c>
      <c r="G75" s="19">
        <v>0.15</v>
      </c>
      <c r="H75" s="19">
        <v>0.3</v>
      </c>
      <c r="I75" s="1">
        <f t="shared" si="11"/>
        <v>1.07782426778243</v>
      </c>
      <c r="J75" s="1">
        <f t="shared" si="12"/>
        <v>1.22322313455129</v>
      </c>
      <c r="K75" s="1">
        <f t="shared" si="16"/>
        <v>1.25</v>
      </c>
      <c r="L75" s="1">
        <f t="shared" si="13"/>
        <v>6.52080538267938</v>
      </c>
      <c r="M75" s="1">
        <f t="shared" si="14"/>
        <v>0.5108430440235</v>
      </c>
      <c r="N75" s="1">
        <f t="shared" si="15"/>
        <v>0.358340415510847</v>
      </c>
      <c r="P75" s="1"/>
      <c r="R75" s="2"/>
      <c r="S75" s="2"/>
      <c r="T75" s="2"/>
      <c r="U75" s="2"/>
      <c r="W75" s="2"/>
    </row>
    <row r="76" hidden="1" spans="2:23">
      <c r="B76" s="21" t="s">
        <v>120</v>
      </c>
      <c r="C76" s="1">
        <v>4</v>
      </c>
      <c r="D76" s="1">
        <v>12</v>
      </c>
      <c r="E76" s="20">
        <f>(C76*G76/$N$3*(ROUNDDOWN($R$3/$N$3,0)/(ROUNDDOWN($R$3/$N$3,0)+1)))</f>
        <v>0.464285714285714</v>
      </c>
      <c r="F76" s="20">
        <f>D76*H76/$N$4*(1/(ROUNDDOWN($R$4/$N$4,0)+1))</f>
        <v>0.311688311688312</v>
      </c>
      <c r="G76" s="19">
        <v>0.2</v>
      </c>
      <c r="H76" s="19">
        <v>0.4</v>
      </c>
      <c r="I76" s="1">
        <f t="shared" si="11"/>
        <v>1.26359832635983</v>
      </c>
      <c r="J76" s="1">
        <f t="shared" si="12"/>
        <v>1.43405817792892</v>
      </c>
      <c r="K76" s="1">
        <f t="shared" si="16"/>
        <v>1.25</v>
      </c>
      <c r="L76" s="1">
        <f t="shared" si="13"/>
        <v>8.69440717690583</v>
      </c>
      <c r="M76" s="1">
        <f t="shared" si="14"/>
        <v>0.681124058698</v>
      </c>
      <c r="N76" s="1">
        <f t="shared" si="15"/>
        <v>0.3796875</v>
      </c>
      <c r="P76" s="1"/>
      <c r="R76" s="2"/>
      <c r="S76" s="2"/>
      <c r="T76" s="2"/>
      <c r="U76" s="2"/>
      <c r="W76" s="2"/>
    </row>
    <row r="77" hidden="1" spans="2:23">
      <c r="B77" s="1" t="s">
        <v>121</v>
      </c>
      <c r="C77" s="1">
        <v>4</v>
      </c>
      <c r="D77" s="1">
        <v>12</v>
      </c>
      <c r="E77" s="20">
        <f>(C77*G77/$N$3*(ROUNDDOWN($R$3/$N$3,0)/(ROUNDDOWN($R$3/$N$3,0)+1)))</f>
        <v>0.464285714285714</v>
      </c>
      <c r="F77" s="20">
        <f>D77*H77/$N$4*(1/(ROUNDDOWN($R$4/$N$4,0)+1))</f>
        <v>0.311688311688312</v>
      </c>
      <c r="G77" s="19">
        <v>0.2</v>
      </c>
      <c r="H77" s="19">
        <v>0.4</v>
      </c>
      <c r="I77" s="1">
        <f t="shared" si="11"/>
        <v>1.26359832635983</v>
      </c>
      <c r="J77" s="1">
        <f t="shared" si="12"/>
        <v>1.43405817792892</v>
      </c>
      <c r="K77" s="1">
        <f t="shared" si="16"/>
        <v>1.25</v>
      </c>
      <c r="L77" s="1">
        <f t="shared" si="13"/>
        <v>8.69440717690583</v>
      </c>
      <c r="M77" s="1">
        <f t="shared" si="14"/>
        <v>0.681124058698</v>
      </c>
      <c r="N77" s="1">
        <f t="shared" si="15"/>
        <v>0.3796875</v>
      </c>
      <c r="P77" s="1"/>
      <c r="R77" s="2"/>
      <c r="S77" s="2"/>
      <c r="T77" s="2"/>
      <c r="U77" s="2"/>
      <c r="W77" s="2"/>
    </row>
    <row r="78" hidden="1" spans="2:23">
      <c r="B78" s="1" t="s">
        <v>122</v>
      </c>
      <c r="C78" s="1">
        <v>4</v>
      </c>
      <c r="D78" s="1">
        <v>12</v>
      </c>
      <c r="E78" s="20">
        <f>(C78*G78/$N$3*(ROUNDDOWN($R$3/$N$3,0)/(ROUNDDOWN($R$3/$N$3,0)+1)))</f>
        <v>0.464285714285714</v>
      </c>
      <c r="F78" s="20">
        <f>D78*H78/$N$4*(1/(ROUNDDOWN($R$4/$N$4,0)+1))</f>
        <v>0.311688311688312</v>
      </c>
      <c r="G78" s="19">
        <v>0.2</v>
      </c>
      <c r="H78" s="19">
        <v>0.4</v>
      </c>
      <c r="I78" s="1">
        <f t="shared" si="11"/>
        <v>1.26359832635983</v>
      </c>
      <c r="J78" s="1">
        <f t="shared" si="12"/>
        <v>1.43405817792892</v>
      </c>
      <c r="K78" s="1">
        <f t="shared" si="16"/>
        <v>1.25</v>
      </c>
      <c r="L78" s="1">
        <f t="shared" si="13"/>
        <v>8.69440717690583</v>
      </c>
      <c r="M78" s="1">
        <f t="shared" si="14"/>
        <v>0.681124058698</v>
      </c>
      <c r="N78" s="1">
        <f t="shared" si="15"/>
        <v>0.3796875</v>
      </c>
      <c r="P78" s="1"/>
      <c r="R78" s="2"/>
      <c r="S78" s="2"/>
      <c r="T78" s="2"/>
      <c r="U78" s="2"/>
      <c r="W78" s="2"/>
    </row>
    <row r="79" hidden="1" spans="2:23">
      <c r="B79" s="1" t="s">
        <v>123</v>
      </c>
      <c r="C79" s="1">
        <v>4</v>
      </c>
      <c r="D79" s="1">
        <v>12</v>
      </c>
      <c r="E79" s="20">
        <f>(C79*G79/$N$3*(ROUNDDOWN($R$3/$N$3,0)/(ROUNDDOWN($R$3/$N$3,0)+1)))</f>
        <v>0.464285714285714</v>
      </c>
      <c r="F79" s="20">
        <f>D79*H79/$N$4*(1/(ROUNDDOWN($R$4/$N$4,0)+1))</f>
        <v>0.311688311688312</v>
      </c>
      <c r="G79" s="19">
        <v>0.2</v>
      </c>
      <c r="H79" s="19">
        <v>0.4</v>
      </c>
      <c r="I79" s="1">
        <f t="shared" si="11"/>
        <v>1.26359832635983</v>
      </c>
      <c r="J79" s="1">
        <f t="shared" si="12"/>
        <v>1.43405817792892</v>
      </c>
      <c r="K79" s="1">
        <f t="shared" si="16"/>
        <v>1.25</v>
      </c>
      <c r="L79" s="1">
        <f t="shared" si="13"/>
        <v>8.69440717690583</v>
      </c>
      <c r="M79" s="1">
        <f t="shared" si="14"/>
        <v>0.681124058698</v>
      </c>
      <c r="N79" s="1">
        <f t="shared" si="15"/>
        <v>0.3796875</v>
      </c>
      <c r="P79" s="1"/>
      <c r="R79" s="2"/>
      <c r="S79" s="2"/>
      <c r="T79" s="2"/>
      <c r="U79" s="2"/>
      <c r="W79" s="2"/>
    </row>
    <row r="80" hidden="1" spans="2:23">
      <c r="B80" s="21" t="s">
        <v>124</v>
      </c>
      <c r="C80" s="1">
        <v>5</v>
      </c>
      <c r="D80" s="1">
        <v>12</v>
      </c>
      <c r="E80" s="20">
        <f>(C80*G80/$N$3*(ROUNDDOWN($R$3/$N$3,0)/(ROUNDDOWN($R$3/$N$3,0)+1)))</f>
        <v>0.580357142857143</v>
      </c>
      <c r="F80" s="20">
        <f>D80*H80/$N$4*(1/(ROUNDDOWN($R$4/$N$4,0)+1))</f>
        <v>0.311688311688312</v>
      </c>
      <c r="G80" s="19">
        <v>0.2</v>
      </c>
      <c r="H80" s="19">
        <v>0.4</v>
      </c>
      <c r="I80" s="1">
        <f t="shared" si="11"/>
        <v>1.09918107370337</v>
      </c>
      <c r="J80" s="1">
        <f t="shared" si="12"/>
        <v>1.24746098098276</v>
      </c>
      <c r="K80" s="1">
        <f t="shared" si="16"/>
        <v>1.25</v>
      </c>
      <c r="L80" s="1">
        <f t="shared" si="13"/>
        <v>9.99493042617103</v>
      </c>
      <c r="M80" s="1">
        <f t="shared" si="14"/>
        <v>0.783007678356801</v>
      </c>
      <c r="N80" s="1">
        <f t="shared" si="15"/>
        <v>0.3796875</v>
      </c>
      <c r="P80" s="1"/>
      <c r="R80" s="2"/>
      <c r="S80" s="2"/>
      <c r="T80" s="2"/>
      <c r="U80" s="2"/>
      <c r="W80" s="2"/>
    </row>
    <row r="81" hidden="1" spans="2:23">
      <c r="B81" s="1" t="s">
        <v>125</v>
      </c>
      <c r="C81" s="1">
        <v>5</v>
      </c>
      <c r="D81" s="1">
        <v>12</v>
      </c>
      <c r="E81" s="20">
        <f>(C81*G81/$N$3*(ROUNDDOWN($R$3/$N$3,0)/(ROUNDDOWN($R$3/$N$3,0)+1)))</f>
        <v>0.580357142857143</v>
      </c>
      <c r="F81" s="20">
        <f>D81*H81/$N$4*(1/(ROUNDDOWN($R$4/$N$4,0)+1))</f>
        <v>0.311688311688312</v>
      </c>
      <c r="G81" s="19">
        <v>0.2</v>
      </c>
      <c r="H81" s="19">
        <v>0.4</v>
      </c>
      <c r="I81" s="1">
        <f t="shared" si="11"/>
        <v>1.09918107370337</v>
      </c>
      <c r="J81" s="1">
        <f t="shared" si="12"/>
        <v>1.24746098098276</v>
      </c>
      <c r="K81" s="1">
        <f t="shared" si="16"/>
        <v>1.25</v>
      </c>
      <c r="L81" s="1">
        <f t="shared" si="13"/>
        <v>9.99493042617103</v>
      </c>
      <c r="M81" s="1">
        <f t="shared" si="14"/>
        <v>0.783007678356801</v>
      </c>
      <c r="N81" s="1">
        <f t="shared" si="15"/>
        <v>0.3796875</v>
      </c>
      <c r="P81" s="1"/>
      <c r="R81" s="2"/>
      <c r="S81" s="2"/>
      <c r="T81" s="2"/>
      <c r="U81" s="2"/>
      <c r="W81" s="2"/>
    </row>
    <row r="82" hidden="1" spans="2:23">
      <c r="B82" s="1" t="s">
        <v>126</v>
      </c>
      <c r="C82" s="1">
        <v>5</v>
      </c>
      <c r="D82" s="1">
        <v>12</v>
      </c>
      <c r="E82" s="20">
        <f>(C82*G82/$N$3*(ROUNDDOWN($R$3/$N$3,0)/(ROUNDDOWN($R$3/$N$3,0)+1)))</f>
        <v>0.580357142857143</v>
      </c>
      <c r="F82" s="20">
        <f>D82*H82/$N$4*(1/(ROUNDDOWN($R$4/$N$4,0)+1))</f>
        <v>0.311688311688312</v>
      </c>
      <c r="G82" s="19">
        <v>0.2</v>
      </c>
      <c r="H82" s="19">
        <v>0.4</v>
      </c>
      <c r="I82" s="1">
        <f t="shared" si="11"/>
        <v>1.09918107370337</v>
      </c>
      <c r="J82" s="1">
        <f t="shared" si="12"/>
        <v>1.24746098098276</v>
      </c>
      <c r="K82" s="1">
        <f t="shared" si="16"/>
        <v>1.25</v>
      </c>
      <c r="L82" s="1">
        <f t="shared" si="13"/>
        <v>9.99493042617103</v>
      </c>
      <c r="M82" s="1">
        <f t="shared" si="14"/>
        <v>0.783007678356801</v>
      </c>
      <c r="N82" s="1">
        <f t="shared" si="15"/>
        <v>0.3796875</v>
      </c>
      <c r="P82" s="1"/>
      <c r="R82" s="2"/>
      <c r="S82" s="2"/>
      <c r="T82" s="2"/>
      <c r="U82" s="2"/>
      <c r="W82" s="2"/>
    </row>
    <row r="83" hidden="1" spans="2:23">
      <c r="B83" s="1" t="s">
        <v>127</v>
      </c>
      <c r="C83" s="1">
        <v>5</v>
      </c>
      <c r="D83" s="1">
        <v>12</v>
      </c>
      <c r="E83" s="20">
        <f>(C83*G83/$N$3*(ROUNDDOWN($R$3/$N$3,0)/(ROUNDDOWN($R$3/$N$3,0)+1)))</f>
        <v>0.580357142857143</v>
      </c>
      <c r="F83" s="20">
        <f>D83*H83/$N$4*(1/(ROUNDDOWN($R$4/$N$4,0)+1))</f>
        <v>0.311688311688312</v>
      </c>
      <c r="G83" s="19">
        <v>0.2</v>
      </c>
      <c r="H83" s="19">
        <v>0.4</v>
      </c>
      <c r="I83" s="1">
        <f t="shared" si="11"/>
        <v>1.09918107370337</v>
      </c>
      <c r="J83" s="1">
        <f t="shared" si="12"/>
        <v>1.24746098098276</v>
      </c>
      <c r="K83" s="1">
        <f t="shared" si="16"/>
        <v>1.25</v>
      </c>
      <c r="L83" s="1">
        <f t="shared" si="13"/>
        <v>9.99493042617103</v>
      </c>
      <c r="M83" s="1">
        <f t="shared" si="14"/>
        <v>0.783007678356801</v>
      </c>
      <c r="N83" s="1">
        <f t="shared" si="15"/>
        <v>0.3796875</v>
      </c>
      <c r="P83" s="1"/>
      <c r="R83" s="2"/>
      <c r="S83" s="2"/>
      <c r="T83" s="2"/>
      <c r="U83" s="2"/>
      <c r="W83" s="2"/>
    </row>
    <row r="84" hidden="1" spans="14:23">
      <c r="N84" s="2">
        <f>N90/N99</f>
        <v>0.5</v>
      </c>
      <c r="O84" s="2">
        <f>O90/O99</f>
        <v>1</v>
      </c>
      <c r="P84" s="1"/>
      <c r="R84" s="2"/>
      <c r="S84" s="2"/>
      <c r="T84" s="2"/>
      <c r="U84" s="2"/>
      <c r="W84" s="2"/>
    </row>
    <row r="85" hidden="1" spans="2:23">
      <c r="B85" s="1" t="s">
        <v>74</v>
      </c>
      <c r="C85" s="1" t="s">
        <v>84</v>
      </c>
      <c r="D85" s="1" t="s">
        <v>85</v>
      </c>
      <c r="E85" s="1" t="s">
        <v>86</v>
      </c>
      <c r="F85" s="1" t="s">
        <v>87</v>
      </c>
      <c r="G85" s="2" t="s">
        <v>88</v>
      </c>
      <c r="H85" s="2" t="s">
        <v>89</v>
      </c>
      <c r="I85" s="1" t="s">
        <v>90</v>
      </c>
      <c r="J85" s="1" t="s">
        <v>111</v>
      </c>
      <c r="K85" s="1" t="s">
        <v>112</v>
      </c>
      <c r="L85" s="1" t="s">
        <v>91</v>
      </c>
      <c r="M85" s="1" t="s">
        <v>92</v>
      </c>
      <c r="N85" s="1" t="s">
        <v>93</v>
      </c>
      <c r="O85" s="1" t="s">
        <v>94</v>
      </c>
      <c r="P85" s="1"/>
      <c r="R85" s="2"/>
      <c r="S85" s="2"/>
      <c r="T85" s="2"/>
      <c r="U85" s="2"/>
      <c r="W85" s="2"/>
    </row>
    <row r="86" hidden="1" spans="2:23">
      <c r="B86" s="1" t="s">
        <v>128</v>
      </c>
      <c r="C86" s="1">
        <v>5</v>
      </c>
      <c r="D86" s="1">
        <v>5</v>
      </c>
      <c r="E86" s="1">
        <f t="shared" ref="E86:E100" si="17">C86*G86/$N$6*0.5*3</f>
        <v>0</v>
      </c>
      <c r="F86" s="1">
        <f t="shared" ref="F86:F100" si="18">D86*H86/$N$6*0.5*3</f>
        <v>0</v>
      </c>
      <c r="G86" s="19">
        <v>0</v>
      </c>
      <c r="H86" s="19">
        <v>0</v>
      </c>
      <c r="I86" s="20">
        <f t="shared" ref="I86:I100" si="19">SUM(E86:F86)</f>
        <v>0</v>
      </c>
      <c r="J86" s="1" t="e">
        <f t="shared" ref="J86:J100" si="20">I52/I86</f>
        <v>#DIV/0!</v>
      </c>
      <c r="K86" s="1" t="e">
        <f t="shared" ref="K86:K100" si="21">J86/$W$27</f>
        <v>#DIV/0!</v>
      </c>
      <c r="L86" s="1">
        <v>0.7</v>
      </c>
      <c r="M86" s="1">
        <f t="shared" ref="M86:M100" si="22">I86*$V$27*L86</f>
        <v>0</v>
      </c>
      <c r="N86" s="1">
        <f t="shared" ref="N86:N100" si="23">I86*$J$25*$C$20/20</f>
        <v>0</v>
      </c>
      <c r="O86" s="1">
        <f t="shared" ref="O86:O100" si="24">MIN(I86*$J$49*12/20*(1+$C$37)^$I$49,6*(1+$C$37)^4/20/4)</f>
        <v>0</v>
      </c>
      <c r="P86" s="1"/>
      <c r="R86" s="2"/>
      <c r="S86" s="2"/>
      <c r="T86" s="2"/>
      <c r="U86" s="2"/>
      <c r="W86" s="2"/>
    </row>
    <row r="87" hidden="1" spans="2:23">
      <c r="B87" s="21" t="s">
        <v>129</v>
      </c>
      <c r="C87" s="1">
        <v>5</v>
      </c>
      <c r="D87" s="1">
        <v>5</v>
      </c>
      <c r="E87" s="1">
        <f t="shared" si="17"/>
        <v>0.227272727272727</v>
      </c>
      <c r="F87" s="1">
        <f t="shared" si="18"/>
        <v>0</v>
      </c>
      <c r="G87" s="19">
        <f t="shared" ref="G87:G92" si="25">1/30</f>
        <v>0.0333333333333333</v>
      </c>
      <c r="H87" s="19">
        <v>0</v>
      </c>
      <c r="I87" s="20">
        <f t="shared" si="19"/>
        <v>0.227272727272727</v>
      </c>
      <c r="J87" s="1">
        <f t="shared" si="20"/>
        <v>1.45714285714286</v>
      </c>
      <c r="K87" s="1">
        <f t="shared" si="21"/>
        <v>1.40478214270058</v>
      </c>
      <c r="L87" s="1">
        <f t="shared" ref="L87:L100" si="26">$L$86</f>
        <v>0.7</v>
      </c>
      <c r="M87" s="1">
        <f t="shared" si="22"/>
        <v>1.67872293383974</v>
      </c>
      <c r="N87" s="1">
        <f t="shared" si="23"/>
        <v>0.203948355786313</v>
      </c>
      <c r="O87" s="1">
        <f t="shared" si="24"/>
        <v>0.187348614645301</v>
      </c>
      <c r="P87" s="1"/>
      <c r="R87" s="2"/>
      <c r="S87" s="2"/>
      <c r="T87" s="2"/>
      <c r="U87" s="2"/>
      <c r="W87" s="2"/>
    </row>
    <row r="88" hidden="1" spans="2:23">
      <c r="B88" s="1" t="s">
        <v>130</v>
      </c>
      <c r="C88" s="1">
        <v>5</v>
      </c>
      <c r="D88" s="1">
        <v>5</v>
      </c>
      <c r="E88" s="1">
        <f t="shared" si="17"/>
        <v>0.227272727272727</v>
      </c>
      <c r="F88" s="1">
        <f t="shared" si="18"/>
        <v>0</v>
      </c>
      <c r="G88" s="19">
        <f t="shared" si="25"/>
        <v>0.0333333333333333</v>
      </c>
      <c r="H88" s="19">
        <v>0</v>
      </c>
      <c r="I88" s="20">
        <f t="shared" si="19"/>
        <v>0.227272727272727</v>
      </c>
      <c r="J88" s="1">
        <f t="shared" si="20"/>
        <v>1.45714285714286</v>
      </c>
      <c r="K88" s="1">
        <f t="shared" si="21"/>
        <v>1.40478214270058</v>
      </c>
      <c r="L88" s="1">
        <f t="shared" si="26"/>
        <v>0.7</v>
      </c>
      <c r="M88" s="1">
        <f t="shared" si="22"/>
        <v>1.67872293383974</v>
      </c>
      <c r="N88" s="1">
        <f t="shared" si="23"/>
        <v>0.203948355786313</v>
      </c>
      <c r="O88" s="1">
        <f t="shared" si="24"/>
        <v>0.187348614645301</v>
      </c>
      <c r="P88" s="1"/>
      <c r="R88" s="2"/>
      <c r="S88" s="2"/>
      <c r="T88" s="2"/>
      <c r="U88" s="2"/>
      <c r="W88" s="2"/>
    </row>
    <row r="89" hidden="1" spans="2:23">
      <c r="B89" s="21" t="s">
        <v>131</v>
      </c>
      <c r="C89" s="1">
        <v>5</v>
      </c>
      <c r="D89" s="1">
        <v>5</v>
      </c>
      <c r="E89" s="1">
        <f t="shared" si="17"/>
        <v>0.227272727272727</v>
      </c>
      <c r="F89" s="1">
        <f t="shared" si="18"/>
        <v>0.454545454545454</v>
      </c>
      <c r="G89" s="19">
        <f t="shared" si="25"/>
        <v>0.0333333333333333</v>
      </c>
      <c r="H89" s="19">
        <f t="shared" ref="H89:H92" si="27">2/30</f>
        <v>0.0666666666666667</v>
      </c>
      <c r="I89" s="20">
        <f t="shared" si="19"/>
        <v>0.681818181818182</v>
      </c>
      <c r="J89" s="1">
        <f t="shared" si="20"/>
        <v>0.828571428571428</v>
      </c>
      <c r="K89" s="1">
        <f t="shared" si="21"/>
        <v>0.798797688986605</v>
      </c>
      <c r="L89" s="1">
        <f t="shared" si="26"/>
        <v>0.7</v>
      </c>
      <c r="M89" s="1">
        <f t="shared" si="22"/>
        <v>5.03616880151922</v>
      </c>
      <c r="N89" s="1">
        <f t="shared" si="23"/>
        <v>0.61184506735894</v>
      </c>
      <c r="O89" s="1">
        <f t="shared" si="24"/>
        <v>0.3796875</v>
      </c>
      <c r="P89" s="1"/>
      <c r="R89" s="2"/>
      <c r="S89" s="2"/>
      <c r="T89" s="2"/>
      <c r="U89" s="2"/>
      <c r="W89" s="2"/>
    </row>
    <row r="90" hidden="1" spans="2:15">
      <c r="B90" s="1" t="s">
        <v>132</v>
      </c>
      <c r="C90" s="1">
        <v>5</v>
      </c>
      <c r="D90" s="1">
        <v>5</v>
      </c>
      <c r="E90" s="1">
        <f t="shared" si="17"/>
        <v>0.227272727272727</v>
      </c>
      <c r="F90" s="1">
        <f t="shared" si="18"/>
        <v>0.454545454545454</v>
      </c>
      <c r="G90" s="19">
        <f t="shared" si="25"/>
        <v>0.0333333333333333</v>
      </c>
      <c r="H90" s="19">
        <f t="shared" si="27"/>
        <v>0.0666666666666667</v>
      </c>
      <c r="I90" s="20">
        <f t="shared" si="19"/>
        <v>0.681818181818182</v>
      </c>
      <c r="J90" s="1">
        <f t="shared" si="20"/>
        <v>0.828571428571428</v>
      </c>
      <c r="K90" s="1">
        <f t="shared" si="21"/>
        <v>0.798797688986605</v>
      </c>
      <c r="L90" s="1">
        <f t="shared" si="26"/>
        <v>0.7</v>
      </c>
      <c r="M90" s="1">
        <f t="shared" si="22"/>
        <v>5.03616880151922</v>
      </c>
      <c r="N90" s="1">
        <f t="shared" si="23"/>
        <v>0.61184506735894</v>
      </c>
      <c r="O90" s="1">
        <f t="shared" si="24"/>
        <v>0.3796875</v>
      </c>
    </row>
    <row r="91" hidden="1" spans="2:15">
      <c r="B91" s="1" t="s">
        <v>133</v>
      </c>
      <c r="C91" s="1">
        <v>5</v>
      </c>
      <c r="D91" s="1">
        <v>5</v>
      </c>
      <c r="E91" s="1">
        <f t="shared" si="17"/>
        <v>0.227272727272727</v>
      </c>
      <c r="F91" s="1">
        <f t="shared" si="18"/>
        <v>0.454545454545454</v>
      </c>
      <c r="G91" s="19">
        <f t="shared" si="25"/>
        <v>0.0333333333333333</v>
      </c>
      <c r="H91" s="19">
        <f t="shared" si="27"/>
        <v>0.0666666666666667</v>
      </c>
      <c r="I91" s="20">
        <f t="shared" si="19"/>
        <v>0.681818181818182</v>
      </c>
      <c r="J91" s="1">
        <f t="shared" si="20"/>
        <v>0.828571428571428</v>
      </c>
      <c r="K91" s="1">
        <f t="shared" si="21"/>
        <v>0.798797688986605</v>
      </c>
      <c r="L91" s="1">
        <f t="shared" si="26"/>
        <v>0.7</v>
      </c>
      <c r="M91" s="1">
        <f t="shared" si="22"/>
        <v>5.03616880151922</v>
      </c>
      <c r="N91" s="1">
        <f t="shared" si="23"/>
        <v>0.61184506735894</v>
      </c>
      <c r="O91" s="1">
        <f t="shared" si="24"/>
        <v>0.3796875</v>
      </c>
    </row>
    <row r="92" hidden="1" spans="2:19">
      <c r="B92" s="21" t="s">
        <v>134</v>
      </c>
      <c r="C92" s="1">
        <v>5</v>
      </c>
      <c r="D92" s="1">
        <v>5</v>
      </c>
      <c r="E92" s="1">
        <f t="shared" si="17"/>
        <v>0.227272727272727</v>
      </c>
      <c r="F92" s="1">
        <f t="shared" si="18"/>
        <v>0.454545454545454</v>
      </c>
      <c r="G92" s="19">
        <f t="shared" si="25"/>
        <v>0.0333333333333333</v>
      </c>
      <c r="H92" s="19">
        <f t="shared" si="27"/>
        <v>0.0666666666666667</v>
      </c>
      <c r="I92" s="20">
        <f t="shared" si="19"/>
        <v>0.681818181818182</v>
      </c>
      <c r="J92" s="1">
        <f t="shared" si="20"/>
        <v>0.92</v>
      </c>
      <c r="K92" s="1">
        <f t="shared" si="21"/>
        <v>0.886940882254093</v>
      </c>
      <c r="L92" s="1">
        <f t="shared" si="26"/>
        <v>0.7</v>
      </c>
      <c r="M92" s="1">
        <f t="shared" si="22"/>
        <v>5.03616880151922</v>
      </c>
      <c r="N92" s="1">
        <f t="shared" si="23"/>
        <v>0.61184506735894</v>
      </c>
      <c r="O92" s="1">
        <f t="shared" si="24"/>
        <v>0.3796875</v>
      </c>
      <c r="R92" s="2"/>
      <c r="S92" s="2"/>
    </row>
    <row r="93" hidden="1" spans="2:19">
      <c r="B93" s="21" t="s">
        <v>135</v>
      </c>
      <c r="C93" s="1">
        <v>5</v>
      </c>
      <c r="D93" s="1">
        <v>5</v>
      </c>
      <c r="E93" s="1">
        <f t="shared" si="17"/>
        <v>0.454545454545454</v>
      </c>
      <c r="F93" s="1">
        <f t="shared" si="18"/>
        <v>0.909090909090909</v>
      </c>
      <c r="G93" s="19">
        <f t="shared" ref="G93:G100" si="28">2/30</f>
        <v>0.0666666666666667</v>
      </c>
      <c r="H93" s="19">
        <f t="shared" ref="H93:H100" si="29">4/30</f>
        <v>0.133333333333333</v>
      </c>
      <c r="I93" s="20">
        <f t="shared" si="19"/>
        <v>1.36363636363636</v>
      </c>
      <c r="J93" s="1">
        <f t="shared" si="20"/>
        <v>0.719047619047621</v>
      </c>
      <c r="K93" s="1">
        <f t="shared" si="21"/>
        <v>0.693209488718263</v>
      </c>
      <c r="L93" s="1">
        <f t="shared" si="26"/>
        <v>0.7</v>
      </c>
      <c r="M93" s="1">
        <f t="shared" si="22"/>
        <v>10.0723376030384</v>
      </c>
      <c r="N93" s="1">
        <f t="shared" si="23"/>
        <v>1.22369013471788</v>
      </c>
      <c r="O93" s="1">
        <f t="shared" si="24"/>
        <v>0.3796875</v>
      </c>
      <c r="R93" s="2"/>
      <c r="S93" s="2"/>
    </row>
    <row r="94" hidden="1" spans="2:19">
      <c r="B94" s="1" t="s">
        <v>136</v>
      </c>
      <c r="C94" s="1">
        <v>5</v>
      </c>
      <c r="D94" s="1">
        <v>5</v>
      </c>
      <c r="E94" s="1">
        <f t="shared" si="17"/>
        <v>0.454545454545454</v>
      </c>
      <c r="F94" s="1">
        <f t="shared" si="18"/>
        <v>0.909090909090909</v>
      </c>
      <c r="G94" s="19">
        <f t="shared" si="28"/>
        <v>0.0666666666666667</v>
      </c>
      <c r="H94" s="19">
        <f t="shared" si="29"/>
        <v>0.133333333333333</v>
      </c>
      <c r="I94" s="20">
        <f t="shared" si="19"/>
        <v>1.36363636363636</v>
      </c>
      <c r="J94" s="1">
        <f t="shared" si="20"/>
        <v>0.719047619047621</v>
      </c>
      <c r="K94" s="1">
        <f t="shared" si="21"/>
        <v>0.693209488718263</v>
      </c>
      <c r="L94" s="1">
        <f t="shared" si="26"/>
        <v>0.7</v>
      </c>
      <c r="M94" s="1">
        <f t="shared" si="22"/>
        <v>10.0723376030384</v>
      </c>
      <c r="N94" s="1">
        <f t="shared" si="23"/>
        <v>1.22369013471788</v>
      </c>
      <c r="O94" s="1">
        <f t="shared" si="24"/>
        <v>0.3796875</v>
      </c>
      <c r="R94" s="2"/>
      <c r="S94" s="2"/>
    </row>
    <row r="95" hidden="1" spans="2:19">
      <c r="B95" s="1" t="s">
        <v>137</v>
      </c>
      <c r="C95" s="1">
        <v>5</v>
      </c>
      <c r="D95" s="1">
        <v>5</v>
      </c>
      <c r="E95" s="1">
        <f t="shared" si="17"/>
        <v>0.454545454545454</v>
      </c>
      <c r="F95" s="1">
        <f t="shared" si="18"/>
        <v>0.909090909090909</v>
      </c>
      <c r="G95" s="19">
        <f t="shared" si="28"/>
        <v>0.0666666666666667</v>
      </c>
      <c r="H95" s="19">
        <f t="shared" si="29"/>
        <v>0.133333333333333</v>
      </c>
      <c r="I95" s="20">
        <f t="shared" si="19"/>
        <v>1.36363636363636</v>
      </c>
      <c r="J95" s="1">
        <f t="shared" si="20"/>
        <v>0.719047619047621</v>
      </c>
      <c r="K95" s="1">
        <f t="shared" si="21"/>
        <v>0.693209488718263</v>
      </c>
      <c r="L95" s="1">
        <f t="shared" si="26"/>
        <v>0.7</v>
      </c>
      <c r="M95" s="1">
        <f t="shared" si="22"/>
        <v>10.0723376030384</v>
      </c>
      <c r="N95" s="1">
        <f t="shared" si="23"/>
        <v>1.22369013471788</v>
      </c>
      <c r="O95" s="1">
        <f t="shared" si="24"/>
        <v>0.3796875</v>
      </c>
      <c r="R95" s="2"/>
      <c r="S95" s="2"/>
    </row>
    <row r="96" hidden="1" spans="2:15">
      <c r="B96" s="1" t="s">
        <v>138</v>
      </c>
      <c r="C96" s="1">
        <v>5</v>
      </c>
      <c r="D96" s="1">
        <v>5</v>
      </c>
      <c r="E96" s="1">
        <f t="shared" si="17"/>
        <v>0.454545454545454</v>
      </c>
      <c r="F96" s="1">
        <f t="shared" si="18"/>
        <v>0.909090909090909</v>
      </c>
      <c r="G96" s="19">
        <f t="shared" si="28"/>
        <v>0.0666666666666667</v>
      </c>
      <c r="H96" s="19">
        <f t="shared" si="29"/>
        <v>0.133333333333333</v>
      </c>
      <c r="I96" s="20">
        <f t="shared" si="19"/>
        <v>1.36363636363636</v>
      </c>
      <c r="J96" s="1">
        <f t="shared" si="20"/>
        <v>0.719047619047621</v>
      </c>
      <c r="K96" s="1">
        <f t="shared" si="21"/>
        <v>0.693209488718263</v>
      </c>
      <c r="L96" s="1">
        <f t="shared" si="26"/>
        <v>0.7</v>
      </c>
      <c r="M96" s="1">
        <f t="shared" si="22"/>
        <v>10.0723376030384</v>
      </c>
      <c r="N96" s="1">
        <f t="shared" si="23"/>
        <v>1.22369013471788</v>
      </c>
      <c r="O96" s="1">
        <f t="shared" si="24"/>
        <v>0.3796875</v>
      </c>
    </row>
    <row r="97" hidden="1" spans="2:15">
      <c r="B97" s="21" t="s">
        <v>139</v>
      </c>
      <c r="C97" s="1">
        <v>5</v>
      </c>
      <c r="D97" s="1">
        <v>5</v>
      </c>
      <c r="E97" s="1">
        <f t="shared" si="17"/>
        <v>0.454545454545454</v>
      </c>
      <c r="F97" s="1">
        <f t="shared" si="18"/>
        <v>0.909090909090909</v>
      </c>
      <c r="G97" s="19">
        <f t="shared" si="28"/>
        <v>0.0666666666666667</v>
      </c>
      <c r="H97" s="19">
        <f t="shared" si="29"/>
        <v>0.133333333333333</v>
      </c>
      <c r="I97" s="20">
        <f t="shared" si="19"/>
        <v>1.36363636363636</v>
      </c>
      <c r="J97" s="1">
        <f t="shared" si="20"/>
        <v>0.719047619047621</v>
      </c>
      <c r="K97" s="1">
        <f t="shared" si="21"/>
        <v>0.693209488718263</v>
      </c>
      <c r="L97" s="1">
        <f t="shared" si="26"/>
        <v>0.7</v>
      </c>
      <c r="M97" s="1">
        <f t="shared" si="22"/>
        <v>10.0723376030384</v>
      </c>
      <c r="N97" s="1">
        <f t="shared" si="23"/>
        <v>1.22369013471788</v>
      </c>
      <c r="O97" s="1">
        <f t="shared" si="24"/>
        <v>0.3796875</v>
      </c>
    </row>
    <row r="98" hidden="1" spans="2:15">
      <c r="B98" s="1" t="s">
        <v>140</v>
      </c>
      <c r="C98" s="1">
        <v>5</v>
      </c>
      <c r="D98" s="1">
        <v>5</v>
      </c>
      <c r="E98" s="1">
        <f t="shared" si="17"/>
        <v>0.454545454545454</v>
      </c>
      <c r="F98" s="1">
        <f t="shared" si="18"/>
        <v>0.909090909090909</v>
      </c>
      <c r="G98" s="19">
        <f t="shared" si="28"/>
        <v>0.0666666666666667</v>
      </c>
      <c r="H98" s="19">
        <f t="shared" si="29"/>
        <v>0.133333333333333</v>
      </c>
      <c r="I98" s="20">
        <f t="shared" si="19"/>
        <v>1.36363636363636</v>
      </c>
      <c r="J98" s="1">
        <f t="shared" si="20"/>
        <v>0.719047619047621</v>
      </c>
      <c r="K98" s="1">
        <f t="shared" si="21"/>
        <v>0.693209488718263</v>
      </c>
      <c r="L98" s="1">
        <f t="shared" si="26"/>
        <v>0.7</v>
      </c>
      <c r="M98" s="1">
        <f t="shared" si="22"/>
        <v>10.0723376030384</v>
      </c>
      <c r="N98" s="1">
        <f t="shared" si="23"/>
        <v>1.22369013471788</v>
      </c>
      <c r="O98" s="1">
        <f t="shared" si="24"/>
        <v>0.3796875</v>
      </c>
    </row>
    <row r="99" hidden="1" spans="2:15">
      <c r="B99" s="1" t="s">
        <v>141</v>
      </c>
      <c r="C99" s="1">
        <v>5</v>
      </c>
      <c r="D99" s="1">
        <v>5</v>
      </c>
      <c r="E99" s="1">
        <f t="shared" si="17"/>
        <v>0.454545454545454</v>
      </c>
      <c r="F99" s="1">
        <f t="shared" si="18"/>
        <v>0.909090909090909</v>
      </c>
      <c r="G99" s="19">
        <f t="shared" si="28"/>
        <v>0.0666666666666667</v>
      </c>
      <c r="H99" s="19">
        <f t="shared" si="29"/>
        <v>0.133333333333333</v>
      </c>
      <c r="I99" s="20">
        <f t="shared" si="19"/>
        <v>1.36363636363636</v>
      </c>
      <c r="J99" s="1">
        <f t="shared" si="20"/>
        <v>0.719047619047621</v>
      </c>
      <c r="K99" s="1">
        <f t="shared" si="21"/>
        <v>0.693209488718263</v>
      </c>
      <c r="L99" s="1">
        <f t="shared" si="26"/>
        <v>0.7</v>
      </c>
      <c r="M99" s="1">
        <f t="shared" si="22"/>
        <v>10.0723376030384</v>
      </c>
      <c r="N99" s="1">
        <f t="shared" si="23"/>
        <v>1.22369013471788</v>
      </c>
      <c r="O99" s="1">
        <f t="shared" si="24"/>
        <v>0.3796875</v>
      </c>
    </row>
    <row r="100" hidden="1" spans="2:15">
      <c r="B100" s="1" t="s">
        <v>142</v>
      </c>
      <c r="C100" s="1">
        <v>5</v>
      </c>
      <c r="D100" s="1">
        <v>5</v>
      </c>
      <c r="E100" s="1">
        <f t="shared" si="17"/>
        <v>0.454545454545454</v>
      </c>
      <c r="F100" s="1">
        <f t="shared" si="18"/>
        <v>0.909090909090909</v>
      </c>
      <c r="G100" s="19">
        <f t="shared" si="28"/>
        <v>0.0666666666666667</v>
      </c>
      <c r="H100" s="19">
        <f t="shared" si="29"/>
        <v>0.133333333333333</v>
      </c>
      <c r="I100" s="20">
        <f t="shared" si="19"/>
        <v>1.36363636363636</v>
      </c>
      <c r="J100" s="1">
        <f t="shared" si="20"/>
        <v>0.719047619047621</v>
      </c>
      <c r="K100" s="1">
        <f t="shared" si="21"/>
        <v>0.693209488718263</v>
      </c>
      <c r="L100" s="1">
        <f t="shared" si="26"/>
        <v>0.7</v>
      </c>
      <c r="M100" s="1">
        <f t="shared" si="22"/>
        <v>10.0723376030384</v>
      </c>
      <c r="N100" s="1">
        <f t="shared" si="23"/>
        <v>1.22369013471788</v>
      </c>
      <c r="O100" s="1">
        <f t="shared" si="24"/>
        <v>0.3796875</v>
      </c>
    </row>
    <row r="102" spans="7:7">
      <c r="G102" s="39"/>
    </row>
    <row r="103" spans="7:8">
      <c r="G103" s="1">
        <f>G66-G56</f>
        <v>0.08</v>
      </c>
      <c r="H103" s="1">
        <f>H66-H56</f>
        <v>0.16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5"/>
  <sheetViews>
    <sheetView tabSelected="1" workbookViewId="0">
      <selection activeCell="Q70" sqref="Q70"/>
    </sheetView>
  </sheetViews>
  <sheetFormatPr defaultColWidth="9" defaultRowHeight="16.5"/>
  <cols>
    <col min="1" max="1" width="14.875" style="1" customWidth="1"/>
    <col min="2" max="2" width="18" style="1" customWidth="1"/>
    <col min="3" max="3" width="11.25" style="1" customWidth="1"/>
    <col min="4" max="11" width="9.00833333333333" style="1" customWidth="1"/>
    <col min="12" max="14" width="9.00833333333333" style="2" customWidth="1"/>
    <col min="15" max="16" width="10.625" style="2" customWidth="1"/>
    <col min="17" max="18" width="12.625" style="1"/>
    <col min="19" max="22" width="9.00833333333333" style="1" customWidth="1"/>
    <col min="23" max="24" width="9.375" style="1"/>
    <col min="25" max="16384" width="9" style="1"/>
  </cols>
  <sheetData>
    <row r="1" spans="1:20">
      <c r="A1" s="1" t="s">
        <v>0</v>
      </c>
      <c r="G1" s="3" t="s">
        <v>1</v>
      </c>
      <c r="H1" s="4" t="s">
        <v>2</v>
      </c>
      <c r="I1" s="22"/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</row>
    <row r="2" spans="2:20">
      <c r="B2" s="5" t="s">
        <v>12</v>
      </c>
      <c r="C2" s="6">
        <v>60</v>
      </c>
      <c r="G2" s="7"/>
      <c r="H2" s="8" t="s">
        <v>13</v>
      </c>
      <c r="I2" s="23">
        <v>1.2</v>
      </c>
      <c r="L2" s="2" t="s">
        <v>14</v>
      </c>
      <c r="M2" s="2">
        <v>1.3</v>
      </c>
      <c r="N2" s="2">
        <v>7</v>
      </c>
      <c r="O2" s="2">
        <f>3/1.5</f>
        <v>2</v>
      </c>
      <c r="P2" s="2">
        <f>3/2</f>
        <v>1.5</v>
      </c>
      <c r="Q2" s="2">
        <v>19.5</v>
      </c>
      <c r="R2" s="2">
        <v>0.5</v>
      </c>
      <c r="S2" s="2">
        <v>3</v>
      </c>
      <c r="T2" s="2">
        <v>0.8</v>
      </c>
    </row>
    <row r="3" spans="2:20">
      <c r="B3" s="1" t="s">
        <v>15</v>
      </c>
      <c r="C3" s="2">
        <v>2</v>
      </c>
      <c r="G3" s="3" t="s">
        <v>16</v>
      </c>
      <c r="H3" s="4" t="s">
        <v>17</v>
      </c>
      <c r="I3" s="22">
        <f>3*1.5</f>
        <v>4.5</v>
      </c>
      <c r="L3" s="25" t="s">
        <v>18</v>
      </c>
      <c r="M3" s="25">
        <v>2.4</v>
      </c>
      <c r="N3" s="2">
        <v>5</v>
      </c>
      <c r="O3" s="2">
        <f>3/1</f>
        <v>3</v>
      </c>
      <c r="P3" s="2">
        <f>3/1.5</f>
        <v>2</v>
      </c>
      <c r="Q3" s="25">
        <f>9*M3</f>
        <v>21.6</v>
      </c>
      <c r="R3" s="2"/>
      <c r="S3" s="2" t="s">
        <v>19</v>
      </c>
      <c r="T3" s="2" t="s">
        <v>20</v>
      </c>
    </row>
    <row r="4" spans="2:20">
      <c r="B4" s="5" t="s">
        <v>21</v>
      </c>
      <c r="C4" s="6" t="str">
        <f>IF((D4-C3*2)&lt;0,"相交",IF((D4-C3*2)&lt;0=0,"相切","否"))</f>
        <v>相交</v>
      </c>
      <c r="D4" s="5">
        <f>((D6-D7)^2+(E6-E7)^2)^0.5</f>
        <v>3.99644842328786</v>
      </c>
      <c r="E4" s="5"/>
      <c r="G4" s="9"/>
      <c r="H4" s="8" t="s">
        <v>22</v>
      </c>
      <c r="I4" s="23">
        <f>1*1.5+2</f>
        <v>3.5</v>
      </c>
      <c r="L4" s="2" t="s">
        <v>23</v>
      </c>
      <c r="M4" s="2">
        <v>1.5</v>
      </c>
      <c r="N4" s="2">
        <v>8</v>
      </c>
      <c r="O4" s="2">
        <f>3/1</f>
        <v>3</v>
      </c>
      <c r="P4" s="2">
        <f>3/3</f>
        <v>1</v>
      </c>
      <c r="Q4" s="2">
        <v>16</v>
      </c>
      <c r="R4" s="2"/>
      <c r="S4" s="2">
        <v>4.6</v>
      </c>
      <c r="T4" s="2">
        <v>6.2</v>
      </c>
    </row>
    <row r="5" spans="2:18">
      <c r="B5" s="5"/>
      <c r="C5" s="6"/>
      <c r="D5" s="6" t="s">
        <v>24</v>
      </c>
      <c r="E5" s="6" t="s">
        <v>25</v>
      </c>
      <c r="F5" s="2"/>
      <c r="G5" s="3" t="s">
        <v>26</v>
      </c>
      <c r="H5" s="4" t="s">
        <v>27</v>
      </c>
      <c r="I5" s="22">
        <v>0.5</v>
      </c>
      <c r="J5" s="2"/>
      <c r="L5" s="2" t="s">
        <v>28</v>
      </c>
      <c r="M5" s="2">
        <v>1.2</v>
      </c>
      <c r="N5" s="2">
        <v>8</v>
      </c>
      <c r="O5" s="2">
        <f>3/0.75</f>
        <v>4</v>
      </c>
      <c r="P5" s="2">
        <f>3/1</f>
        <v>3</v>
      </c>
      <c r="Q5" s="2">
        <v>20</v>
      </c>
      <c r="R5" s="2"/>
    </row>
    <row r="6" spans="2:18">
      <c r="B6" s="5" t="s">
        <v>29</v>
      </c>
      <c r="C6" s="6" t="s">
        <v>30</v>
      </c>
      <c r="D6" s="6">
        <v>0</v>
      </c>
      <c r="E6" s="6">
        <v>4</v>
      </c>
      <c r="F6" s="2"/>
      <c r="G6" s="10"/>
      <c r="H6" s="1" t="s">
        <v>31</v>
      </c>
      <c r="I6" s="24">
        <v>15</v>
      </c>
      <c r="J6" s="2"/>
      <c r="L6" s="2" t="s">
        <v>32</v>
      </c>
      <c r="M6" s="2">
        <v>1.1</v>
      </c>
      <c r="N6" s="2">
        <v>7</v>
      </c>
      <c r="O6" s="2">
        <f>3/1.25</f>
        <v>2.4</v>
      </c>
      <c r="P6" s="2">
        <f>3/2</f>
        <v>1.5</v>
      </c>
      <c r="Q6" s="2">
        <v>20</v>
      </c>
      <c r="R6" s="2"/>
    </row>
    <row r="7" spans="2:10">
      <c r="B7" s="5" t="s">
        <v>33</v>
      </c>
      <c r="C7" s="6" t="s">
        <v>29</v>
      </c>
      <c r="D7" s="6">
        <f>ROUND(D6*COS(C2/180*PI())-E6*SIN(C2/180*PI()),2)</f>
        <v>-3.46</v>
      </c>
      <c r="E7" s="6">
        <f>ROUND(D6*SIN(C2/180*PI())+E6*COS(C2/180*PI()),2)</f>
        <v>2</v>
      </c>
      <c r="F7" s="2"/>
      <c r="G7" s="10"/>
      <c r="H7" s="1" t="s">
        <v>34</v>
      </c>
      <c r="I7" s="24">
        <f>90-I6</f>
        <v>75</v>
      </c>
      <c r="J7" s="2"/>
    </row>
    <row r="8" spans="2:12">
      <c r="B8" s="5" t="s">
        <v>35</v>
      </c>
      <c r="C8" s="6" t="s">
        <v>36</v>
      </c>
      <c r="D8" s="6">
        <f>ROUND(D6*COS((-1)*C2/180*PI())-E6*SIN((-1)*C2/180*PI()),2)</f>
        <v>3.46</v>
      </c>
      <c r="E8" s="6">
        <f>ROUND(D6*SIN((-1)*C2/180*PI())+E6*COS((-1)*C2/180*PI()),2)</f>
        <v>2</v>
      </c>
      <c r="F8" s="2"/>
      <c r="G8" s="7"/>
      <c r="H8" s="8" t="s">
        <v>37</v>
      </c>
      <c r="I8" s="23">
        <v>90</v>
      </c>
      <c r="J8" s="2"/>
      <c r="L8" s="1"/>
    </row>
    <row r="9" hidden="1" spans="11:23">
      <c r="K9" s="2"/>
      <c r="Q9" s="2" t="s">
        <v>38</v>
      </c>
      <c r="R9" s="2" t="s">
        <v>39</v>
      </c>
      <c r="S9" s="2" t="s">
        <v>40</v>
      </c>
      <c r="T9" s="2" t="s">
        <v>41</v>
      </c>
      <c r="U9" s="2" t="s">
        <v>42</v>
      </c>
      <c r="W9" s="2"/>
    </row>
    <row r="10" hidden="1" spans="2:23">
      <c r="B10" s="2" t="s">
        <v>43</v>
      </c>
      <c r="C10" s="1" t="s">
        <v>44</v>
      </c>
      <c r="D10" s="1" t="s">
        <v>45</v>
      </c>
      <c r="E10" s="1" t="s">
        <v>46</v>
      </c>
      <c r="F10" s="2" t="s">
        <v>47</v>
      </c>
      <c r="H10" s="2"/>
      <c r="I10" s="2"/>
      <c r="K10" s="2"/>
      <c r="O10" s="12"/>
      <c r="Q10" s="2">
        <v>1</v>
      </c>
      <c r="R10" s="2">
        <v>5</v>
      </c>
      <c r="S10" s="2">
        <f>PI()*R10^2-PI()*$S$2^2</f>
        <v>50.2654824574367</v>
      </c>
      <c r="T10" s="2">
        <f>S10/(PI()*$R$2^2)</f>
        <v>64</v>
      </c>
      <c r="U10" s="12">
        <v>0.5</v>
      </c>
      <c r="W10" s="2"/>
    </row>
    <row r="11" hidden="1" spans="1:23">
      <c r="A11" s="1" t="s">
        <v>48</v>
      </c>
      <c r="B11" s="2">
        <v>7</v>
      </c>
      <c r="C11" s="1">
        <f>PI()*(C3+I2)^2</f>
        <v>32.1699087727595</v>
      </c>
      <c r="D11" s="1">
        <f>PI()*(N4^2-S2^2)</f>
        <v>172.787595947439</v>
      </c>
      <c r="E11" s="11">
        <f t="shared" ref="E11:E16" si="0">C11/D11</f>
        <v>0.186181818181818</v>
      </c>
      <c r="F11" s="2">
        <v>6</v>
      </c>
      <c r="G11" s="12"/>
      <c r="H11" s="12"/>
      <c r="I11" s="12"/>
      <c r="K11" s="2"/>
      <c r="O11" s="12"/>
      <c r="Q11" s="2">
        <v>2</v>
      </c>
      <c r="R11" s="2">
        <f t="shared" ref="R11:R18" si="1">R10+0.5</f>
        <v>5.5</v>
      </c>
      <c r="S11" s="2">
        <f>PI()*R11^2-PI()*$S$2^2</f>
        <v>66.7588438887831</v>
      </c>
      <c r="T11" s="2">
        <f>S11/(PI()*$R$2^2)</f>
        <v>85</v>
      </c>
      <c r="U11" s="12">
        <f t="shared" ref="U11:U18" si="2">U10+2%</f>
        <v>0.52</v>
      </c>
      <c r="W11" s="2"/>
    </row>
    <row r="12" hidden="1" spans="1:23">
      <c r="A12" s="1" t="s">
        <v>48</v>
      </c>
      <c r="B12" s="2">
        <v>11</v>
      </c>
      <c r="C12" s="1">
        <f>PI()*(C3+I2)^2</f>
        <v>32.1699087727595</v>
      </c>
      <c r="D12" s="1">
        <f>PI()*(N4^2-S2^2)</f>
        <v>172.787595947439</v>
      </c>
      <c r="E12" s="11">
        <f>C11/D11</f>
        <v>0.186181818181818</v>
      </c>
      <c r="K12" s="2"/>
      <c r="O12" s="12"/>
      <c r="Q12" s="2">
        <v>3</v>
      </c>
      <c r="R12" s="2">
        <f t="shared" si="1"/>
        <v>6</v>
      </c>
      <c r="S12" s="2">
        <f>PI()*R12^2-PI()*$S$2^2</f>
        <v>84.8230016469244</v>
      </c>
      <c r="T12" s="2">
        <f>S12/(PI()*$R$2^2)</f>
        <v>108</v>
      </c>
      <c r="U12" s="12">
        <f t="shared" si="2"/>
        <v>0.54</v>
      </c>
      <c r="W12" s="2"/>
    </row>
    <row r="13" hidden="1" spans="1:23">
      <c r="A13" s="1" t="s">
        <v>48</v>
      </c>
      <c r="B13" s="12">
        <v>0.5</v>
      </c>
      <c r="E13" s="13">
        <f>E12*(1+B13)^F11</f>
        <v>2.12072727272727</v>
      </c>
      <c r="K13" s="2"/>
      <c r="O13" s="12"/>
      <c r="Q13" s="2">
        <v>4</v>
      </c>
      <c r="R13" s="2">
        <f t="shared" si="1"/>
        <v>6.5</v>
      </c>
      <c r="S13" s="2">
        <f>PI()*R13^2-PI()*$S$2^2</f>
        <v>104.457955731861</v>
      </c>
      <c r="T13" s="2">
        <f>S13/(PI()*$R$2^2)</f>
        <v>133</v>
      </c>
      <c r="U13" s="12">
        <f t="shared" si="2"/>
        <v>0.56</v>
      </c>
      <c r="W13" s="2"/>
    </row>
    <row r="14" hidden="1" spans="2:23">
      <c r="B14" s="2" t="s">
        <v>49</v>
      </c>
      <c r="C14" s="1" t="s">
        <v>44</v>
      </c>
      <c r="D14" s="1" t="s">
        <v>45</v>
      </c>
      <c r="E14" s="1" t="s">
        <v>46</v>
      </c>
      <c r="F14" s="2" t="s">
        <v>47</v>
      </c>
      <c r="K14" s="2"/>
      <c r="O14" s="12"/>
      <c r="Q14" s="2">
        <v>5</v>
      </c>
      <c r="R14" s="2">
        <f t="shared" si="1"/>
        <v>7</v>
      </c>
      <c r="S14" s="2">
        <f>PI()*R14^2-PI()*$S$2^2</f>
        <v>125.663706143592</v>
      </c>
      <c r="T14" s="2">
        <f>S14/(PI()*$R$2^2)</f>
        <v>160</v>
      </c>
      <c r="U14" s="12">
        <f t="shared" si="2"/>
        <v>0.58</v>
      </c>
      <c r="W14" s="2"/>
    </row>
    <row r="15" hidden="1" spans="1:23">
      <c r="A15" s="1" t="s">
        <v>50</v>
      </c>
      <c r="B15" s="2">
        <v>7</v>
      </c>
      <c r="C15" s="1">
        <f>PI()*((C3+I4/2)^2+(I3/2)^2)</f>
        <v>60.0829594999048</v>
      </c>
      <c r="D15" s="1">
        <f>PI()*((N3*2)^2-S2^2)</f>
        <v>285.884931476671</v>
      </c>
      <c r="E15" s="11">
        <f t="shared" si="0"/>
        <v>0.210164835164835</v>
      </c>
      <c r="F15" s="2">
        <v>5</v>
      </c>
      <c r="K15" s="2"/>
      <c r="O15" s="12"/>
      <c r="Q15" s="2">
        <v>6</v>
      </c>
      <c r="R15" s="2">
        <f t="shared" si="1"/>
        <v>7.5</v>
      </c>
      <c r="S15" s="2">
        <f>PI()*R15^2-PI()*$S$2^2</f>
        <v>148.440252882118</v>
      </c>
      <c r="T15" s="2">
        <f>S15/(PI()*$R$2^2)</f>
        <v>189</v>
      </c>
      <c r="U15" s="12">
        <f t="shared" si="2"/>
        <v>0.6</v>
      </c>
      <c r="W15" s="2"/>
    </row>
    <row r="16" hidden="1" spans="1:23">
      <c r="A16" s="1" t="s">
        <v>50</v>
      </c>
      <c r="B16" s="2">
        <v>11</v>
      </c>
      <c r="C16" s="1">
        <f>PI()*((C3+I4/2)^2+(I3/2)^2)</f>
        <v>60.0829594999048</v>
      </c>
      <c r="D16" s="1">
        <f>PI()*((N3*2)^2-S2^2)</f>
        <v>285.884931476671</v>
      </c>
      <c r="E16" s="11">
        <f t="shared" si="0"/>
        <v>0.210164835164835</v>
      </c>
      <c r="K16" s="2"/>
      <c r="O16" s="12"/>
      <c r="Q16" s="2">
        <v>7</v>
      </c>
      <c r="R16" s="2">
        <f t="shared" si="1"/>
        <v>8</v>
      </c>
      <c r="S16" s="2">
        <f>PI()*R16^2-PI()*$S$2^2</f>
        <v>172.787595947439</v>
      </c>
      <c r="T16" s="2">
        <f>S16/(PI()*$R$2^2)</f>
        <v>220</v>
      </c>
      <c r="U16" s="12">
        <f t="shared" si="2"/>
        <v>0.62</v>
      </c>
      <c r="W16" s="2"/>
    </row>
    <row r="17" hidden="1" spans="1:23">
      <c r="A17" s="1" t="s">
        <v>50</v>
      </c>
      <c r="B17" s="12">
        <f>B13</f>
        <v>0.5</v>
      </c>
      <c r="E17" s="13">
        <f>E16*(1+B17)^F15</f>
        <v>1.59593921703297</v>
      </c>
      <c r="K17" s="2"/>
      <c r="O17" s="12"/>
      <c r="Q17" s="2">
        <v>8</v>
      </c>
      <c r="R17" s="2">
        <f t="shared" si="1"/>
        <v>8.5</v>
      </c>
      <c r="S17" s="2">
        <f>PI()*R17^2-PI()*$S$2^2</f>
        <v>198.705735339554</v>
      </c>
      <c r="T17" s="2">
        <f>S17/(PI()*$R$2^2)</f>
        <v>253</v>
      </c>
      <c r="U17" s="12">
        <f t="shared" si="2"/>
        <v>0.64</v>
      </c>
      <c r="W17" s="2"/>
    </row>
    <row r="18" hidden="1" spans="2:23">
      <c r="B18" s="2" t="s">
        <v>51</v>
      </c>
      <c r="C18" s="1" t="s">
        <v>52</v>
      </c>
      <c r="D18" s="1" t="s">
        <v>53</v>
      </c>
      <c r="E18" s="1" t="s">
        <v>54</v>
      </c>
      <c r="F18" s="1" t="s">
        <v>55</v>
      </c>
      <c r="G18" s="1" t="s">
        <v>56</v>
      </c>
      <c r="H18" s="1" t="s">
        <v>57</v>
      </c>
      <c r="I18" s="1" t="s">
        <v>58</v>
      </c>
      <c r="K18" s="2"/>
      <c r="O18" s="12"/>
      <c r="Q18" s="2">
        <v>9</v>
      </c>
      <c r="R18" s="2">
        <f t="shared" si="1"/>
        <v>9</v>
      </c>
      <c r="S18" s="2">
        <f>PI()*R18^2-PI()*$S$2^2</f>
        <v>226.194671058465</v>
      </c>
      <c r="T18" s="2">
        <f>S18/(PI()*$R$2^2)</f>
        <v>288</v>
      </c>
      <c r="U18" s="12">
        <f t="shared" si="2"/>
        <v>0.66</v>
      </c>
      <c r="W18" s="2"/>
    </row>
    <row r="19" hidden="1" spans="1:23">
      <c r="A19" s="1" t="s">
        <v>59</v>
      </c>
      <c r="B19" s="2">
        <v>7</v>
      </c>
      <c r="C19" s="1">
        <f>(2*C3^2/(1-COS(I6/180*PI())))^0.5</f>
        <v>15.3225951510808</v>
      </c>
      <c r="D19" s="1">
        <f>COS(I6/2/180*PI())*C19</f>
        <v>15.1915082254503</v>
      </c>
      <c r="E19" s="1">
        <f>2*D19*I5/C19</f>
        <v>0.99144486137381</v>
      </c>
      <c r="F19" s="13">
        <f>($S$2-E19)*TAN($I$6/2/180*PI())*($S$2-E19)</f>
        <v>0.531124847517513</v>
      </c>
      <c r="G19" s="1">
        <f>C3*D19</f>
        <v>30.3830164509006</v>
      </c>
      <c r="H19" s="1">
        <f>($N$2-E19)*TAN($I$6/2/180*PI())*($N$2-E19)</f>
        <v>4.75301521325293</v>
      </c>
      <c r="I19" s="1">
        <f>_xlfn.IFS((D19+E19)&lt;S$2,0,AND(E19&lt;S$2,(D19+E19)&lt;N$2),H19-F19,AND(E19&lt;S$2,(D19+E19)&gt;=N$2),G19-F19,AND(E19&lt;N$2,(D19+E19)&lt;N$2),G19,AND(E19&lt;N$2,(D19+E19)&gt;=N$2),H19,E19&gt;=7,0)</f>
        <v>29.8518916033831</v>
      </c>
      <c r="K19" s="2"/>
      <c r="O19" s="12"/>
      <c r="R19" s="2"/>
      <c r="S19" s="2"/>
      <c r="T19" s="2"/>
      <c r="U19" s="2"/>
      <c r="V19" s="12"/>
      <c r="W19" s="2"/>
    </row>
    <row r="20" hidden="1" spans="1:23">
      <c r="A20" s="1" t="s">
        <v>59</v>
      </c>
      <c r="B20" s="2">
        <v>11</v>
      </c>
      <c r="C20" s="1" t="s">
        <v>52</v>
      </c>
      <c r="D20" s="1" t="s">
        <v>53</v>
      </c>
      <c r="E20" s="1" t="s">
        <v>54</v>
      </c>
      <c r="F20" s="1" t="s">
        <v>55</v>
      </c>
      <c r="G20" s="1" t="s">
        <v>56</v>
      </c>
      <c r="H20" s="1" t="s">
        <v>57</v>
      </c>
      <c r="I20" s="1" t="s">
        <v>60</v>
      </c>
      <c r="K20" s="2"/>
      <c r="O20" s="12"/>
      <c r="Q20" s="1" t="s">
        <v>61</v>
      </c>
      <c r="R20" s="2" t="s">
        <v>62</v>
      </c>
      <c r="S20" s="2" t="s">
        <v>40</v>
      </c>
      <c r="T20" s="2" t="s">
        <v>42</v>
      </c>
      <c r="U20" s="2" t="s">
        <v>63</v>
      </c>
      <c r="V20" s="12"/>
      <c r="W20" s="2"/>
    </row>
    <row r="21" hidden="1" spans="1:23">
      <c r="A21" s="1" t="s">
        <v>59</v>
      </c>
      <c r="B21" s="12">
        <f>B13</f>
        <v>0.5</v>
      </c>
      <c r="C21" s="1">
        <f>(2*C3^2/(1-COS($I$7/180*PI())))^0.5</f>
        <v>3.28535926340916</v>
      </c>
      <c r="D21" s="1">
        <f>COS($I$7/2/180*PI())*C21</f>
        <v>2.60645074568241</v>
      </c>
      <c r="E21" s="1">
        <f>2*D21*I5/C21</f>
        <v>0.793353340291235</v>
      </c>
      <c r="F21" s="13">
        <f>(S2-E21)*TAN(I7/2/180*PI())*(S2-E21)</f>
        <v>3.73633723090285</v>
      </c>
      <c r="G21" s="1">
        <f>C3*D21</f>
        <v>5.21290149136482</v>
      </c>
      <c r="H21" s="1">
        <f>(N2-E21)*TAN(I7/2/180*PI())*(N2-E21)</f>
        <v>29.5593253179915</v>
      </c>
      <c r="I21" s="1">
        <f>_xlfn.IFS((D21+E21)&lt;S$2,0,AND(E21&lt;S$2,(D21+E21)&lt;N$2),H21-F21,AND(E21&lt;S$2,(D21+E21)&gt;=N$2),G21-F21,AND(E21&lt;N$2,(D21+E21)&lt;N$2),G21,AND(E21&lt;N$2,(D21+E21)&gt;=N$2),H21,E21&gt;=7,0)</f>
        <v>25.8229880870886</v>
      </c>
      <c r="K21" s="2"/>
      <c r="O21" s="12"/>
      <c r="R21" s="2">
        <v>1.2</v>
      </c>
      <c r="S21" s="2">
        <f>PI()*R21^2</f>
        <v>4.5238934211693</v>
      </c>
      <c r="T21" s="12">
        <v>0.88</v>
      </c>
      <c r="U21" s="2">
        <f>((R21+0.5)/$R$2)^2*T21</f>
        <v>10.1728</v>
      </c>
      <c r="V21" s="12"/>
      <c r="W21" s="2"/>
    </row>
    <row r="22" hidden="1" spans="2:23">
      <c r="B22" s="2"/>
      <c r="C22" s="1" t="s">
        <v>52</v>
      </c>
      <c r="D22" s="1" t="s">
        <v>53</v>
      </c>
      <c r="E22" s="1" t="s">
        <v>54</v>
      </c>
      <c r="F22" s="1" t="s">
        <v>55</v>
      </c>
      <c r="G22" s="1" t="s">
        <v>56</v>
      </c>
      <c r="H22" s="1" t="s">
        <v>57</v>
      </c>
      <c r="I22" s="1" t="s">
        <v>64</v>
      </c>
      <c r="K22" s="2"/>
      <c r="O22" s="12"/>
      <c r="R22" s="2"/>
      <c r="S22" s="2"/>
      <c r="T22" s="2"/>
      <c r="U22" s="2"/>
      <c r="V22" s="12"/>
      <c r="W22" s="2"/>
    </row>
    <row r="23" hidden="1" spans="2:23">
      <c r="B23" s="2"/>
      <c r="C23" s="1">
        <f>(2*C3^2/(1-COS($I$8/180*PI())))^0.5</f>
        <v>2.82842712474619</v>
      </c>
      <c r="D23" s="1">
        <f>COS($I$8/2/180*PI())*C23</f>
        <v>2</v>
      </c>
      <c r="E23" s="1">
        <f>2*D23*$I$5/C23</f>
        <v>0.707106781186548</v>
      </c>
      <c r="F23" s="13">
        <f>($S$2-E23)*TAN($I$8/2/180*PI())*($S$2-E23)</f>
        <v>5.25735931288071</v>
      </c>
      <c r="G23" s="1">
        <f>C3*D23</f>
        <v>4</v>
      </c>
      <c r="H23" s="1">
        <f>($N$2-E23)*TAN($I$8/2/180*PI())*($N$2-E23)</f>
        <v>39.6005050633883</v>
      </c>
      <c r="I23" s="1">
        <f>_xlfn.IFS((D23+E23)&lt;S$2,0,AND(E23&lt;S$2,(D23+E23)&lt;N$2),H23-F23,AND(E23&lt;S$2,(D23+E23)&gt;=N$2),G23-F23,AND(E23&lt;N$2,(D23+E23)&lt;N$2),G23,AND(E23&lt;N$2,(D23+E23)&gt;=N$2),H23,E23&gt;=7,0)</f>
        <v>0</v>
      </c>
      <c r="K23" s="2"/>
      <c r="O23" s="12"/>
      <c r="Q23" s="1" t="s">
        <v>65</v>
      </c>
      <c r="R23" s="2" t="s">
        <v>66</v>
      </c>
      <c r="S23" s="2" t="s">
        <v>40</v>
      </c>
      <c r="T23" s="2" t="s">
        <v>42</v>
      </c>
      <c r="U23" s="2" t="s">
        <v>63</v>
      </c>
      <c r="V23" s="12"/>
      <c r="W23" s="2"/>
    </row>
    <row r="24" hidden="1" spans="2:23">
      <c r="B24" s="2"/>
      <c r="C24" s="1" t="s">
        <v>67</v>
      </c>
      <c r="D24" s="1" t="s">
        <v>68</v>
      </c>
      <c r="E24" s="1" t="s">
        <v>69</v>
      </c>
      <c r="F24" s="14" t="s">
        <v>70</v>
      </c>
      <c r="G24" s="15" t="s">
        <v>71</v>
      </c>
      <c r="H24" s="2" t="s">
        <v>47</v>
      </c>
      <c r="I24" s="2" t="s">
        <v>72</v>
      </c>
      <c r="K24" s="2"/>
      <c r="O24" s="12"/>
      <c r="R24" s="2" t="s">
        <v>73</v>
      </c>
      <c r="S24" s="2">
        <f>4*2</f>
        <v>8</v>
      </c>
      <c r="T24" s="12">
        <v>0.88</v>
      </c>
      <c r="U24" s="2">
        <f>S24/(PI()*$R$2^2)*T24</f>
        <v>8.96360639493555</v>
      </c>
      <c r="V24" s="27">
        <f>U24/U21</f>
        <v>0.881134633034715</v>
      </c>
      <c r="W24" s="2"/>
    </row>
    <row r="25" hidden="1" spans="2:22">
      <c r="B25" s="2"/>
      <c r="C25" s="1">
        <f>($I$5+C3*2)*($N$2-$S$2)</f>
        <v>18</v>
      </c>
      <c r="D25" s="1">
        <f>PI()*($N$2^2-$S$2^2)</f>
        <v>125.663706143592</v>
      </c>
      <c r="E25" s="11">
        <f t="shared" ref="E25:E28" si="3">C25/D25</f>
        <v>0.143239448782706</v>
      </c>
      <c r="F25" s="16">
        <f>SUM(I19,I21,I23,C25*3)/D25</f>
        <v>0.872764961787375</v>
      </c>
      <c r="G25" s="16">
        <f>E25*3</f>
        <v>0.429718346348117</v>
      </c>
      <c r="H25" s="2">
        <v>6</v>
      </c>
      <c r="I25" s="1">
        <f>E25*(1+B21)^H25</f>
        <v>1.63158684629051</v>
      </c>
      <c r="R25" s="2"/>
      <c r="S25" s="2"/>
      <c r="T25" s="12"/>
      <c r="U25" s="2"/>
      <c r="V25" s="27"/>
    </row>
    <row r="26" hidden="1" spans="2:22">
      <c r="B26" s="2" t="s">
        <v>43</v>
      </c>
      <c r="C26" s="1" t="s">
        <v>44</v>
      </c>
      <c r="D26" s="1" t="s">
        <v>45</v>
      </c>
      <c r="E26" s="1" t="s">
        <v>46</v>
      </c>
      <c r="F26" s="2" t="s">
        <v>47</v>
      </c>
      <c r="K26" s="2"/>
      <c r="Q26" s="1" t="s">
        <v>74</v>
      </c>
      <c r="R26" s="2" t="s">
        <v>66</v>
      </c>
      <c r="S26" s="2" t="s">
        <v>40</v>
      </c>
      <c r="T26" s="2" t="s">
        <v>42</v>
      </c>
      <c r="U26" s="2" t="s">
        <v>63</v>
      </c>
      <c r="V26" s="2"/>
    </row>
    <row r="27" hidden="1" spans="1:22">
      <c r="A27" s="1" t="s">
        <v>75</v>
      </c>
      <c r="B27" s="2">
        <v>0.5</v>
      </c>
      <c r="C27" s="1">
        <f>PI()*(B27+I2)^2</f>
        <v>9.0792027688745</v>
      </c>
      <c r="D27" s="1">
        <f>PI()*(N4^2-S2^2)</f>
        <v>172.787595947439</v>
      </c>
      <c r="E27" s="11">
        <f t="shared" si="3"/>
        <v>0.0525454545454545</v>
      </c>
      <c r="F27" s="2">
        <v>4</v>
      </c>
      <c r="K27" s="2"/>
      <c r="P27" s="12"/>
      <c r="Q27" s="2"/>
      <c r="R27" s="2" t="s">
        <v>76</v>
      </c>
      <c r="S27" s="2">
        <f>6.5*1.5</f>
        <v>9.75</v>
      </c>
      <c r="T27" s="12">
        <v>0.85</v>
      </c>
      <c r="U27" s="2">
        <f>S27/(PI()*$R$2^2)*T27</f>
        <v>10.5519727269927</v>
      </c>
      <c r="V27" s="2">
        <f>U27/U21</f>
        <v>1.0372731919425</v>
      </c>
    </row>
    <row r="28" hidden="1" spans="1:19">
      <c r="A28" s="1" t="s">
        <v>75</v>
      </c>
      <c r="B28" s="2">
        <v>0.9</v>
      </c>
      <c r="C28" s="1">
        <f>PI()*(B28+I2)^2</f>
        <v>13.854423602331</v>
      </c>
      <c r="D28" s="1">
        <f>PI()*(N4^2-S2^2)</f>
        <v>172.787595947439</v>
      </c>
      <c r="E28" s="11">
        <f t="shared" si="3"/>
        <v>0.0801818181818182</v>
      </c>
      <c r="K28" s="2"/>
      <c r="P28" s="12"/>
      <c r="Q28" s="2"/>
      <c r="R28" s="2"/>
      <c r="S28" s="2"/>
    </row>
    <row r="29" hidden="1" spans="1:19">
      <c r="A29" s="1" t="s">
        <v>75</v>
      </c>
      <c r="B29" s="12">
        <f>B13</f>
        <v>0.5</v>
      </c>
      <c r="E29" s="13">
        <f>(1-(1-E28)^((1+B29)*0.5))*3</f>
        <v>0.18228056726074</v>
      </c>
      <c r="K29" s="2"/>
      <c r="P29" s="12"/>
      <c r="Q29" s="2"/>
      <c r="R29" s="2"/>
      <c r="S29" s="2"/>
    </row>
    <row r="30" hidden="1" spans="2:17">
      <c r="B30" s="2" t="s">
        <v>49</v>
      </c>
      <c r="C30" s="1" t="s">
        <v>44</v>
      </c>
      <c r="D30" s="1" t="s">
        <v>45</v>
      </c>
      <c r="E30" s="1" t="s">
        <v>46</v>
      </c>
      <c r="F30" s="2" t="s">
        <v>47</v>
      </c>
      <c r="K30" s="2"/>
      <c r="P30" s="12"/>
      <c r="Q30" s="2"/>
    </row>
    <row r="31" hidden="1" spans="1:17">
      <c r="A31" s="1" t="s">
        <v>77</v>
      </c>
      <c r="B31" s="2">
        <f t="shared" ref="B31:B33" si="4">B27</f>
        <v>0.5</v>
      </c>
      <c r="C31" s="1">
        <f>PI()*((B31+I4/2)^2+(I3/2)^2)</f>
        <v>31.8086256175967</v>
      </c>
      <c r="D31" s="1">
        <f>PI()*((N3*2)^2-S2^2)</f>
        <v>285.884931476671</v>
      </c>
      <c r="E31" s="11">
        <f>C31/D31</f>
        <v>0.111263736263736</v>
      </c>
      <c r="F31" s="2">
        <v>3</v>
      </c>
      <c r="K31" s="2"/>
      <c r="P31" s="12"/>
      <c r="Q31" s="2"/>
    </row>
    <row r="32" hidden="1" spans="1:17">
      <c r="A32" s="1" t="s">
        <v>77</v>
      </c>
      <c r="B32" s="2">
        <f t="shared" si="4"/>
        <v>0.9</v>
      </c>
      <c r="C32" s="1">
        <f>PI()*((B32+I4/2)^2+(I3/2)^2)</f>
        <v>37.9661472186326</v>
      </c>
      <c r="D32" s="1">
        <f>PI()*((N3*2)^2-S2^2)</f>
        <v>285.884931476671</v>
      </c>
      <c r="E32" s="11">
        <f>C32/D32</f>
        <v>0.132802197802198</v>
      </c>
      <c r="K32" s="2"/>
      <c r="P32" s="12"/>
      <c r="Q32" s="2"/>
    </row>
    <row r="33" hidden="1" spans="1:17">
      <c r="A33" s="1" t="s">
        <v>77</v>
      </c>
      <c r="B33" s="12">
        <f t="shared" si="4"/>
        <v>0.5</v>
      </c>
      <c r="E33" s="13">
        <f>(1-(1-E32)^((1+B33)*0.5))*3</f>
        <v>0.304062118848676</v>
      </c>
      <c r="K33" s="2"/>
      <c r="P33" s="12"/>
      <c r="Q33" s="2"/>
    </row>
    <row r="34" hidden="1" spans="2:17">
      <c r="B34" s="2" t="s">
        <v>78</v>
      </c>
      <c r="C34" s="1" t="s">
        <v>52</v>
      </c>
      <c r="D34" s="1" t="s">
        <v>53</v>
      </c>
      <c r="E34" s="1" t="s">
        <v>54</v>
      </c>
      <c r="F34" s="1" t="s">
        <v>55</v>
      </c>
      <c r="G34" s="1" t="s">
        <v>56</v>
      </c>
      <c r="H34" s="1" t="s">
        <v>57</v>
      </c>
      <c r="I34" s="1" t="s">
        <v>58</v>
      </c>
      <c r="K34" s="2"/>
      <c r="P34" s="12"/>
      <c r="Q34" s="2"/>
    </row>
    <row r="35" hidden="1" spans="1:17">
      <c r="A35" s="1" t="s">
        <v>79</v>
      </c>
      <c r="B35" s="2">
        <f t="shared" ref="B35:B37" si="5">B31</f>
        <v>0.5</v>
      </c>
      <c r="C35" s="1">
        <f>(2*B35^2/(1-COS($I$6/180*PI())))^0.5</f>
        <v>3.8306487877702</v>
      </c>
      <c r="D35" s="1">
        <f>COS($I$6/2/180*PI())*C35</f>
        <v>3.79787705636258</v>
      </c>
      <c r="E35" s="1">
        <f>2*D35*$I$5/C35</f>
        <v>0.99144486137381</v>
      </c>
      <c r="F35" s="13">
        <f>($S$2-E35)*TAN($I$6/2/180*PI())*($S$2-E35)</f>
        <v>0.531124847517513</v>
      </c>
      <c r="G35" s="1">
        <f>B35*D35</f>
        <v>1.89893852818129</v>
      </c>
      <c r="H35" s="1">
        <f>($N$2-E35)*TAN($I$6/2/180*PI())*($N$2-E35)</f>
        <v>4.75301521325293</v>
      </c>
      <c r="I35" s="1">
        <f>_xlfn.IFS((D35+E35)&lt;S$2,0,AND(E35&lt;S$2,(D35+E35)&lt;N$2),H35-F35,AND(E35&lt;S$2,(D35+E35)&gt;=N$2),G35-F35,AND(E35&lt;N$2,(D35+E35)&lt;N$2),G35,AND(E35&lt;N$2,(D35+E35)&gt;=N$2),H35,E35&gt;=7,0)</f>
        <v>4.22189036573542</v>
      </c>
      <c r="K35" s="2"/>
      <c r="P35" s="12"/>
      <c r="Q35" s="2"/>
    </row>
    <row r="36" hidden="1" spans="1:17">
      <c r="A36" s="1" t="s">
        <v>79</v>
      </c>
      <c r="B36" s="2">
        <f t="shared" si="5"/>
        <v>0.9</v>
      </c>
      <c r="C36" s="1" t="s">
        <v>52</v>
      </c>
      <c r="D36" s="1" t="s">
        <v>53</v>
      </c>
      <c r="E36" s="1" t="s">
        <v>54</v>
      </c>
      <c r="F36" s="1" t="s">
        <v>55</v>
      </c>
      <c r="G36" s="1" t="s">
        <v>56</v>
      </c>
      <c r="H36" s="1" t="s">
        <v>57</v>
      </c>
      <c r="I36" s="1" t="s">
        <v>60</v>
      </c>
      <c r="K36" s="2"/>
      <c r="P36" s="12"/>
      <c r="Q36" s="2"/>
    </row>
    <row r="37" hidden="1" spans="1:17">
      <c r="A37" s="1" t="s">
        <v>79</v>
      </c>
      <c r="B37" s="12">
        <f t="shared" si="5"/>
        <v>0.5</v>
      </c>
      <c r="C37" s="1">
        <f>(2*B35^2/(1-COS($I$7/180*PI())))^0.5</f>
        <v>0.821339815852291</v>
      </c>
      <c r="D37" s="1">
        <f>COS($I$7/2/180*PI())*C37</f>
        <v>0.651612686420603</v>
      </c>
      <c r="E37" s="1">
        <f>2*D37*$I$5/C37</f>
        <v>0.793353340291235</v>
      </c>
      <c r="F37" s="13">
        <f>($S$2-E37)*TAN($I$6/2/180*PI())*($S$2-E37)</f>
        <v>0.641054121623861</v>
      </c>
      <c r="G37" s="1">
        <f>B35*D37</f>
        <v>0.325806343210301</v>
      </c>
      <c r="H37" s="1">
        <f>($N$2-E37)*TAN($I$6/2/180*PI())*($N$2-E37)</f>
        <v>5.07157843537054</v>
      </c>
      <c r="I37" s="1">
        <f>_xlfn.IFS((D37+E37)&lt;S$2,0,AND(E37&lt;S$2,(D37+E37)&lt;N$2),H37-F37,AND(E37&lt;S$2,(D37+E37)&gt;=N$2),G37-F37,AND(E37&lt;N$2,(D37+E37)&lt;N$2),G37,AND(E37&lt;N$2,(D37+E37)&gt;=N$2),H37,E37&gt;=7,0)</f>
        <v>0</v>
      </c>
      <c r="K37" s="2"/>
      <c r="P37" s="12"/>
      <c r="Q37" s="2"/>
    </row>
    <row r="38" hidden="1" spans="2:17">
      <c r="B38" s="2"/>
      <c r="C38" s="1" t="s">
        <v>52</v>
      </c>
      <c r="D38" s="1" t="s">
        <v>53</v>
      </c>
      <c r="E38" s="1" t="s">
        <v>54</v>
      </c>
      <c r="F38" s="1" t="s">
        <v>55</v>
      </c>
      <c r="G38" s="1" t="s">
        <v>56</v>
      </c>
      <c r="H38" s="1" t="s">
        <v>57</v>
      </c>
      <c r="I38" s="1" t="s">
        <v>64</v>
      </c>
      <c r="K38" s="2"/>
      <c r="P38" s="12"/>
      <c r="Q38" s="2"/>
    </row>
    <row r="39" hidden="1" spans="2:17">
      <c r="B39" s="2"/>
      <c r="C39" s="1">
        <f>(2*B35^2/(1-COS($I$8/180*PI())))^0.5</f>
        <v>0.707106781186548</v>
      </c>
      <c r="D39" s="1">
        <f>COS($I$8/2/180*PI())*C39</f>
        <v>0.5</v>
      </c>
      <c r="E39" s="1">
        <f>2*D39*$I$5/C39</f>
        <v>0.707106781186548</v>
      </c>
      <c r="F39" s="13">
        <f>($S$2-E39)*TAN($I$8/2/180*PI())*($S$2-E39)</f>
        <v>5.25735931288071</v>
      </c>
      <c r="G39" s="1">
        <f>B35*D39</f>
        <v>0.25</v>
      </c>
      <c r="H39" s="1">
        <f>($N$2-E39)*TAN($I$8/2/180*PI())*($N$2-E39)</f>
        <v>39.6005050633883</v>
      </c>
      <c r="I39" s="1">
        <f>_xlfn.IFS((D39+E39)&lt;S$2,0,AND(E39&lt;S$2,(D39+E39)&lt;N$2),H39-F39,AND(E39&lt;S$2,(D39+E39)&gt;=N$2),G39-F39,AND(E39&lt;N$2,(D39+E39)&lt;N$2),G39,AND(E39&lt;N$2,(D39+E39)&gt;=N$2),H39,E39&gt;=7,0)</f>
        <v>0</v>
      </c>
      <c r="K39" s="2"/>
      <c r="P39" s="12"/>
      <c r="Q39" s="2"/>
    </row>
    <row r="40" hidden="1" spans="2:17">
      <c r="B40" s="2"/>
      <c r="C40" s="1" t="s">
        <v>67</v>
      </c>
      <c r="D40" s="1" t="s">
        <v>68</v>
      </c>
      <c r="E40" s="1" t="s">
        <v>69</v>
      </c>
      <c r="F40" s="17" t="s">
        <v>80</v>
      </c>
      <c r="G40" s="5" t="s">
        <v>81</v>
      </c>
      <c r="K40" s="2"/>
      <c r="P40" s="12"/>
      <c r="Q40" s="2"/>
    </row>
    <row r="41" hidden="1" spans="3:17">
      <c r="C41" s="1">
        <f>($I$5+B35*2)*($N$2-$S$2)</f>
        <v>6</v>
      </c>
      <c r="D41" s="1">
        <f>PI()*($N$5^2-$S$2^2)</f>
        <v>172.787595947439</v>
      </c>
      <c r="E41" s="11">
        <f>C41/D41</f>
        <v>0.0347247148564135</v>
      </c>
      <c r="F41" s="18">
        <f>SUM(I35,I37,I39,C41*6)/D41</f>
        <v>0.232782278989348</v>
      </c>
      <c r="G41" s="17">
        <f>9*F41</f>
        <v>2.09504051090413</v>
      </c>
      <c r="K41" s="2"/>
      <c r="P41" s="12"/>
      <c r="Q41" s="2"/>
    </row>
    <row r="42" hidden="1" spans="3:18">
      <c r="C42" s="1" t="s">
        <v>52</v>
      </c>
      <c r="D42" s="1" t="s">
        <v>53</v>
      </c>
      <c r="E42" s="1" t="s">
        <v>54</v>
      </c>
      <c r="F42" s="1" t="s">
        <v>55</v>
      </c>
      <c r="G42" s="1" t="s">
        <v>56</v>
      </c>
      <c r="H42" s="1" t="s">
        <v>57</v>
      </c>
      <c r="I42" s="1" t="s">
        <v>58</v>
      </c>
      <c r="M42" s="1"/>
      <c r="Q42" s="2"/>
      <c r="R42" s="2"/>
    </row>
    <row r="43" hidden="1" spans="3:17">
      <c r="C43" s="1">
        <f>(2*B36^2/(1-COS($I$6/180*PI())))^0.5</f>
        <v>6.89516781798635</v>
      </c>
      <c r="D43" s="1">
        <f>COS($I$6/2/180*PI())*C43</f>
        <v>6.83617870145264</v>
      </c>
      <c r="E43" s="1">
        <f>2*D43*$I$5/C43</f>
        <v>0.99144486137381</v>
      </c>
      <c r="F43" s="13">
        <f>($S$2-E43)*TAN($I$6/2/180*PI())*($S$2-E43)</f>
        <v>0.531124847517513</v>
      </c>
      <c r="G43" s="1">
        <f>B36*D43</f>
        <v>6.15256083130737</v>
      </c>
      <c r="H43" s="1">
        <f>($N$2-E43)*TAN($I$6/2/180*PI())*($N$2-E43)</f>
        <v>4.75301521325293</v>
      </c>
      <c r="I43" s="1">
        <f>_xlfn.IFS((D43+E43)&lt;S$2,0,AND(E43&lt;S$2,(D43+E43)&lt;N$2),H43-F43,AND(E43&lt;S$2,(D43+E43)&gt;=N$2),G43-F43,AND(E43&lt;N$2,(D43+E43)&lt;N$2),G43,AND(E43&lt;N$2,(D43+E43)&gt;=N$2),H43,E43&gt;=7,0)</f>
        <v>5.62143598378986</v>
      </c>
      <c r="M43" s="1"/>
      <c r="N43" s="1"/>
      <c r="O43" s="1"/>
      <c r="Q43" s="2"/>
    </row>
    <row r="44" hidden="1" spans="3:17">
      <c r="C44" s="1" t="s">
        <v>52</v>
      </c>
      <c r="D44" s="1" t="s">
        <v>53</v>
      </c>
      <c r="E44" s="1" t="s">
        <v>54</v>
      </c>
      <c r="F44" s="1" t="s">
        <v>55</v>
      </c>
      <c r="G44" s="1" t="s">
        <v>56</v>
      </c>
      <c r="H44" s="1" t="s">
        <v>57</v>
      </c>
      <c r="I44" s="1" t="s">
        <v>60</v>
      </c>
      <c r="M44" s="1"/>
      <c r="N44" s="1"/>
      <c r="O44" s="1"/>
      <c r="Q44" s="2"/>
    </row>
    <row r="45" hidden="1" spans="3:17">
      <c r="C45" s="1">
        <f>(2*B36^2/(1-COS($I$7/180*PI())))^0.5</f>
        <v>1.47841166853412</v>
      </c>
      <c r="D45" s="1">
        <f>COS($I$7/2/180*PI())*C45</f>
        <v>1.17290283555709</v>
      </c>
      <c r="E45" s="1">
        <f>2*D45*$I$5/C45</f>
        <v>0.793353340291235</v>
      </c>
      <c r="F45" s="13">
        <f>($S$2-E45)*TAN($I$6/2/180*PI())*($S$2-E45)</f>
        <v>0.641054121623861</v>
      </c>
      <c r="G45" s="1">
        <f>B36*D45</f>
        <v>1.05561255200138</v>
      </c>
      <c r="H45" s="1">
        <f>($N$2-E45)*TAN($I$6/2/180*PI())*($N$2-E45)</f>
        <v>5.07157843537054</v>
      </c>
      <c r="I45" s="1">
        <f>_xlfn.IFS((D45+E45)&lt;S$2,0,AND(E45&lt;S$2,(D45+E45)&lt;N$2),H45-F45,AND(E45&lt;S$2,(D45+E45)&gt;=N$2),G45-F45,AND(E45&lt;N$2,(D45+E45)&lt;N$2),G45,AND(E45&lt;N$2,(D45+E45)&gt;=N$2),H45,E45&gt;=7,0)</f>
        <v>0</v>
      </c>
      <c r="M45" s="1"/>
      <c r="N45" s="1"/>
      <c r="O45" s="1"/>
      <c r="Q45" s="2"/>
    </row>
    <row r="46" hidden="1" spans="3:17">
      <c r="C46" s="1" t="s">
        <v>52</v>
      </c>
      <c r="D46" s="1" t="s">
        <v>53</v>
      </c>
      <c r="E46" s="1" t="s">
        <v>54</v>
      </c>
      <c r="F46" s="1" t="s">
        <v>55</v>
      </c>
      <c r="G46" s="1" t="s">
        <v>56</v>
      </c>
      <c r="H46" s="1" t="s">
        <v>57</v>
      </c>
      <c r="I46" s="1" t="s">
        <v>64</v>
      </c>
      <c r="M46" s="1"/>
      <c r="N46" s="1"/>
      <c r="O46" s="1"/>
      <c r="Q46" s="2"/>
    </row>
    <row r="47" hidden="1" spans="3:17">
      <c r="C47" s="1">
        <f>(2*B36^2/(1-COS($I$8/180*PI())))^0.5</f>
        <v>1.27279220613579</v>
      </c>
      <c r="D47" s="1">
        <f>COS($I$8/2/180*PI())*C47</f>
        <v>0.9</v>
      </c>
      <c r="E47" s="1">
        <f>2*D47*$I$5/C47</f>
        <v>0.707106781186548</v>
      </c>
      <c r="F47" s="13">
        <f>($S$2-E47)*TAN($I$8/2/180*PI())*($S$2-E47)</f>
        <v>5.25735931288071</v>
      </c>
      <c r="G47" s="1">
        <f>B36*D47</f>
        <v>0.81</v>
      </c>
      <c r="H47" s="1">
        <f>($N$2-E47)*TAN($I$8/2/180*PI())*($N$2-E47)</f>
        <v>39.6005050633883</v>
      </c>
      <c r="I47" s="1">
        <f>_xlfn.IFS((D47+E47)&lt;S$2,0,AND(E47&lt;S$2,(D47+E47)&lt;N$2),H47-F47,AND(E47&lt;S$2,(D47+E47)&gt;=N$2),G47-F47,AND(E47&lt;N$2,(D47+E47)&lt;N$2),G47,AND(E47&lt;N$2,(D47+E47)&gt;=N$2),H47,E47&gt;=7,0)</f>
        <v>0</v>
      </c>
      <c r="M47" s="1"/>
      <c r="N47" s="1"/>
      <c r="O47" s="1"/>
      <c r="Q47" s="2"/>
    </row>
    <row r="48" hidden="1" spans="3:16">
      <c r="C48" s="1" t="s">
        <v>67</v>
      </c>
      <c r="D48" s="1" t="s">
        <v>68</v>
      </c>
      <c r="E48" s="1" t="s">
        <v>69</v>
      </c>
      <c r="F48" s="14" t="s">
        <v>80</v>
      </c>
      <c r="G48" s="15" t="s">
        <v>82</v>
      </c>
      <c r="H48" s="2" t="s">
        <v>47</v>
      </c>
      <c r="I48" s="2" t="s">
        <v>72</v>
      </c>
      <c r="M48" s="1"/>
      <c r="N48" s="1"/>
      <c r="O48" s="1"/>
      <c r="P48" s="1"/>
    </row>
    <row r="49" hidden="1" spans="3:18">
      <c r="C49" s="1">
        <f>($I$5+B36*2)*($N$2-$S$2)</f>
        <v>9.2</v>
      </c>
      <c r="D49" s="1">
        <f>PI()*($N$5^2-$S$2^2)</f>
        <v>172.787595947439</v>
      </c>
      <c r="E49" s="11">
        <f>C49/D49</f>
        <v>0.0532445627798341</v>
      </c>
      <c r="F49" s="16">
        <f>SUM(I43,I45,I47,C49*6)/D49</f>
        <v>0.352001170282452</v>
      </c>
      <c r="G49" s="16">
        <f>E49*3</f>
        <v>0.159733688339502</v>
      </c>
      <c r="H49" s="2">
        <v>6</v>
      </c>
      <c r="I49" s="13">
        <f>(1-(1-E49)^((1+B37)*0.5))*3</f>
        <v>0.120615843356463</v>
      </c>
      <c r="M49" s="1"/>
      <c r="N49" s="26"/>
      <c r="O49" s="26"/>
      <c r="P49" s="26"/>
      <c r="Q49" s="26"/>
      <c r="R49" s="26"/>
    </row>
    <row r="50" hidden="1" spans="11:18">
      <c r="K50" s="1">
        <f>K56/K65</f>
        <v>0.557407407407407</v>
      </c>
      <c r="L50" s="2">
        <f>L56/L65</f>
        <v>0.798057465388839</v>
      </c>
      <c r="M50" s="1"/>
      <c r="Q50" s="2"/>
      <c r="R50" s="2"/>
    </row>
    <row r="51" hidden="1" spans="1:18">
      <c r="A51" s="1" t="s">
        <v>83</v>
      </c>
      <c r="B51" s="1" t="s">
        <v>84</v>
      </c>
      <c r="C51" s="1" t="s">
        <v>85</v>
      </c>
      <c r="D51" s="1" t="s">
        <v>86</v>
      </c>
      <c r="E51" s="1" t="s">
        <v>87</v>
      </c>
      <c r="F51" s="2" t="s">
        <v>88</v>
      </c>
      <c r="G51" s="2" t="s">
        <v>89</v>
      </c>
      <c r="H51" s="1" t="s">
        <v>90</v>
      </c>
      <c r="I51" s="1" t="s">
        <v>91</v>
      </c>
      <c r="J51" s="1" t="s">
        <v>92</v>
      </c>
      <c r="K51" s="1" t="s">
        <v>93</v>
      </c>
      <c r="L51" s="1" t="s">
        <v>94</v>
      </c>
      <c r="M51" s="1"/>
      <c r="Q51" s="2"/>
      <c r="R51" s="2"/>
    </row>
    <row r="52" hidden="1" spans="1:17">
      <c r="A52" s="1" t="s">
        <v>95</v>
      </c>
      <c r="B52" s="1">
        <v>3</v>
      </c>
      <c r="C52" s="1">
        <v>13</v>
      </c>
      <c r="D52" s="1">
        <f>B52*F52/$M$4*(ROUNDDOWN($Q$4/$M$4,0)/(ROUNDDOWN($Q$4/$M$4,0)+1))</f>
        <v>0</v>
      </c>
      <c r="E52" s="1">
        <f>C52*G52/$M$4*(1/(ROUNDDOWN($Q$4/$M$4,0)+1))</f>
        <v>0</v>
      </c>
      <c r="F52" s="19">
        <v>0</v>
      </c>
      <c r="G52" s="19">
        <v>0</v>
      </c>
      <c r="H52" s="20">
        <f t="shared" ref="H52:H66" si="6">E52+D52</f>
        <v>0</v>
      </c>
      <c r="I52" s="1">
        <v>1</v>
      </c>
      <c r="J52" s="1">
        <f t="shared" ref="J52:J66" si="7">H52*$U$21*I52</f>
        <v>0</v>
      </c>
      <c r="K52" s="1">
        <f t="shared" ref="K52:K66" si="8">H52*$E$13*$B$12/20</f>
        <v>0</v>
      </c>
      <c r="L52" s="1">
        <f t="shared" ref="L52:L66" si="9">MIN(H52*$E$29*12/20*(1+$B$29)^$F$27,6*(1+$B$29)^4/20/4)</f>
        <v>0</v>
      </c>
      <c r="M52" s="1"/>
      <c r="N52" s="1"/>
      <c r="O52" s="1"/>
      <c r="Q52" s="2"/>
    </row>
    <row r="53" hidden="1" spans="1:17">
      <c r="A53" s="21" t="s">
        <v>96</v>
      </c>
      <c r="B53" s="1">
        <v>3</v>
      </c>
      <c r="C53" s="1">
        <v>13</v>
      </c>
      <c r="D53" s="1">
        <f>B53*F53/$M$4*(ROUNDDOWN($Q$4/$M$4,0)/(ROUNDDOWN($Q$4/$M$4,0)+1))</f>
        <v>0.381818181818182</v>
      </c>
      <c r="E53" s="1">
        <f>C53*G53/$M$4*(1/(ROUNDDOWN($Q$4/$M$4,0)+1))</f>
        <v>0</v>
      </c>
      <c r="F53" s="19">
        <v>0.21</v>
      </c>
      <c r="G53" s="19">
        <v>0</v>
      </c>
      <c r="H53" s="20">
        <f t="shared" si="6"/>
        <v>0.381818181818182</v>
      </c>
      <c r="I53" s="1">
        <f t="shared" ref="I53:I66" si="10">$I$52</f>
        <v>1</v>
      </c>
      <c r="J53" s="1">
        <f t="shared" si="7"/>
        <v>3.88416</v>
      </c>
      <c r="K53" s="1">
        <f t="shared" si="8"/>
        <v>0.445352727272727</v>
      </c>
      <c r="L53" s="1">
        <f t="shared" si="9"/>
        <v>0.211404030620808</v>
      </c>
      <c r="M53" s="1"/>
      <c r="N53" s="1"/>
      <c r="O53" s="1"/>
      <c r="Q53" s="2"/>
    </row>
    <row r="54" hidden="1" spans="1:17">
      <c r="A54" s="1" t="s">
        <v>97</v>
      </c>
      <c r="B54" s="1">
        <v>3</v>
      </c>
      <c r="C54" s="1">
        <v>13</v>
      </c>
      <c r="D54" s="1">
        <f>B54*F54/$M$4*(ROUNDDOWN($Q$4/$M$4,0)/(ROUNDDOWN($Q$4/$M$4,0)+1))</f>
        <v>0.381818181818182</v>
      </c>
      <c r="E54" s="1">
        <f>C54*G54/$M$4*(1/(ROUNDDOWN($Q$4/$M$4,0)+1))</f>
        <v>0</v>
      </c>
      <c r="F54" s="19">
        <v>0.21</v>
      </c>
      <c r="G54" s="19">
        <v>0</v>
      </c>
      <c r="H54" s="20">
        <f t="shared" si="6"/>
        <v>0.381818181818182</v>
      </c>
      <c r="I54" s="1">
        <f t="shared" si="10"/>
        <v>1</v>
      </c>
      <c r="J54" s="1">
        <f t="shared" si="7"/>
        <v>3.88416</v>
      </c>
      <c r="K54" s="1">
        <f t="shared" si="8"/>
        <v>0.445352727272727</v>
      </c>
      <c r="L54" s="1">
        <f t="shared" si="9"/>
        <v>0.211404030620808</v>
      </c>
      <c r="M54" s="1"/>
      <c r="N54" s="1"/>
      <c r="O54" s="1"/>
      <c r="Q54" s="2"/>
    </row>
    <row r="55" hidden="1" spans="1:18">
      <c r="A55" s="21" t="s">
        <v>98</v>
      </c>
      <c r="B55" s="1">
        <v>3</v>
      </c>
      <c r="C55" s="1">
        <v>13</v>
      </c>
      <c r="D55" s="1">
        <f>B55*F55/$M$4*(ROUNDDOWN($Q$4/$M$4,0)/(ROUNDDOWN($Q$4/$M$4,0)+1))</f>
        <v>0.381818181818182</v>
      </c>
      <c r="E55" s="1">
        <f>C55*G55/$M$4*(1/(ROUNDDOWN($Q$4/$M$4,0)+1))</f>
        <v>0.165454545454545</v>
      </c>
      <c r="F55" s="19">
        <v>0.21</v>
      </c>
      <c r="G55" s="19">
        <v>0.21</v>
      </c>
      <c r="H55" s="20">
        <f t="shared" si="6"/>
        <v>0.547272727272727</v>
      </c>
      <c r="I55" s="1">
        <f t="shared" si="10"/>
        <v>1</v>
      </c>
      <c r="J55" s="1">
        <f t="shared" si="7"/>
        <v>5.567296</v>
      </c>
      <c r="K55" s="1">
        <f t="shared" si="8"/>
        <v>0.638338909090909</v>
      </c>
      <c r="L55" s="1">
        <f t="shared" si="9"/>
        <v>0.303012443889825</v>
      </c>
      <c r="M55" s="1"/>
      <c r="Q55" s="2"/>
      <c r="R55" s="2"/>
    </row>
    <row r="56" hidden="1" spans="1:22">
      <c r="A56" s="1" t="s">
        <v>150</v>
      </c>
      <c r="B56" s="1">
        <v>3</v>
      </c>
      <c r="C56" s="1">
        <v>13</v>
      </c>
      <c r="D56" s="1">
        <f>B56*F56/$M$4*(ROUNDDOWN($Q$4/$M$4,0)/(ROUNDDOWN($Q$4/$M$4,0)+1))</f>
        <v>0.381818181818182</v>
      </c>
      <c r="E56" s="1">
        <f>C56*G56/$M$4*(1/(ROUNDDOWN($Q$4/$M$4,0)+1))</f>
        <v>0.165454545454545</v>
      </c>
      <c r="F56" s="19">
        <v>0.21</v>
      </c>
      <c r="G56" s="19">
        <v>0.21</v>
      </c>
      <c r="H56" s="20">
        <f t="shared" si="6"/>
        <v>0.547272727272727</v>
      </c>
      <c r="I56" s="1">
        <f t="shared" si="10"/>
        <v>1</v>
      </c>
      <c r="J56" s="1">
        <f t="shared" si="7"/>
        <v>5.567296</v>
      </c>
      <c r="K56" s="1">
        <f t="shared" si="8"/>
        <v>0.638338909090909</v>
      </c>
      <c r="L56" s="1">
        <f t="shared" si="9"/>
        <v>0.303012443889825</v>
      </c>
      <c r="O56" s="1"/>
      <c r="Q56" s="2"/>
      <c r="R56" s="2"/>
      <c r="S56" s="2"/>
      <c r="T56" s="2"/>
      <c r="U56" s="2"/>
      <c r="V56" s="2"/>
    </row>
    <row r="57" hidden="1" spans="1:20">
      <c r="A57" s="1" t="s">
        <v>151</v>
      </c>
      <c r="B57" s="1">
        <v>3</v>
      </c>
      <c r="C57" s="1">
        <v>13</v>
      </c>
      <c r="D57" s="1">
        <f>B57*F57/$M$4*(ROUNDDOWN($Q$4/$M$4,0)/(ROUNDDOWN($Q$4/$M$4,0)+1))</f>
        <v>0.381818181818182</v>
      </c>
      <c r="E57" s="1">
        <f>C57*G57/$M$4*(1/(ROUNDDOWN($Q$4/$M$4,0)+1))</f>
        <v>0.165454545454545</v>
      </c>
      <c r="F57" s="19">
        <v>0.21</v>
      </c>
      <c r="G57" s="19">
        <v>0.21</v>
      </c>
      <c r="H57" s="20">
        <f t="shared" si="6"/>
        <v>0.547272727272727</v>
      </c>
      <c r="I57" s="1">
        <f t="shared" si="10"/>
        <v>1</v>
      </c>
      <c r="J57" s="1">
        <f t="shared" si="7"/>
        <v>5.567296</v>
      </c>
      <c r="K57" s="1">
        <f t="shared" si="8"/>
        <v>0.638338909090909</v>
      </c>
      <c r="L57" s="1">
        <f t="shared" si="9"/>
        <v>0.303012443889825</v>
      </c>
      <c r="O57" s="1"/>
      <c r="Q57" s="2"/>
      <c r="R57" s="2"/>
      <c r="S57" s="2"/>
      <c r="T57" s="2"/>
    </row>
    <row r="58" hidden="1" spans="1:20">
      <c r="A58" s="21" t="s">
        <v>99</v>
      </c>
      <c r="B58" s="1">
        <v>3</v>
      </c>
      <c r="C58" s="1">
        <v>26</v>
      </c>
      <c r="D58" s="1">
        <f>B58*F58/$M$4*(ROUNDDOWN($Q$4/$M$4,0)/(ROUNDDOWN($Q$4/$M$4,0)+1))</f>
        <v>0.381818181818182</v>
      </c>
      <c r="E58" s="1">
        <f>C58*G58/$M$4*(1/(ROUNDDOWN($Q$4/$M$4,0)+1))</f>
        <v>0.330909090909091</v>
      </c>
      <c r="F58" s="19">
        <v>0.21</v>
      </c>
      <c r="G58" s="19">
        <v>0.21</v>
      </c>
      <c r="H58" s="20">
        <f t="shared" si="6"/>
        <v>0.712727272727273</v>
      </c>
      <c r="I58" s="1">
        <f t="shared" si="10"/>
        <v>1</v>
      </c>
      <c r="J58" s="1">
        <f t="shared" si="7"/>
        <v>7.250432</v>
      </c>
      <c r="K58" s="1">
        <f t="shared" si="8"/>
        <v>0.831325090909091</v>
      </c>
      <c r="L58" s="1">
        <f t="shared" si="9"/>
        <v>0.3796875</v>
      </c>
      <c r="O58" s="1"/>
      <c r="Q58" s="2"/>
      <c r="R58" s="2"/>
      <c r="S58" s="2"/>
      <c r="T58" s="2"/>
    </row>
    <row r="59" hidden="1" spans="1:20">
      <c r="A59" s="21" t="s">
        <v>152</v>
      </c>
      <c r="B59" s="1">
        <v>3</v>
      </c>
      <c r="C59" s="1">
        <v>26</v>
      </c>
      <c r="D59" s="1">
        <f>B59*F59/$M$4*(ROUNDDOWN($Q$4/$M$4,0)/(ROUNDDOWN($Q$4/$M$4,0)+1))</f>
        <v>0.490909090909091</v>
      </c>
      <c r="E59" s="1">
        <f>C59*G59/$M$4*(1/(ROUNDDOWN($Q$4/$M$4,0)+1))</f>
        <v>0.425454545454546</v>
      </c>
      <c r="F59" s="19">
        <v>0.27</v>
      </c>
      <c r="G59" s="19">
        <v>0.27</v>
      </c>
      <c r="H59" s="20">
        <f t="shared" si="6"/>
        <v>0.916363636363636</v>
      </c>
      <c r="I59" s="1">
        <f t="shared" si="10"/>
        <v>1</v>
      </c>
      <c r="J59" s="1">
        <f t="shared" si="7"/>
        <v>9.321984</v>
      </c>
      <c r="K59" s="1">
        <f t="shared" si="8"/>
        <v>1.06884654545455</v>
      </c>
      <c r="L59" s="1">
        <f t="shared" si="9"/>
        <v>0.3796875</v>
      </c>
      <c r="O59" s="1"/>
      <c r="Q59" s="2"/>
      <c r="R59" s="2"/>
      <c r="S59" s="2"/>
      <c r="T59" s="2"/>
    </row>
    <row r="60" hidden="1" spans="1:20">
      <c r="A60" s="1" t="s">
        <v>153</v>
      </c>
      <c r="B60" s="1">
        <v>3</v>
      </c>
      <c r="C60" s="1">
        <v>26</v>
      </c>
      <c r="D60" s="1">
        <f>B60*F60/$M$4*(ROUNDDOWN($Q$4/$M$4,0)/(ROUNDDOWN($Q$4/$M$4,0)+1))</f>
        <v>0.490909090909091</v>
      </c>
      <c r="E60" s="1">
        <f>C60*G60/$M$4*(1/(ROUNDDOWN($Q$4/$M$4,0)+1))</f>
        <v>0.425454545454546</v>
      </c>
      <c r="F60" s="19">
        <v>0.27</v>
      </c>
      <c r="G60" s="19">
        <v>0.27</v>
      </c>
      <c r="H60" s="20">
        <f t="shared" si="6"/>
        <v>0.916363636363636</v>
      </c>
      <c r="I60" s="1">
        <f t="shared" si="10"/>
        <v>1</v>
      </c>
      <c r="J60" s="1">
        <f t="shared" si="7"/>
        <v>9.321984</v>
      </c>
      <c r="K60" s="1">
        <f t="shared" si="8"/>
        <v>1.06884654545455</v>
      </c>
      <c r="L60" s="1">
        <f t="shared" si="9"/>
        <v>0.3796875</v>
      </c>
      <c r="O60" s="1"/>
      <c r="Q60" s="2"/>
      <c r="R60" s="2"/>
      <c r="S60" s="2"/>
      <c r="T60" s="2"/>
    </row>
    <row r="61" hidden="1" spans="1:20">
      <c r="A61" s="1" t="s">
        <v>154</v>
      </c>
      <c r="B61" s="1">
        <v>3</v>
      </c>
      <c r="C61" s="1">
        <v>30</v>
      </c>
      <c r="D61" s="1">
        <f>B61*F61/$M$4*(ROUNDDOWN($Q$4/$M$4,0)/(ROUNDDOWN($Q$4/$M$4,0)+1))</f>
        <v>0.490909090909091</v>
      </c>
      <c r="E61" s="1">
        <f>C61*G61/$M$4*(1/(ROUNDDOWN($Q$4/$M$4,0)+1))</f>
        <v>0.490909090909091</v>
      </c>
      <c r="F61" s="19">
        <v>0.27</v>
      </c>
      <c r="G61" s="19">
        <v>0.27</v>
      </c>
      <c r="H61" s="20">
        <f t="shared" si="6"/>
        <v>0.981818181818182</v>
      </c>
      <c r="I61" s="1">
        <f t="shared" si="10"/>
        <v>1</v>
      </c>
      <c r="J61" s="1">
        <f t="shared" si="7"/>
        <v>9.98784</v>
      </c>
      <c r="K61" s="1">
        <f t="shared" si="8"/>
        <v>1.14519272727273</v>
      </c>
      <c r="L61" s="1">
        <f t="shared" si="9"/>
        <v>0.3796875</v>
      </c>
      <c r="O61" s="1"/>
      <c r="Q61" s="2"/>
      <c r="R61" s="2"/>
      <c r="S61" s="2"/>
      <c r="T61" s="2"/>
    </row>
    <row r="62" hidden="1" spans="1:20">
      <c r="A62" s="1" t="s">
        <v>100</v>
      </c>
      <c r="B62" s="1">
        <v>3</v>
      </c>
      <c r="C62" s="1">
        <v>30</v>
      </c>
      <c r="D62" s="1">
        <f>B62*F62/$M$4*(ROUNDDOWN($Q$4/$M$4,0)/(ROUNDDOWN($Q$4/$M$4,0)+1))</f>
        <v>0.490909090909091</v>
      </c>
      <c r="E62" s="1">
        <f>C62*G62/$M$4*(1/(ROUNDDOWN($Q$4/$M$4,0)+1))</f>
        <v>0.490909090909091</v>
      </c>
      <c r="F62" s="19">
        <v>0.27</v>
      </c>
      <c r="G62" s="19">
        <v>0.27</v>
      </c>
      <c r="H62" s="20">
        <f t="shared" si="6"/>
        <v>0.981818181818182</v>
      </c>
      <c r="I62" s="1">
        <f t="shared" si="10"/>
        <v>1</v>
      </c>
      <c r="J62" s="1">
        <f t="shared" si="7"/>
        <v>9.98784</v>
      </c>
      <c r="K62" s="1">
        <f t="shared" si="8"/>
        <v>1.14519272727273</v>
      </c>
      <c r="L62" s="1">
        <f t="shared" si="9"/>
        <v>0.3796875</v>
      </c>
      <c r="O62" s="1"/>
      <c r="Q62" s="2"/>
      <c r="R62" s="2"/>
      <c r="S62" s="2"/>
      <c r="T62" s="2"/>
    </row>
    <row r="63" hidden="1" spans="1:20">
      <c r="A63" s="21" t="s">
        <v>155</v>
      </c>
      <c r="B63" s="1">
        <v>3</v>
      </c>
      <c r="C63" s="1">
        <v>30</v>
      </c>
      <c r="D63" s="1">
        <f>B63*F63/$M$4*(ROUNDDOWN($Q$4/$M$4,0)/(ROUNDDOWN($Q$4/$M$4,0)+1))</f>
        <v>0.490909090909091</v>
      </c>
      <c r="E63" s="1">
        <f>C63*G63/$M$4*(1/(ROUNDDOWN($Q$4/$M$4,0)+1))</f>
        <v>0.490909090909091</v>
      </c>
      <c r="F63" s="19">
        <v>0.27</v>
      </c>
      <c r="G63" s="19">
        <v>0.27</v>
      </c>
      <c r="H63" s="20">
        <f t="shared" si="6"/>
        <v>0.981818181818182</v>
      </c>
      <c r="I63" s="1">
        <f t="shared" si="10"/>
        <v>1</v>
      </c>
      <c r="J63" s="1">
        <f t="shared" si="7"/>
        <v>9.98784</v>
      </c>
      <c r="K63" s="1">
        <f t="shared" si="8"/>
        <v>1.14519272727273</v>
      </c>
      <c r="L63" s="1">
        <f t="shared" si="9"/>
        <v>0.3796875</v>
      </c>
      <c r="O63" s="1"/>
      <c r="Q63" s="2"/>
      <c r="R63" s="2"/>
      <c r="S63" s="2"/>
      <c r="T63" s="2"/>
    </row>
    <row r="64" hidden="1" spans="1:20">
      <c r="A64" s="1" t="s">
        <v>156</v>
      </c>
      <c r="B64" s="1">
        <v>3</v>
      </c>
      <c r="C64" s="1">
        <v>30</v>
      </c>
      <c r="D64" s="1">
        <f>B64*F64/$M$4*(ROUNDDOWN($Q$4/$M$4,0)/(ROUNDDOWN($Q$4/$M$4,0)+1))</f>
        <v>0.490909090909091</v>
      </c>
      <c r="E64" s="1">
        <f>C64*G64/$M$4*(1/(ROUNDDOWN($Q$4/$M$4,0)+1))</f>
        <v>0.490909090909091</v>
      </c>
      <c r="F64" s="19">
        <v>0.27</v>
      </c>
      <c r="G64" s="19">
        <v>0.27</v>
      </c>
      <c r="H64" s="20">
        <f t="shared" si="6"/>
        <v>0.981818181818182</v>
      </c>
      <c r="I64" s="1">
        <f t="shared" si="10"/>
        <v>1</v>
      </c>
      <c r="J64" s="1">
        <f t="shared" si="7"/>
        <v>9.98784</v>
      </c>
      <c r="K64" s="1">
        <f t="shared" si="8"/>
        <v>1.14519272727273</v>
      </c>
      <c r="L64" s="1">
        <f t="shared" si="9"/>
        <v>0.3796875</v>
      </c>
      <c r="O64" s="1"/>
      <c r="Q64" s="2"/>
      <c r="R64" s="2"/>
      <c r="S64" s="2"/>
      <c r="T64" s="2"/>
    </row>
    <row r="65" hidden="1" spans="1:20">
      <c r="A65" s="1" t="s">
        <v>157</v>
      </c>
      <c r="B65" s="1">
        <v>3</v>
      </c>
      <c r="C65" s="1">
        <v>30</v>
      </c>
      <c r="D65" s="1">
        <f>B65*F65/$M$4*(ROUNDDOWN($Q$4/$M$4,0)/(ROUNDDOWN($Q$4/$M$4,0)+1))</f>
        <v>0.490909090909091</v>
      </c>
      <c r="E65" s="1">
        <f>C65*G65/$M$4*(1/(ROUNDDOWN($Q$4/$M$4,0)+1))</f>
        <v>0.490909090909091</v>
      </c>
      <c r="F65" s="19">
        <v>0.27</v>
      </c>
      <c r="G65" s="19">
        <v>0.27</v>
      </c>
      <c r="H65" s="20">
        <f t="shared" si="6"/>
        <v>0.981818181818182</v>
      </c>
      <c r="I65" s="1">
        <f t="shared" si="10"/>
        <v>1</v>
      </c>
      <c r="J65" s="1">
        <f t="shared" si="7"/>
        <v>9.98784</v>
      </c>
      <c r="K65" s="1">
        <f t="shared" si="8"/>
        <v>1.14519272727273</v>
      </c>
      <c r="L65" s="1">
        <f t="shared" si="9"/>
        <v>0.3796875</v>
      </c>
      <c r="O65" s="1"/>
      <c r="Q65" s="2"/>
      <c r="R65" s="2"/>
      <c r="S65" s="2"/>
      <c r="T65" s="2"/>
    </row>
    <row r="66" hidden="1" spans="1:20">
      <c r="A66" s="1" t="s">
        <v>101</v>
      </c>
      <c r="B66" s="1">
        <v>3</v>
      </c>
      <c r="C66" s="1">
        <v>30</v>
      </c>
      <c r="D66" s="1">
        <f>B66*F66/$M$4*(ROUNDDOWN($Q$4/$M$4,0)/(ROUNDDOWN($Q$4/$M$4,0)+1))</f>
        <v>0.490909090909091</v>
      </c>
      <c r="E66" s="1">
        <f>C66*G66/$M$4*(1/(ROUNDDOWN($Q$4/$M$4,0)+1))</f>
        <v>0.490909090909091</v>
      </c>
      <c r="F66" s="19">
        <v>0.27</v>
      </c>
      <c r="G66" s="19">
        <v>0.27</v>
      </c>
      <c r="H66" s="20">
        <f t="shared" si="6"/>
        <v>0.981818181818182</v>
      </c>
      <c r="I66" s="1">
        <f t="shared" si="10"/>
        <v>1</v>
      </c>
      <c r="J66" s="1">
        <f t="shared" si="7"/>
        <v>9.98784</v>
      </c>
      <c r="K66" s="1">
        <f t="shared" si="8"/>
        <v>1.14519272727273</v>
      </c>
      <c r="L66" s="1">
        <f t="shared" si="9"/>
        <v>0.3796875</v>
      </c>
      <c r="O66" s="1"/>
      <c r="Q66" s="2"/>
      <c r="R66" s="2"/>
      <c r="S66" s="2"/>
      <c r="T66" s="2"/>
    </row>
    <row r="67" spans="12:20">
      <c r="L67" s="2">
        <f>L73/L82</f>
        <v>0.549500084731401</v>
      </c>
      <c r="M67" s="2">
        <f>M73/M83</f>
        <v>0.796728748750478</v>
      </c>
      <c r="O67" s="1"/>
      <c r="Q67" s="2"/>
      <c r="R67" s="2"/>
      <c r="S67" s="2"/>
      <c r="T67" s="2"/>
    </row>
    <row r="68" spans="1:20">
      <c r="A68" s="1" t="s">
        <v>65</v>
      </c>
      <c r="B68" s="1" t="s">
        <v>110</v>
      </c>
      <c r="C68" s="1" t="s">
        <v>85</v>
      </c>
      <c r="D68" s="1" t="s">
        <v>86</v>
      </c>
      <c r="E68" s="1" t="s">
        <v>87</v>
      </c>
      <c r="F68" s="2" t="s">
        <v>88</v>
      </c>
      <c r="G68" s="2" t="s">
        <v>89</v>
      </c>
      <c r="H68" s="1" t="s">
        <v>111</v>
      </c>
      <c r="I68" s="1" t="s">
        <v>112</v>
      </c>
      <c r="J68" s="1" t="s">
        <v>91</v>
      </c>
      <c r="K68" s="1" t="s">
        <v>92</v>
      </c>
      <c r="L68" s="1" t="s">
        <v>93</v>
      </c>
      <c r="M68" s="1" t="s">
        <v>94</v>
      </c>
      <c r="O68" s="1"/>
      <c r="Q68" s="2"/>
      <c r="R68" s="2"/>
      <c r="S68" s="2"/>
      <c r="T68" s="2"/>
    </row>
    <row r="69" spans="1:20">
      <c r="A69" s="1" t="s">
        <v>113</v>
      </c>
      <c r="B69" s="28">
        <v>3</v>
      </c>
      <c r="C69" s="28">
        <v>10</v>
      </c>
      <c r="D69" s="1">
        <f>(B69*F69/$M$3*(ROUNDDOWN($Q$3/$M$3,0)/(ROUNDDOWN($Q$3/$M$3,0)+1)))</f>
        <v>0</v>
      </c>
      <c r="E69" s="1">
        <f>C69*G69/$M$4*(1/(ROUNDDOWN($Q$4/$M$4,0)+1))</f>
        <v>0</v>
      </c>
      <c r="F69" s="29">
        <v>0</v>
      </c>
      <c r="G69" s="29">
        <v>0</v>
      </c>
      <c r="H69" s="1" t="e">
        <f t="shared" ref="H69:H83" si="11">H52/SUM(D69,E69)</f>
        <v>#DIV/0!</v>
      </c>
      <c r="I69" s="1" t="e">
        <f t="shared" ref="I69:I83" si="12">H69/$V$24</f>
        <v>#DIV/0!</v>
      </c>
      <c r="J69" s="1">
        <v>1.25</v>
      </c>
      <c r="K69" s="1">
        <f t="shared" ref="K69:K83" si="13">SUM(D69,E69)*$U$24*J69</f>
        <v>0</v>
      </c>
      <c r="L69" s="31">
        <f t="shared" ref="L69:L83" si="14">SUM(D69,E69)*$E$17*$B$16/20</f>
        <v>0</v>
      </c>
      <c r="M69" s="31">
        <f t="shared" ref="M69:M83" si="15">MIN(SUM(D69:E69)*$E$33*12/20*(1+$B$33)^$F$31,6*(1+$B$33)^4/20/4)</f>
        <v>0</v>
      </c>
      <c r="O69" s="1"/>
      <c r="Q69" s="2"/>
      <c r="R69" s="2"/>
      <c r="S69" s="2"/>
      <c r="T69" s="2"/>
    </row>
    <row r="70" spans="1:20">
      <c r="A70" s="1" t="s">
        <v>114</v>
      </c>
      <c r="B70" s="28">
        <v>3</v>
      </c>
      <c r="C70" s="28">
        <v>10</v>
      </c>
      <c r="D70" s="1">
        <f>(B70*F70/$M$3*(ROUNDDOWN($Q$3/$M$3,0)/(ROUNDDOWN($Q$3/$M$3,0)+1)))</f>
        <v>0.261</v>
      </c>
      <c r="E70" s="1">
        <f>C70*G70/$M$4*(1/(ROUNDDOWN($Q$4/$M$4,0)+1))</f>
        <v>0</v>
      </c>
      <c r="F70" s="29">
        <v>0.232</v>
      </c>
      <c r="G70" s="29">
        <v>0</v>
      </c>
      <c r="H70" s="1">
        <f t="shared" si="11"/>
        <v>1.46290491118077</v>
      </c>
      <c r="I70" s="1">
        <f t="shared" si="12"/>
        <v>1.66025129002407</v>
      </c>
      <c r="J70" s="1">
        <f t="shared" ref="J70:J83" si="16">$J$69</f>
        <v>1.25</v>
      </c>
      <c r="K70" s="1">
        <f t="shared" si="13"/>
        <v>2.92437658634772</v>
      </c>
      <c r="L70" s="31">
        <f t="shared" si="14"/>
        <v>0.229097074605083</v>
      </c>
      <c r="M70" s="31">
        <f t="shared" si="15"/>
        <v>0.160704431364496</v>
      </c>
      <c r="O70" s="1"/>
      <c r="Q70" s="2"/>
      <c r="R70" s="2"/>
      <c r="S70" s="2"/>
      <c r="T70" s="2"/>
    </row>
    <row r="71" spans="1:20">
      <c r="A71" s="1" t="s">
        <v>115</v>
      </c>
      <c r="B71" s="28">
        <v>3</v>
      </c>
      <c r="C71" s="28">
        <v>10</v>
      </c>
      <c r="D71" s="1">
        <f>(B71*F71/$M$3*(ROUNDDOWN($Q$3/$M$3,0)/(ROUNDDOWN($Q$3/$M$3,0)+1)))</f>
        <v>0.261</v>
      </c>
      <c r="E71" s="1">
        <f>C71*G71/$M$4*(1/(ROUNDDOWN($Q$4/$M$4,0)+1))</f>
        <v>0</v>
      </c>
      <c r="F71" s="29">
        <v>0.232</v>
      </c>
      <c r="G71" s="29">
        <v>0</v>
      </c>
      <c r="H71" s="1">
        <f t="shared" si="11"/>
        <v>1.46290491118077</v>
      </c>
      <c r="I71" s="1">
        <f t="shared" si="12"/>
        <v>1.66025129002407</v>
      </c>
      <c r="J71" s="1">
        <f t="shared" si="16"/>
        <v>1.25</v>
      </c>
      <c r="K71" s="1">
        <f t="shared" si="13"/>
        <v>2.92437658634772</v>
      </c>
      <c r="L71" s="31">
        <f t="shared" si="14"/>
        <v>0.229097074605083</v>
      </c>
      <c r="M71" s="31">
        <f t="shared" si="15"/>
        <v>0.160704431364496</v>
      </c>
      <c r="O71" s="1"/>
      <c r="Q71" s="2"/>
      <c r="R71" s="2"/>
      <c r="S71" s="2"/>
      <c r="T71" s="2"/>
    </row>
    <row r="72" spans="1:20">
      <c r="A72" s="1" t="s">
        <v>116</v>
      </c>
      <c r="B72" s="28">
        <v>3</v>
      </c>
      <c r="C72" s="28">
        <v>10</v>
      </c>
      <c r="D72" s="1">
        <f>(B72*F72/$M$3*(ROUNDDOWN($Q$3/$M$3,0)/(ROUNDDOWN($Q$3/$M$3,0)+1)))</f>
        <v>0.261</v>
      </c>
      <c r="E72" s="1">
        <f>C72*G72/$M$4*(1/(ROUNDDOWN($Q$4/$M$4,0)+1))</f>
        <v>0.23030303030303</v>
      </c>
      <c r="F72" s="29">
        <v>0.232</v>
      </c>
      <c r="G72" s="29">
        <v>0.38</v>
      </c>
      <c r="H72" s="1">
        <f t="shared" si="11"/>
        <v>1.11392092765065</v>
      </c>
      <c r="I72" s="1">
        <f t="shared" si="12"/>
        <v>1.26418924632913</v>
      </c>
      <c r="J72" s="1">
        <f t="shared" si="16"/>
        <v>1.25</v>
      </c>
      <c r="K72" s="1">
        <f t="shared" si="13"/>
        <v>5.50480873034432</v>
      </c>
      <c r="L72" s="31">
        <f t="shared" si="14"/>
        <v>0.431249375429259</v>
      </c>
      <c r="M72" s="31">
        <f t="shared" si="15"/>
        <v>0.302507946791197</v>
      </c>
      <c r="O72" s="1"/>
      <c r="Q72" s="2"/>
      <c r="R72" s="2"/>
      <c r="S72" s="2"/>
      <c r="T72" s="2"/>
    </row>
    <row r="73" spans="1:22">
      <c r="A73" s="1" t="s">
        <v>158</v>
      </c>
      <c r="B73" s="28">
        <v>3</v>
      </c>
      <c r="C73" s="28">
        <v>10</v>
      </c>
      <c r="D73" s="1">
        <f>(B73*F73/$M$3*(ROUNDDOWN($Q$3/$M$3,0)/(ROUNDDOWN($Q$3/$M$3,0)+1)))</f>
        <v>0.261</v>
      </c>
      <c r="E73" s="1">
        <f>C73*G73/$M$4*(1/(ROUNDDOWN($Q$4/$M$4,0)+1))</f>
        <v>0.23030303030303</v>
      </c>
      <c r="F73" s="29">
        <v>0.232</v>
      </c>
      <c r="G73" s="29">
        <v>0.38</v>
      </c>
      <c r="H73" s="1">
        <f t="shared" si="11"/>
        <v>1.11392092765065</v>
      </c>
      <c r="I73" s="1">
        <f t="shared" si="12"/>
        <v>1.26418924632913</v>
      </c>
      <c r="J73" s="1">
        <f t="shared" si="16"/>
        <v>1.25</v>
      </c>
      <c r="K73" s="1">
        <f t="shared" si="13"/>
        <v>5.50480873034432</v>
      </c>
      <c r="L73" s="31">
        <f t="shared" si="14"/>
        <v>0.431249375429259</v>
      </c>
      <c r="M73" s="31">
        <f t="shared" si="15"/>
        <v>0.302507946791197</v>
      </c>
      <c r="Q73" s="2"/>
      <c r="R73" s="2"/>
      <c r="S73" s="30"/>
      <c r="T73" s="2"/>
      <c r="V73" s="2"/>
    </row>
    <row r="74" spans="1:22">
      <c r="A74" s="1" t="s">
        <v>159</v>
      </c>
      <c r="B74" s="28">
        <v>3</v>
      </c>
      <c r="C74" s="28">
        <v>10</v>
      </c>
      <c r="D74" s="1">
        <f>(B74*F74/$M$3*(ROUNDDOWN($Q$3/$M$3,0)/(ROUNDDOWN($Q$3/$M$3,0)+1)))</f>
        <v>0.43875</v>
      </c>
      <c r="E74" s="1">
        <f>C74*G74/$M$4*(1/(ROUNDDOWN($Q$4/$M$4,0)+1))</f>
        <v>0.309090909090909</v>
      </c>
      <c r="F74" s="29">
        <v>0.39</v>
      </c>
      <c r="G74" s="29">
        <v>0.51</v>
      </c>
      <c r="H74" s="1">
        <f t="shared" si="11"/>
        <v>0.731803677252697</v>
      </c>
      <c r="I74" s="1">
        <f t="shared" si="12"/>
        <v>0.830524246598153</v>
      </c>
      <c r="J74" s="1">
        <f t="shared" si="16"/>
        <v>1.25</v>
      </c>
      <c r="K74" s="1">
        <f t="shared" si="13"/>
        <v>8.37918944390211</v>
      </c>
      <c r="L74" s="31">
        <f t="shared" si="14"/>
        <v>0.656429749205873</v>
      </c>
      <c r="M74" s="31">
        <f t="shared" si="15"/>
        <v>0.3796875</v>
      </c>
      <c r="O74" s="1"/>
      <c r="Q74" s="2"/>
      <c r="R74" s="2"/>
      <c r="S74" s="2"/>
      <c r="T74" s="2"/>
      <c r="U74" s="2"/>
      <c r="V74" s="2"/>
    </row>
    <row r="75" spans="1:22">
      <c r="A75" s="1" t="s">
        <v>117</v>
      </c>
      <c r="B75" s="28">
        <v>4</v>
      </c>
      <c r="C75" s="28">
        <v>10</v>
      </c>
      <c r="D75" s="1">
        <f>(B75*F75/$M$3*(ROUNDDOWN($Q$3/$M$3,0)/(ROUNDDOWN($Q$3/$M$3,0)+1)))</f>
        <v>0.585</v>
      </c>
      <c r="E75" s="1">
        <f>C75*G75/$M$4*(1/(ROUNDDOWN($Q$4/$M$4,0)+1))</f>
        <v>0.309090909090909</v>
      </c>
      <c r="F75" s="29">
        <v>0.39</v>
      </c>
      <c r="G75" s="29">
        <v>0.51</v>
      </c>
      <c r="H75" s="1">
        <f t="shared" si="11"/>
        <v>0.797153024911032</v>
      </c>
      <c r="I75" s="1">
        <f t="shared" si="12"/>
        <v>0.904689243873616</v>
      </c>
      <c r="J75" s="1">
        <f t="shared" si="16"/>
        <v>1.25</v>
      </c>
      <c r="K75" s="1">
        <f t="shared" si="13"/>
        <v>10.0178487379763</v>
      </c>
      <c r="L75" s="31">
        <f t="shared" si="14"/>
        <v>0.784803109975963</v>
      </c>
      <c r="M75" s="31">
        <f t="shared" si="15"/>
        <v>0.3796875</v>
      </c>
      <c r="O75" s="1"/>
      <c r="Q75" s="2"/>
      <c r="R75" s="2"/>
      <c r="S75" s="2"/>
      <c r="T75" s="2"/>
      <c r="V75" s="2"/>
    </row>
    <row r="76" spans="1:22">
      <c r="A76" s="1" t="s">
        <v>160</v>
      </c>
      <c r="B76" s="28">
        <v>4</v>
      </c>
      <c r="C76" s="28">
        <v>10</v>
      </c>
      <c r="D76" s="1">
        <f>(B76*F76/$M$3*(ROUNDDOWN($Q$3/$M$3,0)/(ROUNDDOWN($Q$3/$M$3,0)+1)))</f>
        <v>0.585</v>
      </c>
      <c r="E76" s="1">
        <f>C76*G76/$M$4*(1/(ROUNDDOWN($Q$4/$M$4,0)+1))</f>
        <v>0.309090909090909</v>
      </c>
      <c r="F76" s="29">
        <v>0.39</v>
      </c>
      <c r="G76" s="29">
        <v>0.51</v>
      </c>
      <c r="H76" s="1">
        <f t="shared" si="11"/>
        <v>1.02491103202847</v>
      </c>
      <c r="I76" s="1">
        <f t="shared" si="12"/>
        <v>1.16317188498036</v>
      </c>
      <c r="J76" s="1">
        <f t="shared" si="16"/>
        <v>1.25</v>
      </c>
      <c r="K76" s="1">
        <f t="shared" si="13"/>
        <v>10.0178487379763</v>
      </c>
      <c r="L76" s="31">
        <f t="shared" si="14"/>
        <v>0.784803109975963</v>
      </c>
      <c r="M76" s="31">
        <f t="shared" si="15"/>
        <v>0.3796875</v>
      </c>
      <c r="O76" s="1"/>
      <c r="Q76" s="2"/>
      <c r="R76" s="2"/>
      <c r="S76" s="2"/>
      <c r="T76" s="2"/>
      <c r="V76" s="2"/>
    </row>
    <row r="77" spans="1:22">
      <c r="A77" s="1" t="s">
        <v>161</v>
      </c>
      <c r="B77" s="28">
        <v>4</v>
      </c>
      <c r="C77" s="28">
        <v>10</v>
      </c>
      <c r="D77" s="1">
        <f>(B77*F77/$M$3*(ROUNDDOWN($Q$3/$M$3,0)/(ROUNDDOWN($Q$3/$M$3,0)+1)))</f>
        <v>0.585</v>
      </c>
      <c r="E77" s="1">
        <f>C77*G77/$M$4*(1/(ROUNDDOWN($Q$4/$M$4,0)+1))</f>
        <v>0.309090909090909</v>
      </c>
      <c r="F77" s="29">
        <v>0.39</v>
      </c>
      <c r="G77" s="29">
        <v>0.51</v>
      </c>
      <c r="H77" s="1">
        <f t="shared" si="11"/>
        <v>1.02491103202847</v>
      </c>
      <c r="I77" s="1">
        <f t="shared" si="12"/>
        <v>1.16317188498036</v>
      </c>
      <c r="J77" s="1">
        <f t="shared" si="16"/>
        <v>1.25</v>
      </c>
      <c r="K77" s="1">
        <f t="shared" si="13"/>
        <v>10.0178487379763</v>
      </c>
      <c r="L77" s="31">
        <f t="shared" si="14"/>
        <v>0.784803109975963</v>
      </c>
      <c r="M77" s="31">
        <f t="shared" si="15"/>
        <v>0.3796875</v>
      </c>
      <c r="O77" s="1"/>
      <c r="Q77" s="2"/>
      <c r="R77" s="2"/>
      <c r="S77" s="2"/>
      <c r="T77" s="2"/>
      <c r="V77" s="2"/>
    </row>
    <row r="78" spans="1:22">
      <c r="A78" s="1" t="s">
        <v>162</v>
      </c>
      <c r="B78" s="28">
        <v>4</v>
      </c>
      <c r="C78" s="28">
        <v>10</v>
      </c>
      <c r="D78" s="1">
        <f>(B78*F78/$M$3*(ROUNDDOWN($Q$3/$M$3,0)/(ROUNDDOWN($Q$3/$M$3,0)+1)))</f>
        <v>0.585</v>
      </c>
      <c r="E78" s="1">
        <f>C78*G78/$M$4*(1/(ROUNDDOWN($Q$4/$M$4,0)+1))</f>
        <v>0.309090909090909</v>
      </c>
      <c r="F78" s="29">
        <v>0.39</v>
      </c>
      <c r="G78" s="29">
        <v>0.51</v>
      </c>
      <c r="H78" s="1">
        <f t="shared" si="11"/>
        <v>1.09811896288765</v>
      </c>
      <c r="I78" s="1">
        <f t="shared" si="12"/>
        <v>1.24625559105039</v>
      </c>
      <c r="J78" s="1">
        <f t="shared" si="16"/>
        <v>1.25</v>
      </c>
      <c r="K78" s="1">
        <f t="shared" si="13"/>
        <v>10.0178487379763</v>
      </c>
      <c r="L78" s="31">
        <f t="shared" si="14"/>
        <v>0.784803109975963</v>
      </c>
      <c r="M78" s="31">
        <f t="shared" si="15"/>
        <v>0.3796875</v>
      </c>
      <c r="O78" s="1"/>
      <c r="Q78" s="2"/>
      <c r="R78" s="2"/>
      <c r="S78" s="2"/>
      <c r="T78" s="2"/>
      <c r="V78" s="2"/>
    </row>
    <row r="79" spans="1:22">
      <c r="A79" s="1" t="s">
        <v>118</v>
      </c>
      <c r="B79" s="28">
        <v>4</v>
      </c>
      <c r="C79" s="28">
        <v>10</v>
      </c>
      <c r="D79" s="1">
        <f>(B79*F79/$M$3*(ROUNDDOWN($Q$3/$M$3,0)/(ROUNDDOWN($Q$3/$M$3,0)+1)))</f>
        <v>0.585</v>
      </c>
      <c r="E79" s="1">
        <f>C79*G79/$M$4*(1/(ROUNDDOWN($Q$4/$M$4,0)+1))</f>
        <v>0.309090909090909</v>
      </c>
      <c r="F79" s="29">
        <v>0.39</v>
      </c>
      <c r="G79" s="29">
        <v>0.51</v>
      </c>
      <c r="H79" s="1">
        <f t="shared" si="11"/>
        <v>1.09811896288765</v>
      </c>
      <c r="I79" s="1">
        <f t="shared" si="12"/>
        <v>1.24625559105039</v>
      </c>
      <c r="J79" s="1">
        <f t="shared" si="16"/>
        <v>1.25</v>
      </c>
      <c r="K79" s="1">
        <f t="shared" si="13"/>
        <v>10.0178487379763</v>
      </c>
      <c r="L79" s="31">
        <f t="shared" si="14"/>
        <v>0.784803109975963</v>
      </c>
      <c r="M79" s="31">
        <f t="shared" si="15"/>
        <v>0.3796875</v>
      </c>
      <c r="O79" s="1"/>
      <c r="Q79" s="2"/>
      <c r="R79" s="2"/>
      <c r="S79" s="2"/>
      <c r="T79" s="2"/>
      <c r="V79" s="2"/>
    </row>
    <row r="80" spans="1:22">
      <c r="A80" s="1" t="s">
        <v>163</v>
      </c>
      <c r="B80" s="28">
        <v>4</v>
      </c>
      <c r="C80" s="28">
        <v>10</v>
      </c>
      <c r="D80" s="1">
        <f>(B80*F80/$M$3*(ROUNDDOWN($Q$3/$M$3,0)/(ROUNDDOWN($Q$3/$M$3,0)+1)))</f>
        <v>0.585</v>
      </c>
      <c r="E80" s="1">
        <f>C80*G80/$M$4*(1/(ROUNDDOWN($Q$4/$M$4,0)+1))</f>
        <v>0.309090909090909</v>
      </c>
      <c r="F80" s="29">
        <v>0.39</v>
      </c>
      <c r="G80" s="29">
        <v>0.51</v>
      </c>
      <c r="H80" s="1">
        <f t="shared" si="11"/>
        <v>1.09811896288765</v>
      </c>
      <c r="I80" s="1">
        <f t="shared" si="12"/>
        <v>1.24625559105039</v>
      </c>
      <c r="J80" s="1">
        <f t="shared" si="16"/>
        <v>1.25</v>
      </c>
      <c r="K80" s="1">
        <f t="shared" si="13"/>
        <v>10.0178487379763</v>
      </c>
      <c r="L80" s="31">
        <f t="shared" si="14"/>
        <v>0.784803109975963</v>
      </c>
      <c r="M80" s="31">
        <f t="shared" si="15"/>
        <v>0.3796875</v>
      </c>
      <c r="O80" s="1"/>
      <c r="Q80" s="2"/>
      <c r="R80" s="2"/>
      <c r="S80" s="2"/>
      <c r="T80" s="2"/>
      <c r="V80" s="2"/>
    </row>
    <row r="81" spans="1:22">
      <c r="A81" s="1" t="s">
        <v>164</v>
      </c>
      <c r="B81" s="28">
        <v>4</v>
      </c>
      <c r="C81" s="28">
        <v>10</v>
      </c>
      <c r="D81" s="1">
        <f>(B81*F81/$M$3*(ROUNDDOWN($Q$3/$M$3,0)/(ROUNDDOWN($Q$3/$M$3,0)+1)))</f>
        <v>0.585</v>
      </c>
      <c r="E81" s="1">
        <f>C81*G81/$M$4*(1/(ROUNDDOWN($Q$4/$M$4,0)+1))</f>
        <v>0.309090909090909</v>
      </c>
      <c r="F81" s="29">
        <v>0.39</v>
      </c>
      <c r="G81" s="29">
        <v>0.51</v>
      </c>
      <c r="H81" s="1">
        <f t="shared" si="11"/>
        <v>1.09811896288765</v>
      </c>
      <c r="I81" s="1">
        <f t="shared" si="12"/>
        <v>1.24625559105039</v>
      </c>
      <c r="J81" s="1">
        <f t="shared" si="16"/>
        <v>1.25</v>
      </c>
      <c r="K81" s="1">
        <f t="shared" si="13"/>
        <v>10.0178487379763</v>
      </c>
      <c r="L81" s="31">
        <f t="shared" si="14"/>
        <v>0.784803109975963</v>
      </c>
      <c r="M81" s="31">
        <f t="shared" si="15"/>
        <v>0.3796875</v>
      </c>
      <c r="O81" s="1"/>
      <c r="Q81" s="2"/>
      <c r="R81" s="2"/>
      <c r="S81" s="2"/>
      <c r="T81" s="2"/>
      <c r="V81" s="2"/>
    </row>
    <row r="82" spans="1:22">
      <c r="A82" s="1" t="s">
        <v>165</v>
      </c>
      <c r="B82" s="28">
        <v>4</v>
      </c>
      <c r="C82" s="28">
        <v>10</v>
      </c>
      <c r="D82" s="1">
        <f>(B82*F82/$M$3*(ROUNDDOWN($Q$3/$M$3,0)/(ROUNDDOWN($Q$3/$M$3,0)+1)))</f>
        <v>0.585</v>
      </c>
      <c r="E82" s="1">
        <f>C82*G82/$M$4*(1/(ROUNDDOWN($Q$4/$M$4,0)+1))</f>
        <v>0.309090909090909</v>
      </c>
      <c r="F82" s="29">
        <v>0.39</v>
      </c>
      <c r="G82" s="29">
        <v>0.51</v>
      </c>
      <c r="H82" s="1">
        <f t="shared" si="11"/>
        <v>1.09811896288765</v>
      </c>
      <c r="I82" s="1">
        <f t="shared" si="12"/>
        <v>1.24625559105039</v>
      </c>
      <c r="J82" s="1">
        <f t="shared" si="16"/>
        <v>1.25</v>
      </c>
      <c r="K82" s="1">
        <f t="shared" si="13"/>
        <v>10.0178487379763</v>
      </c>
      <c r="L82" s="31">
        <f t="shared" si="14"/>
        <v>0.784803109975963</v>
      </c>
      <c r="M82" s="31">
        <f t="shared" si="15"/>
        <v>0.3796875</v>
      </c>
      <c r="O82" s="1"/>
      <c r="Q82" s="2"/>
      <c r="R82" s="2"/>
      <c r="S82" s="2"/>
      <c r="T82" s="2"/>
      <c r="V82" s="2"/>
    </row>
    <row r="83" spans="1:22">
      <c r="A83" s="1" t="s">
        <v>119</v>
      </c>
      <c r="B83" s="28">
        <v>4</v>
      </c>
      <c r="C83" s="28">
        <v>10</v>
      </c>
      <c r="D83" s="1">
        <f>(B83*F83/$M$3*(ROUNDDOWN($Q$3/$M$3,0)/(ROUNDDOWN($Q$3/$M$3,0)+1)))</f>
        <v>0.585</v>
      </c>
      <c r="E83" s="1">
        <f>C83*G83/$M$4*(1/(ROUNDDOWN($Q$4/$M$4,0)+1))</f>
        <v>0.309090909090909</v>
      </c>
      <c r="F83" s="29">
        <v>0.39</v>
      </c>
      <c r="G83" s="29">
        <v>0.51</v>
      </c>
      <c r="H83" s="1">
        <f t="shared" si="11"/>
        <v>1.09811896288765</v>
      </c>
      <c r="I83" s="1">
        <f t="shared" si="12"/>
        <v>1.24625559105039</v>
      </c>
      <c r="J83" s="1">
        <f t="shared" si="16"/>
        <v>1.25</v>
      </c>
      <c r="K83" s="1">
        <f t="shared" si="13"/>
        <v>10.0178487379763</v>
      </c>
      <c r="L83" s="31">
        <f t="shared" si="14"/>
        <v>0.784803109975963</v>
      </c>
      <c r="M83" s="31">
        <f t="shared" si="15"/>
        <v>0.3796875</v>
      </c>
      <c r="O83" s="1"/>
      <c r="Q83" s="2"/>
      <c r="R83" s="2"/>
      <c r="S83" s="2"/>
      <c r="T83" s="2"/>
      <c r="V83" s="2"/>
    </row>
    <row r="84" hidden="1" spans="13:22">
      <c r="M84" s="2">
        <f>M90/M99</f>
        <v>0.5</v>
      </c>
      <c r="N84" s="2">
        <f>N90/N99</f>
        <v>1</v>
      </c>
      <c r="O84" s="1"/>
      <c r="Q84" s="2"/>
      <c r="R84" s="2"/>
      <c r="S84" s="2"/>
      <c r="T84" s="2"/>
      <c r="V84" s="2"/>
    </row>
    <row r="85" hidden="1" spans="1:22">
      <c r="A85" s="1" t="s">
        <v>74</v>
      </c>
      <c r="B85" s="1" t="s">
        <v>84</v>
      </c>
      <c r="C85" s="1" t="s">
        <v>85</v>
      </c>
      <c r="D85" s="1" t="s">
        <v>86</v>
      </c>
      <c r="E85" s="1" t="s">
        <v>87</v>
      </c>
      <c r="F85" s="2" t="s">
        <v>88</v>
      </c>
      <c r="G85" s="2" t="s">
        <v>89</v>
      </c>
      <c r="H85" s="1" t="s">
        <v>90</v>
      </c>
      <c r="I85" s="1" t="s">
        <v>111</v>
      </c>
      <c r="J85" s="1" t="s">
        <v>112</v>
      </c>
      <c r="K85" s="1" t="s">
        <v>91</v>
      </c>
      <c r="L85" s="1" t="s">
        <v>92</v>
      </c>
      <c r="M85" s="1" t="s">
        <v>93</v>
      </c>
      <c r="N85" s="1" t="s">
        <v>94</v>
      </c>
      <c r="O85" s="1"/>
      <c r="Q85" s="2"/>
      <c r="R85" s="2"/>
      <c r="S85" s="2"/>
      <c r="T85" s="2"/>
      <c r="V85" s="2"/>
    </row>
    <row r="86" hidden="1" spans="1:22">
      <c r="A86" s="1" t="s">
        <v>128</v>
      </c>
      <c r="B86" s="1">
        <v>5</v>
      </c>
      <c r="C86" s="1">
        <v>5</v>
      </c>
      <c r="D86" s="1">
        <f t="shared" ref="D86:D100" si="17">B86*F86/$M$6*0.5*3</f>
        <v>0</v>
      </c>
      <c r="E86" s="1">
        <f t="shared" ref="E86:E100" si="18">C86*G86/$M$6*0.5*3</f>
        <v>0</v>
      </c>
      <c r="F86" s="19">
        <v>0</v>
      </c>
      <c r="G86" s="19">
        <v>0</v>
      </c>
      <c r="H86" s="20">
        <f t="shared" ref="H86:H100" si="19">SUM(D86:E86)</f>
        <v>0</v>
      </c>
      <c r="I86" s="1" t="e">
        <f t="shared" ref="I86:I100" si="20">H52/H86</f>
        <v>#DIV/0!</v>
      </c>
      <c r="J86" s="1" t="e">
        <f t="shared" ref="J86:J100" si="21">I86/$V$27</f>
        <v>#DIV/0!</v>
      </c>
      <c r="K86" s="1">
        <v>0.7</v>
      </c>
      <c r="L86" s="1">
        <f t="shared" ref="L86:L100" si="22">H86*$U$27*K86</f>
        <v>0</v>
      </c>
      <c r="M86" s="1">
        <f t="shared" ref="M86:M100" si="23">H86*$I$25*$B$20/20</f>
        <v>0</v>
      </c>
      <c r="N86" s="1">
        <f t="shared" ref="N86:N100" si="24">MIN(H86*$I$49*12/20*(1+$B$37)^$H$49,6*(1+$B$37)^4/20/4)</f>
        <v>0</v>
      </c>
      <c r="O86" s="1"/>
      <c r="Q86" s="2"/>
      <c r="R86" s="2"/>
      <c r="S86" s="2"/>
      <c r="T86" s="2"/>
      <c r="V86" s="2"/>
    </row>
    <row r="87" hidden="1" spans="1:22">
      <c r="A87" s="1" t="s">
        <v>129</v>
      </c>
      <c r="B87" s="1">
        <v>5</v>
      </c>
      <c r="C87" s="1">
        <v>5</v>
      </c>
      <c r="D87" s="1">
        <f t="shared" si="17"/>
        <v>0.227272727272727</v>
      </c>
      <c r="E87" s="1">
        <f t="shared" si="18"/>
        <v>0</v>
      </c>
      <c r="F87" s="19">
        <f t="shared" ref="F87:F92" si="25">1/30</f>
        <v>0.0333333333333333</v>
      </c>
      <c r="G87" s="19">
        <v>0</v>
      </c>
      <c r="H87" s="20">
        <f t="shared" si="19"/>
        <v>0.227272727272727</v>
      </c>
      <c r="I87" s="1">
        <f t="shared" si="20"/>
        <v>1.68</v>
      </c>
      <c r="J87" s="1">
        <f t="shared" si="21"/>
        <v>1.61963117629008</v>
      </c>
      <c r="K87" s="1">
        <f t="shared" ref="K87:K100" si="26">$K$86</f>
        <v>0.7</v>
      </c>
      <c r="L87" s="1">
        <f t="shared" si="22"/>
        <v>1.67872293383975</v>
      </c>
      <c r="M87" s="1">
        <f t="shared" si="23"/>
        <v>0.203948355786314</v>
      </c>
      <c r="N87" s="1">
        <f t="shared" si="24"/>
        <v>0.187348614645302</v>
      </c>
      <c r="O87" s="1"/>
      <c r="Q87" s="2"/>
      <c r="R87" s="2"/>
      <c r="S87" s="2"/>
      <c r="T87" s="2"/>
      <c r="V87" s="2"/>
    </row>
    <row r="88" hidden="1" spans="1:22">
      <c r="A88" s="1" t="s">
        <v>130</v>
      </c>
      <c r="B88" s="1">
        <v>5</v>
      </c>
      <c r="C88" s="1">
        <v>5</v>
      </c>
      <c r="D88" s="1">
        <f t="shared" si="17"/>
        <v>0.227272727272727</v>
      </c>
      <c r="E88" s="1">
        <f t="shared" si="18"/>
        <v>0</v>
      </c>
      <c r="F88" s="19">
        <f t="shared" si="25"/>
        <v>0.0333333333333333</v>
      </c>
      <c r="G88" s="19">
        <v>0</v>
      </c>
      <c r="H88" s="20">
        <f t="shared" si="19"/>
        <v>0.227272727272727</v>
      </c>
      <c r="I88" s="1">
        <f t="shared" si="20"/>
        <v>1.68</v>
      </c>
      <c r="J88" s="1">
        <f t="shared" si="21"/>
        <v>1.61963117629008</v>
      </c>
      <c r="K88" s="1">
        <f t="shared" si="26"/>
        <v>0.7</v>
      </c>
      <c r="L88" s="1">
        <f t="shared" si="22"/>
        <v>1.67872293383975</v>
      </c>
      <c r="M88" s="1">
        <f t="shared" si="23"/>
        <v>0.203948355786314</v>
      </c>
      <c r="N88" s="1">
        <f t="shared" si="24"/>
        <v>0.187348614645302</v>
      </c>
      <c r="O88" s="1"/>
      <c r="Q88" s="2"/>
      <c r="R88" s="2"/>
      <c r="S88" s="2"/>
      <c r="T88" s="2"/>
      <c r="V88" s="2"/>
    </row>
    <row r="89" hidden="1" spans="1:22">
      <c r="A89" s="1" t="s">
        <v>131</v>
      </c>
      <c r="B89" s="1">
        <v>5</v>
      </c>
      <c r="C89" s="1">
        <v>5</v>
      </c>
      <c r="D89" s="1">
        <f t="shared" si="17"/>
        <v>0.227272727272727</v>
      </c>
      <c r="E89" s="1">
        <f t="shared" si="18"/>
        <v>0.454545454545454</v>
      </c>
      <c r="F89" s="19">
        <f t="shared" si="25"/>
        <v>0.0333333333333333</v>
      </c>
      <c r="G89" s="19">
        <f t="shared" ref="G89:G92" si="27">2/30</f>
        <v>0.0666666666666667</v>
      </c>
      <c r="H89" s="20">
        <f t="shared" si="19"/>
        <v>0.681818181818182</v>
      </c>
      <c r="I89" s="1">
        <f t="shared" si="20"/>
        <v>0.802666666666667</v>
      </c>
      <c r="J89" s="1">
        <f t="shared" si="21"/>
        <v>0.773823784227484</v>
      </c>
      <c r="K89" s="1">
        <f t="shared" si="26"/>
        <v>0.7</v>
      </c>
      <c r="L89" s="1">
        <f t="shared" si="22"/>
        <v>5.03616880151924</v>
      </c>
      <c r="M89" s="1">
        <f t="shared" si="23"/>
        <v>0.611845067358941</v>
      </c>
      <c r="N89" s="1">
        <f t="shared" si="24"/>
        <v>0.3796875</v>
      </c>
      <c r="O89" s="1"/>
      <c r="Q89" s="2"/>
      <c r="R89" s="2"/>
      <c r="S89" s="2"/>
      <c r="T89" s="2"/>
      <c r="V89" s="2"/>
    </row>
    <row r="90" hidden="1" spans="1:14">
      <c r="A90" s="1" t="s">
        <v>166</v>
      </c>
      <c r="B90" s="1">
        <v>5</v>
      </c>
      <c r="C90" s="1">
        <v>5</v>
      </c>
      <c r="D90" s="1">
        <f t="shared" si="17"/>
        <v>0.227272727272727</v>
      </c>
      <c r="E90" s="1">
        <f t="shared" si="18"/>
        <v>0.454545454545454</v>
      </c>
      <c r="F90" s="19">
        <f t="shared" si="25"/>
        <v>0.0333333333333333</v>
      </c>
      <c r="G90" s="19">
        <f t="shared" si="27"/>
        <v>0.0666666666666667</v>
      </c>
      <c r="H90" s="20">
        <f t="shared" si="19"/>
        <v>0.681818181818182</v>
      </c>
      <c r="I90" s="1">
        <f t="shared" si="20"/>
        <v>0.802666666666667</v>
      </c>
      <c r="J90" s="1">
        <f t="shared" si="21"/>
        <v>0.773823784227484</v>
      </c>
      <c r="K90" s="1">
        <f t="shared" si="26"/>
        <v>0.7</v>
      </c>
      <c r="L90" s="1">
        <f t="shared" si="22"/>
        <v>5.03616880151924</v>
      </c>
      <c r="M90" s="1">
        <f t="shared" si="23"/>
        <v>0.611845067358941</v>
      </c>
      <c r="N90" s="1">
        <f t="shared" si="24"/>
        <v>0.3796875</v>
      </c>
    </row>
    <row r="91" hidden="1" spans="1:14">
      <c r="A91" s="1" t="s">
        <v>167</v>
      </c>
      <c r="B91" s="1">
        <v>5</v>
      </c>
      <c r="C91" s="1">
        <v>5</v>
      </c>
      <c r="D91" s="1">
        <f t="shared" si="17"/>
        <v>0.227272727272727</v>
      </c>
      <c r="E91" s="1">
        <f t="shared" si="18"/>
        <v>0.454545454545454</v>
      </c>
      <c r="F91" s="19">
        <f t="shared" si="25"/>
        <v>0.0333333333333333</v>
      </c>
      <c r="G91" s="19">
        <f t="shared" si="27"/>
        <v>0.0666666666666667</v>
      </c>
      <c r="H91" s="20">
        <f t="shared" si="19"/>
        <v>0.681818181818182</v>
      </c>
      <c r="I91" s="1">
        <f t="shared" si="20"/>
        <v>0.802666666666667</v>
      </c>
      <c r="J91" s="1">
        <f t="shared" si="21"/>
        <v>0.773823784227484</v>
      </c>
      <c r="K91" s="1">
        <f t="shared" si="26"/>
        <v>0.7</v>
      </c>
      <c r="L91" s="1">
        <f t="shared" si="22"/>
        <v>5.03616880151924</v>
      </c>
      <c r="M91" s="1">
        <f t="shared" si="23"/>
        <v>0.611845067358941</v>
      </c>
      <c r="N91" s="1">
        <f t="shared" si="24"/>
        <v>0.3796875</v>
      </c>
    </row>
    <row r="92" hidden="1" spans="1:18">
      <c r="A92" s="1" t="s">
        <v>132</v>
      </c>
      <c r="B92" s="1">
        <v>5</v>
      </c>
      <c r="C92" s="1">
        <v>5</v>
      </c>
      <c r="D92" s="1">
        <f t="shared" si="17"/>
        <v>0.227272727272727</v>
      </c>
      <c r="E92" s="1">
        <f t="shared" si="18"/>
        <v>0.454545454545454</v>
      </c>
      <c r="F92" s="19">
        <f t="shared" si="25"/>
        <v>0.0333333333333333</v>
      </c>
      <c r="G92" s="19">
        <f t="shared" si="27"/>
        <v>0.0666666666666667</v>
      </c>
      <c r="H92" s="20">
        <f t="shared" si="19"/>
        <v>0.681818181818182</v>
      </c>
      <c r="I92" s="1">
        <f t="shared" si="20"/>
        <v>1.04533333333333</v>
      </c>
      <c r="J92" s="1">
        <f t="shared" si="21"/>
        <v>1.00777050969161</v>
      </c>
      <c r="K92" s="1">
        <f t="shared" si="26"/>
        <v>0.7</v>
      </c>
      <c r="L92" s="1">
        <f t="shared" si="22"/>
        <v>5.03616880151924</v>
      </c>
      <c r="M92" s="1">
        <f t="shared" si="23"/>
        <v>0.611845067358941</v>
      </c>
      <c r="N92" s="1">
        <f t="shared" si="24"/>
        <v>0.3796875</v>
      </c>
      <c r="Q92" s="2"/>
      <c r="R92" s="2"/>
    </row>
    <row r="93" hidden="1" spans="1:18">
      <c r="A93" s="1" t="s">
        <v>168</v>
      </c>
      <c r="B93" s="1">
        <v>5</v>
      </c>
      <c r="C93" s="1">
        <v>5</v>
      </c>
      <c r="D93" s="1">
        <f t="shared" si="17"/>
        <v>0.454545454545454</v>
      </c>
      <c r="E93" s="1">
        <f t="shared" si="18"/>
        <v>0.909090909090909</v>
      </c>
      <c r="F93" s="19">
        <f t="shared" ref="F93:F100" si="28">2/30</f>
        <v>0.0666666666666667</v>
      </c>
      <c r="G93" s="19">
        <f t="shared" ref="G93:G100" si="29">4/30</f>
        <v>0.133333333333333</v>
      </c>
      <c r="H93" s="20">
        <f t="shared" si="19"/>
        <v>1.36363636363636</v>
      </c>
      <c r="I93" s="1">
        <f t="shared" si="20"/>
        <v>0.672</v>
      </c>
      <c r="J93" s="1">
        <f t="shared" si="21"/>
        <v>0.647852470516033</v>
      </c>
      <c r="K93" s="1">
        <f t="shared" si="26"/>
        <v>0.7</v>
      </c>
      <c r="L93" s="1">
        <f t="shared" si="22"/>
        <v>10.0723376030385</v>
      </c>
      <c r="M93" s="1">
        <f t="shared" si="23"/>
        <v>1.22369013471788</v>
      </c>
      <c r="N93" s="1">
        <f t="shared" si="24"/>
        <v>0.3796875</v>
      </c>
      <c r="Q93" s="2"/>
      <c r="R93" s="2"/>
    </row>
    <row r="94" hidden="1" spans="1:18">
      <c r="A94" s="1" t="s">
        <v>169</v>
      </c>
      <c r="B94" s="1">
        <v>5</v>
      </c>
      <c r="C94" s="1">
        <v>5</v>
      </c>
      <c r="D94" s="1">
        <f t="shared" si="17"/>
        <v>0.454545454545454</v>
      </c>
      <c r="E94" s="1">
        <f t="shared" si="18"/>
        <v>0.909090909090909</v>
      </c>
      <c r="F94" s="19">
        <f t="shared" si="28"/>
        <v>0.0666666666666667</v>
      </c>
      <c r="G94" s="19">
        <f t="shared" si="29"/>
        <v>0.133333333333333</v>
      </c>
      <c r="H94" s="20">
        <f t="shared" si="19"/>
        <v>1.36363636363636</v>
      </c>
      <c r="I94" s="1">
        <f t="shared" si="20"/>
        <v>0.672</v>
      </c>
      <c r="J94" s="1">
        <f t="shared" si="21"/>
        <v>0.647852470516033</v>
      </c>
      <c r="K94" s="1">
        <f t="shared" si="26"/>
        <v>0.7</v>
      </c>
      <c r="L94" s="1">
        <f t="shared" si="22"/>
        <v>10.0723376030385</v>
      </c>
      <c r="M94" s="1">
        <f t="shared" si="23"/>
        <v>1.22369013471788</v>
      </c>
      <c r="N94" s="1">
        <f t="shared" si="24"/>
        <v>0.3796875</v>
      </c>
      <c r="Q94" s="2"/>
      <c r="R94" s="2"/>
    </row>
    <row r="95" hidden="1" spans="1:18">
      <c r="A95" s="1" t="s">
        <v>170</v>
      </c>
      <c r="B95" s="1">
        <v>5</v>
      </c>
      <c r="C95" s="1">
        <v>5</v>
      </c>
      <c r="D95" s="1">
        <f t="shared" si="17"/>
        <v>0.454545454545454</v>
      </c>
      <c r="E95" s="1">
        <f t="shared" si="18"/>
        <v>0.909090909090909</v>
      </c>
      <c r="F95" s="19">
        <f t="shared" si="28"/>
        <v>0.0666666666666667</v>
      </c>
      <c r="G95" s="19">
        <f t="shared" si="29"/>
        <v>0.133333333333333</v>
      </c>
      <c r="H95" s="20">
        <f t="shared" si="19"/>
        <v>1.36363636363636</v>
      </c>
      <c r="I95" s="1">
        <f t="shared" si="20"/>
        <v>0.72</v>
      </c>
      <c r="J95" s="1">
        <f t="shared" si="21"/>
        <v>0.694127646981464</v>
      </c>
      <c r="K95" s="1">
        <f t="shared" si="26"/>
        <v>0.7</v>
      </c>
      <c r="L95" s="1">
        <f t="shared" si="22"/>
        <v>10.0723376030385</v>
      </c>
      <c r="M95" s="1">
        <f t="shared" si="23"/>
        <v>1.22369013471788</v>
      </c>
      <c r="N95" s="1">
        <f t="shared" si="24"/>
        <v>0.3796875</v>
      </c>
      <c r="Q95" s="2"/>
      <c r="R95" s="2"/>
    </row>
    <row r="96" hidden="1" spans="1:14">
      <c r="A96" s="1" t="s">
        <v>133</v>
      </c>
      <c r="B96" s="1">
        <v>5</v>
      </c>
      <c r="C96" s="1">
        <v>5</v>
      </c>
      <c r="D96" s="1">
        <f t="shared" si="17"/>
        <v>0.454545454545454</v>
      </c>
      <c r="E96" s="1">
        <f t="shared" si="18"/>
        <v>0.909090909090909</v>
      </c>
      <c r="F96" s="19">
        <f t="shared" si="28"/>
        <v>0.0666666666666667</v>
      </c>
      <c r="G96" s="19">
        <f t="shared" si="29"/>
        <v>0.133333333333333</v>
      </c>
      <c r="H96" s="20">
        <f t="shared" si="19"/>
        <v>1.36363636363636</v>
      </c>
      <c r="I96" s="1">
        <f t="shared" si="20"/>
        <v>0.72</v>
      </c>
      <c r="J96" s="1">
        <f t="shared" si="21"/>
        <v>0.694127646981464</v>
      </c>
      <c r="K96" s="1">
        <f t="shared" si="26"/>
        <v>0.7</v>
      </c>
      <c r="L96" s="1">
        <f t="shared" si="22"/>
        <v>10.0723376030385</v>
      </c>
      <c r="M96" s="1">
        <f t="shared" si="23"/>
        <v>1.22369013471788</v>
      </c>
      <c r="N96" s="1">
        <f t="shared" si="24"/>
        <v>0.3796875</v>
      </c>
    </row>
    <row r="97" hidden="1" spans="1:14">
      <c r="A97" s="1" t="s">
        <v>171</v>
      </c>
      <c r="B97" s="1">
        <v>5</v>
      </c>
      <c r="C97" s="1">
        <v>5</v>
      </c>
      <c r="D97" s="1">
        <f t="shared" si="17"/>
        <v>0.454545454545454</v>
      </c>
      <c r="E97" s="1">
        <f t="shared" si="18"/>
        <v>0.909090909090909</v>
      </c>
      <c r="F97" s="19">
        <f t="shared" si="28"/>
        <v>0.0666666666666667</v>
      </c>
      <c r="G97" s="19">
        <f t="shared" si="29"/>
        <v>0.133333333333333</v>
      </c>
      <c r="H97" s="20">
        <f t="shared" si="19"/>
        <v>1.36363636363636</v>
      </c>
      <c r="I97" s="1">
        <f t="shared" si="20"/>
        <v>0.72</v>
      </c>
      <c r="J97" s="1">
        <f t="shared" si="21"/>
        <v>0.694127646981464</v>
      </c>
      <c r="K97" s="1">
        <f t="shared" si="26"/>
        <v>0.7</v>
      </c>
      <c r="L97" s="1">
        <f t="shared" si="22"/>
        <v>10.0723376030385</v>
      </c>
      <c r="M97" s="1">
        <f t="shared" si="23"/>
        <v>1.22369013471788</v>
      </c>
      <c r="N97" s="1">
        <f t="shared" si="24"/>
        <v>0.3796875</v>
      </c>
    </row>
    <row r="98" hidden="1" spans="1:14">
      <c r="A98" s="1" t="s">
        <v>172</v>
      </c>
      <c r="B98" s="1">
        <v>5</v>
      </c>
      <c r="C98" s="1">
        <v>5</v>
      </c>
      <c r="D98" s="1">
        <f t="shared" si="17"/>
        <v>0.454545454545454</v>
      </c>
      <c r="E98" s="1">
        <f t="shared" si="18"/>
        <v>0.909090909090909</v>
      </c>
      <c r="F98" s="19">
        <f t="shared" si="28"/>
        <v>0.0666666666666667</v>
      </c>
      <c r="G98" s="19">
        <f t="shared" si="29"/>
        <v>0.133333333333333</v>
      </c>
      <c r="H98" s="20">
        <f t="shared" si="19"/>
        <v>1.36363636363636</v>
      </c>
      <c r="I98" s="1">
        <f t="shared" si="20"/>
        <v>0.72</v>
      </c>
      <c r="J98" s="1">
        <f t="shared" si="21"/>
        <v>0.694127646981464</v>
      </c>
      <c r="K98" s="1">
        <f t="shared" si="26"/>
        <v>0.7</v>
      </c>
      <c r="L98" s="1">
        <f t="shared" si="22"/>
        <v>10.0723376030385</v>
      </c>
      <c r="M98" s="1">
        <f t="shared" si="23"/>
        <v>1.22369013471788</v>
      </c>
      <c r="N98" s="1">
        <f t="shared" si="24"/>
        <v>0.3796875</v>
      </c>
    </row>
    <row r="99" hidden="1" spans="1:14">
      <c r="A99" s="1" t="s">
        <v>173</v>
      </c>
      <c r="B99" s="1">
        <v>5</v>
      </c>
      <c r="C99" s="1">
        <v>5</v>
      </c>
      <c r="D99" s="1">
        <f t="shared" si="17"/>
        <v>0.454545454545454</v>
      </c>
      <c r="E99" s="1">
        <f t="shared" si="18"/>
        <v>0.909090909090909</v>
      </c>
      <c r="F99" s="19">
        <f t="shared" si="28"/>
        <v>0.0666666666666667</v>
      </c>
      <c r="G99" s="19">
        <f t="shared" si="29"/>
        <v>0.133333333333333</v>
      </c>
      <c r="H99" s="20">
        <f t="shared" si="19"/>
        <v>1.36363636363636</v>
      </c>
      <c r="I99" s="1">
        <f t="shared" si="20"/>
        <v>0.72</v>
      </c>
      <c r="J99" s="1">
        <f t="shared" si="21"/>
        <v>0.694127646981464</v>
      </c>
      <c r="K99" s="1">
        <f t="shared" si="26"/>
        <v>0.7</v>
      </c>
      <c r="L99" s="1">
        <f t="shared" si="22"/>
        <v>10.0723376030385</v>
      </c>
      <c r="M99" s="1">
        <f t="shared" si="23"/>
        <v>1.22369013471788</v>
      </c>
      <c r="N99" s="1">
        <f t="shared" si="24"/>
        <v>0.3796875</v>
      </c>
    </row>
    <row r="100" hidden="1" spans="1:14">
      <c r="A100" s="1" t="s">
        <v>134</v>
      </c>
      <c r="B100" s="1">
        <v>5</v>
      </c>
      <c r="C100" s="1">
        <v>5</v>
      </c>
      <c r="D100" s="1">
        <f t="shared" si="17"/>
        <v>0.454545454545454</v>
      </c>
      <c r="E100" s="1">
        <f t="shared" si="18"/>
        <v>0.909090909090909</v>
      </c>
      <c r="F100" s="19">
        <f t="shared" si="28"/>
        <v>0.0666666666666667</v>
      </c>
      <c r="G100" s="19">
        <f t="shared" si="29"/>
        <v>0.133333333333333</v>
      </c>
      <c r="H100" s="20">
        <f t="shared" si="19"/>
        <v>1.36363636363636</v>
      </c>
      <c r="I100" s="1">
        <f t="shared" si="20"/>
        <v>0.72</v>
      </c>
      <c r="J100" s="1">
        <f t="shared" si="21"/>
        <v>0.694127646981464</v>
      </c>
      <c r="K100" s="1">
        <f t="shared" si="26"/>
        <v>0.7</v>
      </c>
      <c r="L100" s="1">
        <f t="shared" si="22"/>
        <v>10.0723376030385</v>
      </c>
      <c r="M100" s="1">
        <f t="shared" si="23"/>
        <v>1.22369013471788</v>
      </c>
      <c r="N100" s="1">
        <f t="shared" si="24"/>
        <v>0.3796875</v>
      </c>
    </row>
    <row r="101" hidden="1"/>
    <row r="102" hidden="1"/>
    <row r="105" spans="6:7">
      <c r="F105" s="1">
        <f>F83-F73</f>
        <v>0.158</v>
      </c>
      <c r="G105" s="1">
        <f>G83-G73</f>
        <v>0.13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5"/>
  <sheetViews>
    <sheetView workbookViewId="0">
      <selection activeCell="P68" sqref="P68"/>
    </sheetView>
  </sheetViews>
  <sheetFormatPr defaultColWidth="9" defaultRowHeight="16.5"/>
  <cols>
    <col min="1" max="1" width="14.875" style="1" customWidth="1"/>
    <col min="2" max="2" width="18" style="1" customWidth="1"/>
    <col min="3" max="3" width="11.25" style="1" customWidth="1"/>
    <col min="4" max="11" width="9.00833333333333" style="1" customWidth="1"/>
    <col min="12" max="14" width="9.00833333333333" style="2" customWidth="1"/>
    <col min="15" max="16" width="10.625" style="2" customWidth="1"/>
    <col min="17" max="18" width="12.625" style="1"/>
    <col min="19" max="22" width="9.00833333333333" style="1" customWidth="1"/>
    <col min="23" max="24" width="9.375" style="1"/>
    <col min="25" max="16384" width="9" style="1"/>
  </cols>
  <sheetData>
    <row r="1" spans="1:20">
      <c r="A1" s="1" t="s">
        <v>0</v>
      </c>
      <c r="G1" s="3" t="s">
        <v>1</v>
      </c>
      <c r="H1" s="4" t="s">
        <v>2</v>
      </c>
      <c r="I1" s="22"/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</row>
    <row r="2" spans="2:20">
      <c r="B2" s="5" t="s">
        <v>12</v>
      </c>
      <c r="C2" s="6">
        <v>60</v>
      </c>
      <c r="G2" s="7"/>
      <c r="H2" s="8" t="s">
        <v>13</v>
      </c>
      <c r="I2" s="23">
        <v>1.2</v>
      </c>
      <c r="L2" s="2" t="s">
        <v>14</v>
      </c>
      <c r="M2" s="2">
        <v>1.3</v>
      </c>
      <c r="N2" s="2">
        <v>7</v>
      </c>
      <c r="O2" s="2">
        <f>3/1.5</f>
        <v>2</v>
      </c>
      <c r="P2" s="2">
        <f>3/2</f>
        <v>1.5</v>
      </c>
      <c r="Q2" s="2">
        <v>19.5</v>
      </c>
      <c r="R2" s="2">
        <v>0.5</v>
      </c>
      <c r="S2" s="2">
        <v>3</v>
      </c>
      <c r="T2" s="2">
        <v>0.8</v>
      </c>
    </row>
    <row r="3" spans="2:20">
      <c r="B3" s="1" t="s">
        <v>15</v>
      </c>
      <c r="C3" s="2">
        <v>2</v>
      </c>
      <c r="G3" s="3" t="s">
        <v>16</v>
      </c>
      <c r="H3" s="4" t="s">
        <v>17</v>
      </c>
      <c r="I3" s="22">
        <f>3*1.5</f>
        <v>4.5</v>
      </c>
      <c r="L3" s="25" t="s">
        <v>18</v>
      </c>
      <c r="M3" s="25">
        <v>2.7</v>
      </c>
      <c r="N3" s="2">
        <v>5</v>
      </c>
      <c r="O3" s="2">
        <f>3/1</f>
        <v>3</v>
      </c>
      <c r="P3" s="2">
        <f>3/1.5</f>
        <v>2</v>
      </c>
      <c r="Q3" s="25">
        <f>8*M3</f>
        <v>21.6</v>
      </c>
      <c r="R3" s="2"/>
      <c r="S3" s="2" t="s">
        <v>19</v>
      </c>
      <c r="T3" s="2" t="s">
        <v>20</v>
      </c>
    </row>
    <row r="4" spans="2:20">
      <c r="B4" s="5" t="s">
        <v>21</v>
      </c>
      <c r="C4" s="6" t="str">
        <f>IF((D4-C3*2)&lt;0,"相交",IF((D4-C3*2)&lt;0=0,"相切","否"))</f>
        <v>相交</v>
      </c>
      <c r="D4" s="5">
        <f>((D6-D7)^2+(E6-E7)^2)^0.5</f>
        <v>3.99644842328786</v>
      </c>
      <c r="E4" s="5"/>
      <c r="G4" s="9"/>
      <c r="H4" s="8" t="s">
        <v>22</v>
      </c>
      <c r="I4" s="23">
        <f>1*1.5+2</f>
        <v>3.5</v>
      </c>
      <c r="L4" s="2" t="s">
        <v>23</v>
      </c>
      <c r="M4" s="2">
        <v>1.5</v>
      </c>
      <c r="N4" s="2">
        <v>8</v>
      </c>
      <c r="O4" s="2">
        <f>3/1</f>
        <v>3</v>
      </c>
      <c r="P4" s="2">
        <f>3/3</f>
        <v>1</v>
      </c>
      <c r="Q4" s="2">
        <v>16</v>
      </c>
      <c r="R4" s="2"/>
      <c r="S4" s="2">
        <v>4.6</v>
      </c>
      <c r="T4" s="2">
        <v>6.2</v>
      </c>
    </row>
    <row r="5" spans="2:18">
      <c r="B5" s="5"/>
      <c r="C5" s="6"/>
      <c r="D5" s="6" t="s">
        <v>24</v>
      </c>
      <c r="E5" s="6" t="s">
        <v>25</v>
      </c>
      <c r="F5" s="2"/>
      <c r="G5" s="3" t="s">
        <v>26</v>
      </c>
      <c r="H5" s="4" t="s">
        <v>27</v>
      </c>
      <c r="I5" s="22">
        <v>0.5</v>
      </c>
      <c r="J5" s="2"/>
      <c r="L5" s="2" t="s">
        <v>28</v>
      </c>
      <c r="M5" s="2">
        <v>1.2</v>
      </c>
      <c r="N5" s="2">
        <v>8</v>
      </c>
      <c r="O5" s="2">
        <f>3/0.75</f>
        <v>4</v>
      </c>
      <c r="P5" s="2">
        <f>3/1</f>
        <v>3</v>
      </c>
      <c r="Q5" s="2">
        <v>20</v>
      </c>
      <c r="R5" s="2"/>
    </row>
    <row r="6" spans="2:18">
      <c r="B6" s="5" t="s">
        <v>29</v>
      </c>
      <c r="C6" s="6" t="s">
        <v>30</v>
      </c>
      <c r="D6" s="6">
        <v>0</v>
      </c>
      <c r="E6" s="6">
        <v>4</v>
      </c>
      <c r="F6" s="2"/>
      <c r="G6" s="10"/>
      <c r="H6" s="1" t="s">
        <v>31</v>
      </c>
      <c r="I6" s="24">
        <v>15</v>
      </c>
      <c r="J6" s="2"/>
      <c r="L6" s="2" t="s">
        <v>32</v>
      </c>
      <c r="M6" s="2">
        <v>1.1</v>
      </c>
      <c r="N6" s="2">
        <v>7</v>
      </c>
      <c r="O6" s="2">
        <f>3/1.25</f>
        <v>2.4</v>
      </c>
      <c r="P6" s="2">
        <f>3/2</f>
        <v>1.5</v>
      </c>
      <c r="Q6" s="2">
        <v>20</v>
      </c>
      <c r="R6" s="2"/>
    </row>
    <row r="7" spans="2:10">
      <c r="B7" s="5" t="s">
        <v>33</v>
      </c>
      <c r="C7" s="6" t="s">
        <v>29</v>
      </c>
      <c r="D7" s="6">
        <f>ROUND(D6*COS(C2/180*PI())-E6*SIN(C2/180*PI()),2)</f>
        <v>-3.46</v>
      </c>
      <c r="E7" s="6">
        <f>ROUND(D6*SIN(C2/180*PI())+E6*COS(C2/180*PI()),2)</f>
        <v>2</v>
      </c>
      <c r="F7" s="2"/>
      <c r="G7" s="10"/>
      <c r="H7" s="1" t="s">
        <v>34</v>
      </c>
      <c r="I7" s="24">
        <f>90-I6</f>
        <v>75</v>
      </c>
      <c r="J7" s="2"/>
    </row>
    <row r="8" spans="2:12">
      <c r="B8" s="5" t="s">
        <v>35</v>
      </c>
      <c r="C8" s="6" t="s">
        <v>36</v>
      </c>
      <c r="D8" s="6">
        <f>ROUND(D6*COS((-1)*C2/180*PI())-E6*SIN((-1)*C2/180*PI()),2)</f>
        <v>3.46</v>
      </c>
      <c r="E8" s="6">
        <f>ROUND(D6*SIN((-1)*C2/180*PI())+E6*COS((-1)*C2/180*PI()),2)</f>
        <v>2</v>
      </c>
      <c r="F8" s="2"/>
      <c r="G8" s="7"/>
      <c r="H8" s="8" t="s">
        <v>37</v>
      </c>
      <c r="I8" s="23">
        <v>90</v>
      </c>
      <c r="J8" s="2"/>
      <c r="L8" s="1"/>
    </row>
    <row r="9" hidden="1" spans="11:23">
      <c r="K9" s="2"/>
      <c r="Q9" s="2" t="s">
        <v>38</v>
      </c>
      <c r="R9" s="2" t="s">
        <v>39</v>
      </c>
      <c r="S9" s="2" t="s">
        <v>40</v>
      </c>
      <c r="T9" s="2" t="s">
        <v>41</v>
      </c>
      <c r="U9" s="2" t="s">
        <v>42</v>
      </c>
      <c r="W9" s="2"/>
    </row>
    <row r="10" hidden="1" spans="2:23">
      <c r="B10" s="2" t="s">
        <v>43</v>
      </c>
      <c r="C10" s="1" t="s">
        <v>44</v>
      </c>
      <c r="D10" s="1" t="s">
        <v>45</v>
      </c>
      <c r="E10" s="1" t="s">
        <v>46</v>
      </c>
      <c r="F10" s="2" t="s">
        <v>47</v>
      </c>
      <c r="H10" s="2"/>
      <c r="I10" s="2"/>
      <c r="K10" s="2"/>
      <c r="O10" s="12"/>
      <c r="Q10" s="2">
        <v>1</v>
      </c>
      <c r="R10" s="2">
        <v>5</v>
      </c>
      <c r="S10" s="2">
        <f>PI()*R10^2-PI()*$S$2^2</f>
        <v>50.2654824574367</v>
      </c>
      <c r="T10" s="2">
        <f>S10/(PI()*$R$2^2)</f>
        <v>64</v>
      </c>
      <c r="U10" s="12">
        <v>0.5</v>
      </c>
      <c r="W10" s="2"/>
    </row>
    <row r="11" hidden="1" spans="1:23">
      <c r="A11" s="1" t="s">
        <v>48</v>
      </c>
      <c r="B11" s="2">
        <v>7</v>
      </c>
      <c r="C11" s="1">
        <f>PI()*(C3+I2)^2</f>
        <v>32.1699087727595</v>
      </c>
      <c r="D11" s="1">
        <f>PI()*(N4^2-S2^2)</f>
        <v>172.787595947439</v>
      </c>
      <c r="E11" s="11">
        <f t="shared" ref="E11:E16" si="0">C11/D11</f>
        <v>0.186181818181818</v>
      </c>
      <c r="F11" s="2">
        <v>6</v>
      </c>
      <c r="G11" s="12"/>
      <c r="H11" s="12"/>
      <c r="I11" s="12"/>
      <c r="K11" s="2"/>
      <c r="O11" s="12"/>
      <c r="Q11" s="2">
        <v>2</v>
      </c>
      <c r="R11" s="2">
        <f t="shared" ref="R11:R18" si="1">R10+0.5</f>
        <v>5.5</v>
      </c>
      <c r="S11" s="2">
        <f>PI()*R11^2-PI()*$S$2^2</f>
        <v>66.7588438887831</v>
      </c>
      <c r="T11" s="2">
        <f>S11/(PI()*$R$2^2)</f>
        <v>85</v>
      </c>
      <c r="U11" s="12">
        <f t="shared" ref="U11:U18" si="2">U10+2%</f>
        <v>0.52</v>
      </c>
      <c r="W11" s="2"/>
    </row>
    <row r="12" hidden="1" spans="1:23">
      <c r="A12" s="1" t="s">
        <v>48</v>
      </c>
      <c r="B12" s="2">
        <v>11</v>
      </c>
      <c r="C12" s="1">
        <f>PI()*(C3+I2)^2</f>
        <v>32.1699087727595</v>
      </c>
      <c r="D12" s="1">
        <f>PI()*(N4^2-S2^2)</f>
        <v>172.787595947439</v>
      </c>
      <c r="E12" s="11">
        <f>C11/D11</f>
        <v>0.186181818181818</v>
      </c>
      <c r="K12" s="2"/>
      <c r="O12" s="12"/>
      <c r="Q12" s="2">
        <v>3</v>
      </c>
      <c r="R12" s="2">
        <f t="shared" si="1"/>
        <v>6</v>
      </c>
      <c r="S12" s="2">
        <f>PI()*R12^2-PI()*$S$2^2</f>
        <v>84.8230016469244</v>
      </c>
      <c r="T12" s="2">
        <f>S12/(PI()*$R$2^2)</f>
        <v>108</v>
      </c>
      <c r="U12" s="12">
        <f t="shared" si="2"/>
        <v>0.54</v>
      </c>
      <c r="W12" s="2"/>
    </row>
    <row r="13" hidden="1" spans="1:23">
      <c r="A13" s="1" t="s">
        <v>48</v>
      </c>
      <c r="B13" s="12">
        <v>0.5</v>
      </c>
      <c r="E13" s="13">
        <f>E12*(1+B13)^F11</f>
        <v>2.12072727272727</v>
      </c>
      <c r="K13" s="2"/>
      <c r="O13" s="12"/>
      <c r="Q13" s="2">
        <v>4</v>
      </c>
      <c r="R13" s="2">
        <f t="shared" si="1"/>
        <v>6.5</v>
      </c>
      <c r="S13" s="2">
        <f>PI()*R13^2-PI()*$S$2^2</f>
        <v>104.457955731861</v>
      </c>
      <c r="T13" s="2">
        <f>S13/(PI()*$R$2^2)</f>
        <v>133</v>
      </c>
      <c r="U13" s="12">
        <f t="shared" si="2"/>
        <v>0.56</v>
      </c>
      <c r="W13" s="2"/>
    </row>
    <row r="14" hidden="1" spans="2:23">
      <c r="B14" s="2" t="s">
        <v>49</v>
      </c>
      <c r="C14" s="1" t="s">
        <v>44</v>
      </c>
      <c r="D14" s="1" t="s">
        <v>45</v>
      </c>
      <c r="E14" s="1" t="s">
        <v>46</v>
      </c>
      <c r="F14" s="2" t="s">
        <v>47</v>
      </c>
      <c r="K14" s="2"/>
      <c r="O14" s="12"/>
      <c r="Q14" s="2">
        <v>5</v>
      </c>
      <c r="R14" s="2">
        <f t="shared" si="1"/>
        <v>7</v>
      </c>
      <c r="S14" s="2">
        <f>PI()*R14^2-PI()*$S$2^2</f>
        <v>125.663706143592</v>
      </c>
      <c r="T14" s="2">
        <f>S14/(PI()*$R$2^2)</f>
        <v>160</v>
      </c>
      <c r="U14" s="12">
        <f t="shared" si="2"/>
        <v>0.58</v>
      </c>
      <c r="W14" s="2"/>
    </row>
    <row r="15" hidden="1" spans="1:23">
      <c r="A15" s="1" t="s">
        <v>50</v>
      </c>
      <c r="B15" s="2">
        <v>7</v>
      </c>
      <c r="C15" s="1">
        <f>PI()*((C3+I4/2)^2+(I3/2)^2)</f>
        <v>60.0829594999048</v>
      </c>
      <c r="D15" s="1">
        <f>PI()*((N3*2)^2-S2^2)</f>
        <v>285.884931476671</v>
      </c>
      <c r="E15" s="11">
        <f t="shared" si="0"/>
        <v>0.210164835164835</v>
      </c>
      <c r="F15" s="2">
        <v>5</v>
      </c>
      <c r="K15" s="2"/>
      <c r="O15" s="12"/>
      <c r="Q15" s="2">
        <v>6</v>
      </c>
      <c r="R15" s="2">
        <f t="shared" si="1"/>
        <v>7.5</v>
      </c>
      <c r="S15" s="2">
        <f>PI()*R15^2-PI()*$S$2^2</f>
        <v>148.440252882118</v>
      </c>
      <c r="T15" s="2">
        <f>S15/(PI()*$R$2^2)</f>
        <v>189</v>
      </c>
      <c r="U15" s="12">
        <f t="shared" si="2"/>
        <v>0.6</v>
      </c>
      <c r="W15" s="2"/>
    </row>
    <row r="16" hidden="1" spans="1:23">
      <c r="A16" s="1" t="s">
        <v>50</v>
      </c>
      <c r="B16" s="2">
        <v>11</v>
      </c>
      <c r="C16" s="1">
        <f>PI()*((C3+I4/2)^2+(I3/2)^2)</f>
        <v>60.0829594999048</v>
      </c>
      <c r="D16" s="1">
        <f>PI()*((N3*2)^2-S2^2)</f>
        <v>285.884931476671</v>
      </c>
      <c r="E16" s="11">
        <f t="shared" si="0"/>
        <v>0.210164835164835</v>
      </c>
      <c r="K16" s="2"/>
      <c r="O16" s="12"/>
      <c r="Q16" s="2">
        <v>7</v>
      </c>
      <c r="R16" s="2">
        <f t="shared" si="1"/>
        <v>8</v>
      </c>
      <c r="S16" s="2">
        <f>PI()*R16^2-PI()*$S$2^2</f>
        <v>172.787595947439</v>
      </c>
      <c r="T16" s="2">
        <f>S16/(PI()*$R$2^2)</f>
        <v>220</v>
      </c>
      <c r="U16" s="12">
        <f t="shared" si="2"/>
        <v>0.62</v>
      </c>
      <c r="W16" s="2"/>
    </row>
    <row r="17" hidden="1" spans="1:23">
      <c r="A17" s="1" t="s">
        <v>50</v>
      </c>
      <c r="B17" s="12">
        <f>B13</f>
        <v>0.5</v>
      </c>
      <c r="E17" s="13">
        <f>E16*(1+B17)^F15</f>
        <v>1.59593921703297</v>
      </c>
      <c r="K17" s="2"/>
      <c r="O17" s="12"/>
      <c r="Q17" s="2">
        <v>8</v>
      </c>
      <c r="R17" s="2">
        <f t="shared" si="1"/>
        <v>8.5</v>
      </c>
      <c r="S17" s="2">
        <f>PI()*R17^2-PI()*$S$2^2</f>
        <v>198.705735339554</v>
      </c>
      <c r="T17" s="2">
        <f>S17/(PI()*$R$2^2)</f>
        <v>253</v>
      </c>
      <c r="U17" s="12">
        <f t="shared" si="2"/>
        <v>0.64</v>
      </c>
      <c r="W17" s="2"/>
    </row>
    <row r="18" hidden="1" spans="2:23">
      <c r="B18" s="2" t="s">
        <v>51</v>
      </c>
      <c r="C18" s="1" t="s">
        <v>52</v>
      </c>
      <c r="D18" s="1" t="s">
        <v>53</v>
      </c>
      <c r="E18" s="1" t="s">
        <v>54</v>
      </c>
      <c r="F18" s="1" t="s">
        <v>55</v>
      </c>
      <c r="G18" s="1" t="s">
        <v>56</v>
      </c>
      <c r="H18" s="1" t="s">
        <v>57</v>
      </c>
      <c r="I18" s="1" t="s">
        <v>58</v>
      </c>
      <c r="K18" s="2"/>
      <c r="O18" s="12"/>
      <c r="Q18" s="2">
        <v>9</v>
      </c>
      <c r="R18" s="2">
        <f t="shared" si="1"/>
        <v>9</v>
      </c>
      <c r="S18" s="2">
        <f>PI()*R18^2-PI()*$S$2^2</f>
        <v>226.194671058465</v>
      </c>
      <c r="T18" s="2">
        <f>S18/(PI()*$R$2^2)</f>
        <v>288</v>
      </c>
      <c r="U18" s="12">
        <f t="shared" si="2"/>
        <v>0.66</v>
      </c>
      <c r="W18" s="2"/>
    </row>
    <row r="19" hidden="1" spans="1:23">
      <c r="A19" s="1" t="s">
        <v>59</v>
      </c>
      <c r="B19" s="2">
        <v>7</v>
      </c>
      <c r="C19" s="1">
        <f>(2*C3^2/(1-COS(I6/180*PI())))^0.5</f>
        <v>15.3225951510808</v>
      </c>
      <c r="D19" s="1">
        <f>COS(I6/2/180*PI())*C19</f>
        <v>15.1915082254503</v>
      </c>
      <c r="E19" s="1">
        <f>2*D19*I5/C19</f>
        <v>0.99144486137381</v>
      </c>
      <c r="F19" s="13">
        <f>($S$2-E19)*TAN($I$6/2/180*PI())*($S$2-E19)</f>
        <v>0.531124847517513</v>
      </c>
      <c r="G19" s="1">
        <f>C3*D19</f>
        <v>30.3830164509006</v>
      </c>
      <c r="H19" s="1">
        <f>($N$2-E19)*TAN($I$6/2/180*PI())*($N$2-E19)</f>
        <v>4.75301521325293</v>
      </c>
      <c r="I19" s="1">
        <f>_xlfn.IFS((D19+E19)&lt;S$2,0,AND(E19&lt;S$2,(D19+E19)&lt;N$2),H19-F19,AND(E19&lt;S$2,(D19+E19)&gt;=N$2),G19-F19,AND(E19&lt;N$2,(D19+E19)&lt;N$2),G19,AND(E19&lt;N$2,(D19+E19)&gt;=N$2),H19,E19&gt;=7,0)</f>
        <v>29.8518916033831</v>
      </c>
      <c r="K19" s="2"/>
      <c r="O19" s="12"/>
      <c r="R19" s="2"/>
      <c r="S19" s="2"/>
      <c r="T19" s="2"/>
      <c r="U19" s="2"/>
      <c r="V19" s="12"/>
      <c r="W19" s="2"/>
    </row>
    <row r="20" hidden="1" spans="1:23">
      <c r="A20" s="1" t="s">
        <v>59</v>
      </c>
      <c r="B20" s="2">
        <v>11</v>
      </c>
      <c r="C20" s="1" t="s">
        <v>52</v>
      </c>
      <c r="D20" s="1" t="s">
        <v>53</v>
      </c>
      <c r="E20" s="1" t="s">
        <v>54</v>
      </c>
      <c r="F20" s="1" t="s">
        <v>55</v>
      </c>
      <c r="G20" s="1" t="s">
        <v>56</v>
      </c>
      <c r="H20" s="1" t="s">
        <v>57</v>
      </c>
      <c r="I20" s="1" t="s">
        <v>60</v>
      </c>
      <c r="K20" s="2"/>
      <c r="O20" s="12"/>
      <c r="Q20" s="1" t="s">
        <v>61</v>
      </c>
      <c r="R20" s="2" t="s">
        <v>62</v>
      </c>
      <c r="S20" s="2" t="s">
        <v>40</v>
      </c>
      <c r="T20" s="2" t="s">
        <v>42</v>
      </c>
      <c r="U20" s="2" t="s">
        <v>63</v>
      </c>
      <c r="V20" s="12"/>
      <c r="W20" s="2"/>
    </row>
    <row r="21" hidden="1" spans="1:23">
      <c r="A21" s="1" t="s">
        <v>59</v>
      </c>
      <c r="B21" s="12">
        <f>B13</f>
        <v>0.5</v>
      </c>
      <c r="C21" s="1">
        <f>(2*C3^2/(1-COS($I$7/180*PI())))^0.5</f>
        <v>3.28535926340916</v>
      </c>
      <c r="D21" s="1">
        <f>COS($I$7/2/180*PI())*C21</f>
        <v>2.60645074568241</v>
      </c>
      <c r="E21" s="1">
        <f>2*D21*I5/C21</f>
        <v>0.793353340291235</v>
      </c>
      <c r="F21" s="13">
        <f>(S2-E21)*TAN(I7/2/180*PI())*(S2-E21)</f>
        <v>3.73633723090285</v>
      </c>
      <c r="G21" s="1">
        <f>C3*D21</f>
        <v>5.21290149136482</v>
      </c>
      <c r="H21" s="1">
        <f>(N2-E21)*TAN(I7/2/180*PI())*(N2-E21)</f>
        <v>29.5593253179915</v>
      </c>
      <c r="I21" s="1">
        <f>_xlfn.IFS((D21+E21)&lt;S$2,0,AND(E21&lt;S$2,(D21+E21)&lt;N$2),H21-F21,AND(E21&lt;S$2,(D21+E21)&gt;=N$2),G21-F21,AND(E21&lt;N$2,(D21+E21)&lt;N$2),G21,AND(E21&lt;N$2,(D21+E21)&gt;=N$2),H21,E21&gt;=7,0)</f>
        <v>25.8229880870886</v>
      </c>
      <c r="K21" s="2"/>
      <c r="O21" s="12"/>
      <c r="R21" s="2">
        <v>1.2</v>
      </c>
      <c r="S21" s="2">
        <f>PI()*R21^2</f>
        <v>4.5238934211693</v>
      </c>
      <c r="T21" s="12">
        <v>0.88</v>
      </c>
      <c r="U21" s="2">
        <f>((R21+0.5)/$R$2)^2*T21</f>
        <v>10.1728</v>
      </c>
      <c r="V21" s="12"/>
      <c r="W21" s="2"/>
    </row>
    <row r="22" hidden="1" spans="2:23">
      <c r="B22" s="2"/>
      <c r="C22" s="1" t="s">
        <v>52</v>
      </c>
      <c r="D22" s="1" t="s">
        <v>53</v>
      </c>
      <c r="E22" s="1" t="s">
        <v>54</v>
      </c>
      <c r="F22" s="1" t="s">
        <v>55</v>
      </c>
      <c r="G22" s="1" t="s">
        <v>56</v>
      </c>
      <c r="H22" s="1" t="s">
        <v>57</v>
      </c>
      <c r="I22" s="1" t="s">
        <v>64</v>
      </c>
      <c r="K22" s="2"/>
      <c r="O22" s="12"/>
      <c r="R22" s="2"/>
      <c r="S22" s="2"/>
      <c r="T22" s="2"/>
      <c r="U22" s="2"/>
      <c r="V22" s="12"/>
      <c r="W22" s="2"/>
    </row>
    <row r="23" hidden="1" spans="2:23">
      <c r="B23" s="2"/>
      <c r="C23" s="1">
        <f>(2*C3^2/(1-COS($I$8/180*PI())))^0.5</f>
        <v>2.82842712474619</v>
      </c>
      <c r="D23" s="1">
        <f>COS($I$8/2/180*PI())*C23</f>
        <v>2</v>
      </c>
      <c r="E23" s="1">
        <f>2*D23*$I$5/C23</f>
        <v>0.707106781186548</v>
      </c>
      <c r="F23" s="13">
        <f>($S$2-E23)*TAN($I$8/2/180*PI())*($S$2-E23)</f>
        <v>5.25735931288071</v>
      </c>
      <c r="G23" s="1">
        <f>C3*D23</f>
        <v>4</v>
      </c>
      <c r="H23" s="1">
        <f>($N$2-E23)*TAN($I$8/2/180*PI())*($N$2-E23)</f>
        <v>39.6005050633883</v>
      </c>
      <c r="I23" s="1">
        <f>_xlfn.IFS((D23+E23)&lt;S$2,0,AND(E23&lt;S$2,(D23+E23)&lt;N$2),H23-F23,AND(E23&lt;S$2,(D23+E23)&gt;=N$2),G23-F23,AND(E23&lt;N$2,(D23+E23)&lt;N$2),G23,AND(E23&lt;N$2,(D23+E23)&gt;=N$2),H23,E23&gt;=7,0)</f>
        <v>0</v>
      </c>
      <c r="K23" s="2"/>
      <c r="O23" s="12"/>
      <c r="Q23" s="1" t="s">
        <v>65</v>
      </c>
      <c r="R23" s="2" t="s">
        <v>66</v>
      </c>
      <c r="S23" s="2" t="s">
        <v>40</v>
      </c>
      <c r="T23" s="2" t="s">
        <v>42</v>
      </c>
      <c r="U23" s="2" t="s">
        <v>63</v>
      </c>
      <c r="V23" s="12"/>
      <c r="W23" s="2"/>
    </row>
    <row r="24" hidden="1" spans="2:23">
      <c r="B24" s="2"/>
      <c r="C24" s="1" t="s">
        <v>67</v>
      </c>
      <c r="D24" s="1" t="s">
        <v>68</v>
      </c>
      <c r="E24" s="1" t="s">
        <v>69</v>
      </c>
      <c r="F24" s="14" t="s">
        <v>70</v>
      </c>
      <c r="G24" s="15" t="s">
        <v>71</v>
      </c>
      <c r="H24" s="2" t="s">
        <v>47</v>
      </c>
      <c r="I24" s="2" t="s">
        <v>72</v>
      </c>
      <c r="K24" s="2"/>
      <c r="O24" s="12"/>
      <c r="R24" s="2" t="s">
        <v>73</v>
      </c>
      <c r="S24" s="2">
        <f>4*2</f>
        <v>8</v>
      </c>
      <c r="T24" s="12">
        <v>0.88</v>
      </c>
      <c r="U24" s="2">
        <f>S24/(PI()*$R$2^2)*T24</f>
        <v>8.96360639493555</v>
      </c>
      <c r="V24" s="27">
        <f>U24/U21</f>
        <v>0.881134633034715</v>
      </c>
      <c r="W24" s="2"/>
    </row>
    <row r="25" hidden="1" spans="2:22">
      <c r="B25" s="2"/>
      <c r="C25" s="1">
        <f>($I$5+C3*2)*($N$2-$S$2)</f>
        <v>18</v>
      </c>
      <c r="D25" s="1">
        <f>PI()*($N$2^2-$S$2^2)</f>
        <v>125.663706143592</v>
      </c>
      <c r="E25" s="11">
        <f t="shared" ref="E25:E28" si="3">C25/D25</f>
        <v>0.143239448782706</v>
      </c>
      <c r="F25" s="16">
        <f>SUM(I19,I21,I23,C25*3)/D25</f>
        <v>0.872764961787375</v>
      </c>
      <c r="G25" s="16">
        <f>E25*3</f>
        <v>0.429718346348117</v>
      </c>
      <c r="H25" s="2">
        <v>6</v>
      </c>
      <c r="I25" s="1">
        <f>E25*(1+B21)^H25</f>
        <v>1.63158684629051</v>
      </c>
      <c r="R25" s="2"/>
      <c r="S25" s="2"/>
      <c r="T25" s="12"/>
      <c r="U25" s="2"/>
      <c r="V25" s="27"/>
    </row>
    <row r="26" hidden="1" spans="2:22">
      <c r="B26" s="2" t="s">
        <v>43</v>
      </c>
      <c r="C26" s="1" t="s">
        <v>44</v>
      </c>
      <c r="D26" s="1" t="s">
        <v>45</v>
      </c>
      <c r="E26" s="1" t="s">
        <v>46</v>
      </c>
      <c r="F26" s="2" t="s">
        <v>47</v>
      </c>
      <c r="K26" s="2"/>
      <c r="Q26" s="1" t="s">
        <v>74</v>
      </c>
      <c r="R26" s="2" t="s">
        <v>66</v>
      </c>
      <c r="S26" s="2" t="s">
        <v>40</v>
      </c>
      <c r="T26" s="2" t="s">
        <v>42</v>
      </c>
      <c r="U26" s="2" t="s">
        <v>63</v>
      </c>
      <c r="V26" s="2"/>
    </row>
    <row r="27" hidden="1" spans="1:22">
      <c r="A27" s="1" t="s">
        <v>75</v>
      </c>
      <c r="B27" s="2">
        <v>0.5</v>
      </c>
      <c r="C27" s="1">
        <f>PI()*(B27+I2)^2</f>
        <v>9.0792027688745</v>
      </c>
      <c r="D27" s="1">
        <f>PI()*(N4^2-S2^2)</f>
        <v>172.787595947439</v>
      </c>
      <c r="E27" s="11">
        <f t="shared" si="3"/>
        <v>0.0525454545454545</v>
      </c>
      <c r="F27" s="2">
        <v>4</v>
      </c>
      <c r="K27" s="2"/>
      <c r="P27" s="12"/>
      <c r="Q27" s="2"/>
      <c r="R27" s="2" t="s">
        <v>76</v>
      </c>
      <c r="S27" s="2">
        <f>6.5*1.5</f>
        <v>9.75</v>
      </c>
      <c r="T27" s="12">
        <v>0.85</v>
      </c>
      <c r="U27" s="2">
        <f>S27/(PI()*$R$2^2)*T27</f>
        <v>10.5519727269927</v>
      </c>
      <c r="V27" s="2">
        <f>U27/U21</f>
        <v>1.0372731919425</v>
      </c>
    </row>
    <row r="28" hidden="1" spans="1:19">
      <c r="A28" s="1" t="s">
        <v>75</v>
      </c>
      <c r="B28" s="2">
        <v>0.9</v>
      </c>
      <c r="C28" s="1">
        <f>PI()*(B28+I2)^2</f>
        <v>13.854423602331</v>
      </c>
      <c r="D28" s="1">
        <f>PI()*(N4^2-S2^2)</f>
        <v>172.787595947439</v>
      </c>
      <c r="E28" s="11">
        <f t="shared" si="3"/>
        <v>0.0801818181818182</v>
      </c>
      <c r="K28" s="2"/>
      <c r="P28" s="12"/>
      <c r="Q28" s="2"/>
      <c r="R28" s="2"/>
      <c r="S28" s="2"/>
    </row>
    <row r="29" hidden="1" spans="1:19">
      <c r="A29" s="1" t="s">
        <v>75</v>
      </c>
      <c r="B29" s="12">
        <f>B13</f>
        <v>0.5</v>
      </c>
      <c r="E29" s="13">
        <f>(1-(1-E28)^((1+B29)*0.5))*3</f>
        <v>0.18228056726074</v>
      </c>
      <c r="K29" s="2"/>
      <c r="P29" s="12"/>
      <c r="Q29" s="2"/>
      <c r="R29" s="2"/>
      <c r="S29" s="2"/>
    </row>
    <row r="30" hidden="1" spans="2:17">
      <c r="B30" s="2" t="s">
        <v>49</v>
      </c>
      <c r="C30" s="1" t="s">
        <v>44</v>
      </c>
      <c r="D30" s="1" t="s">
        <v>45</v>
      </c>
      <c r="E30" s="1" t="s">
        <v>46</v>
      </c>
      <c r="F30" s="2" t="s">
        <v>47</v>
      </c>
      <c r="K30" s="2"/>
      <c r="P30" s="12"/>
      <c r="Q30" s="2"/>
    </row>
    <row r="31" hidden="1" spans="1:17">
      <c r="A31" s="1" t="s">
        <v>77</v>
      </c>
      <c r="B31" s="2">
        <f t="shared" ref="B31:B33" si="4">B27</f>
        <v>0.5</v>
      </c>
      <c r="C31" s="1">
        <f>PI()*((B31+I4/2)^2+(I3/2)^2)</f>
        <v>31.8086256175967</v>
      </c>
      <c r="D31" s="1">
        <f>PI()*((N3*2)^2-S2^2)</f>
        <v>285.884931476671</v>
      </c>
      <c r="E31" s="11">
        <f>C31/D31</f>
        <v>0.111263736263736</v>
      </c>
      <c r="F31" s="2">
        <v>3</v>
      </c>
      <c r="K31" s="2"/>
      <c r="P31" s="12"/>
      <c r="Q31" s="2"/>
    </row>
    <row r="32" hidden="1" spans="1:17">
      <c r="A32" s="1" t="s">
        <v>77</v>
      </c>
      <c r="B32" s="2">
        <f t="shared" si="4"/>
        <v>0.9</v>
      </c>
      <c r="C32" s="1">
        <f>PI()*((B32+I4/2)^2+(I3/2)^2)</f>
        <v>37.9661472186326</v>
      </c>
      <c r="D32" s="1">
        <f>PI()*((N3*2)^2-S2^2)</f>
        <v>285.884931476671</v>
      </c>
      <c r="E32" s="11">
        <f>C32/D32</f>
        <v>0.132802197802198</v>
      </c>
      <c r="K32" s="2"/>
      <c r="P32" s="12"/>
      <c r="Q32" s="2"/>
    </row>
    <row r="33" hidden="1" spans="1:17">
      <c r="A33" s="1" t="s">
        <v>77</v>
      </c>
      <c r="B33" s="12">
        <f t="shared" si="4"/>
        <v>0.5</v>
      </c>
      <c r="E33" s="13">
        <f>(1-(1-E32)^((1+B33)*0.5))*3</f>
        <v>0.304062118848676</v>
      </c>
      <c r="K33" s="2"/>
      <c r="P33" s="12"/>
      <c r="Q33" s="2"/>
    </row>
    <row r="34" hidden="1" spans="2:17">
      <c r="B34" s="2" t="s">
        <v>78</v>
      </c>
      <c r="C34" s="1" t="s">
        <v>52</v>
      </c>
      <c r="D34" s="1" t="s">
        <v>53</v>
      </c>
      <c r="E34" s="1" t="s">
        <v>54</v>
      </c>
      <c r="F34" s="1" t="s">
        <v>55</v>
      </c>
      <c r="G34" s="1" t="s">
        <v>56</v>
      </c>
      <c r="H34" s="1" t="s">
        <v>57</v>
      </c>
      <c r="I34" s="1" t="s">
        <v>58</v>
      </c>
      <c r="K34" s="2"/>
      <c r="P34" s="12"/>
      <c r="Q34" s="2"/>
    </row>
    <row r="35" hidden="1" spans="1:17">
      <c r="A35" s="1" t="s">
        <v>79</v>
      </c>
      <c r="B35" s="2">
        <f t="shared" ref="B35:B37" si="5">B31</f>
        <v>0.5</v>
      </c>
      <c r="C35" s="1">
        <f>(2*B35^2/(1-COS($I$6/180*PI())))^0.5</f>
        <v>3.8306487877702</v>
      </c>
      <c r="D35" s="1">
        <f>COS($I$6/2/180*PI())*C35</f>
        <v>3.79787705636258</v>
      </c>
      <c r="E35" s="1">
        <f>2*D35*$I$5/C35</f>
        <v>0.99144486137381</v>
      </c>
      <c r="F35" s="13">
        <f>($S$2-E35)*TAN($I$6/2/180*PI())*($S$2-E35)</f>
        <v>0.531124847517513</v>
      </c>
      <c r="G35" s="1">
        <f>B35*D35</f>
        <v>1.89893852818129</v>
      </c>
      <c r="H35" s="1">
        <f>($N$2-E35)*TAN($I$6/2/180*PI())*($N$2-E35)</f>
        <v>4.75301521325293</v>
      </c>
      <c r="I35" s="1">
        <f>_xlfn.IFS((D35+E35)&lt;S$2,0,AND(E35&lt;S$2,(D35+E35)&lt;N$2),H35-F35,AND(E35&lt;S$2,(D35+E35)&gt;=N$2),G35-F35,AND(E35&lt;N$2,(D35+E35)&lt;N$2),G35,AND(E35&lt;N$2,(D35+E35)&gt;=N$2),H35,E35&gt;=7,0)</f>
        <v>4.22189036573542</v>
      </c>
      <c r="K35" s="2"/>
      <c r="P35" s="12"/>
      <c r="Q35" s="2"/>
    </row>
    <row r="36" hidden="1" spans="1:17">
      <c r="A36" s="1" t="s">
        <v>79</v>
      </c>
      <c r="B36" s="2">
        <f t="shared" si="5"/>
        <v>0.9</v>
      </c>
      <c r="C36" s="1" t="s">
        <v>52</v>
      </c>
      <c r="D36" s="1" t="s">
        <v>53</v>
      </c>
      <c r="E36" s="1" t="s">
        <v>54</v>
      </c>
      <c r="F36" s="1" t="s">
        <v>55</v>
      </c>
      <c r="G36" s="1" t="s">
        <v>56</v>
      </c>
      <c r="H36" s="1" t="s">
        <v>57</v>
      </c>
      <c r="I36" s="1" t="s">
        <v>60</v>
      </c>
      <c r="K36" s="2"/>
      <c r="P36" s="12"/>
      <c r="Q36" s="2"/>
    </row>
    <row r="37" hidden="1" spans="1:17">
      <c r="A37" s="1" t="s">
        <v>79</v>
      </c>
      <c r="B37" s="12">
        <f t="shared" si="5"/>
        <v>0.5</v>
      </c>
      <c r="C37" s="1">
        <f>(2*B35^2/(1-COS($I$7/180*PI())))^0.5</f>
        <v>0.821339815852291</v>
      </c>
      <c r="D37" s="1">
        <f>COS($I$7/2/180*PI())*C37</f>
        <v>0.651612686420603</v>
      </c>
      <c r="E37" s="1">
        <f>2*D37*$I$5/C37</f>
        <v>0.793353340291235</v>
      </c>
      <c r="F37" s="13">
        <f>($S$2-E37)*TAN($I$6/2/180*PI())*($S$2-E37)</f>
        <v>0.641054121623861</v>
      </c>
      <c r="G37" s="1">
        <f>B35*D37</f>
        <v>0.325806343210301</v>
      </c>
      <c r="H37" s="1">
        <f>($N$2-E37)*TAN($I$6/2/180*PI())*($N$2-E37)</f>
        <v>5.07157843537054</v>
      </c>
      <c r="I37" s="1">
        <f>_xlfn.IFS((D37+E37)&lt;S$2,0,AND(E37&lt;S$2,(D37+E37)&lt;N$2),H37-F37,AND(E37&lt;S$2,(D37+E37)&gt;=N$2),G37-F37,AND(E37&lt;N$2,(D37+E37)&lt;N$2),G37,AND(E37&lt;N$2,(D37+E37)&gt;=N$2),H37,E37&gt;=7,0)</f>
        <v>0</v>
      </c>
      <c r="K37" s="2"/>
      <c r="P37" s="12"/>
      <c r="Q37" s="2"/>
    </row>
    <row r="38" hidden="1" spans="2:17">
      <c r="B38" s="2"/>
      <c r="C38" s="1" t="s">
        <v>52</v>
      </c>
      <c r="D38" s="1" t="s">
        <v>53</v>
      </c>
      <c r="E38" s="1" t="s">
        <v>54</v>
      </c>
      <c r="F38" s="1" t="s">
        <v>55</v>
      </c>
      <c r="G38" s="1" t="s">
        <v>56</v>
      </c>
      <c r="H38" s="1" t="s">
        <v>57</v>
      </c>
      <c r="I38" s="1" t="s">
        <v>64</v>
      </c>
      <c r="K38" s="2"/>
      <c r="P38" s="12"/>
      <c r="Q38" s="2"/>
    </row>
    <row r="39" hidden="1" spans="2:17">
      <c r="B39" s="2"/>
      <c r="C39" s="1">
        <f>(2*B35^2/(1-COS($I$8/180*PI())))^0.5</f>
        <v>0.707106781186548</v>
      </c>
      <c r="D39" s="1">
        <f>COS($I$8/2/180*PI())*C39</f>
        <v>0.5</v>
      </c>
      <c r="E39" s="1">
        <f>2*D39*$I$5/C39</f>
        <v>0.707106781186548</v>
      </c>
      <c r="F39" s="13">
        <f>($S$2-E39)*TAN($I$8/2/180*PI())*($S$2-E39)</f>
        <v>5.25735931288071</v>
      </c>
      <c r="G39" s="1">
        <f>B35*D39</f>
        <v>0.25</v>
      </c>
      <c r="H39" s="1">
        <f>($N$2-E39)*TAN($I$8/2/180*PI())*($N$2-E39)</f>
        <v>39.6005050633883</v>
      </c>
      <c r="I39" s="1">
        <f>_xlfn.IFS((D39+E39)&lt;S$2,0,AND(E39&lt;S$2,(D39+E39)&lt;N$2),H39-F39,AND(E39&lt;S$2,(D39+E39)&gt;=N$2),G39-F39,AND(E39&lt;N$2,(D39+E39)&lt;N$2),G39,AND(E39&lt;N$2,(D39+E39)&gt;=N$2),H39,E39&gt;=7,0)</f>
        <v>0</v>
      </c>
      <c r="K39" s="2"/>
      <c r="P39" s="12"/>
      <c r="Q39" s="2"/>
    </row>
    <row r="40" hidden="1" spans="2:17">
      <c r="B40" s="2"/>
      <c r="C40" s="1" t="s">
        <v>67</v>
      </c>
      <c r="D40" s="1" t="s">
        <v>68</v>
      </c>
      <c r="E40" s="1" t="s">
        <v>69</v>
      </c>
      <c r="F40" s="17" t="s">
        <v>80</v>
      </c>
      <c r="G40" s="5" t="s">
        <v>81</v>
      </c>
      <c r="K40" s="2"/>
      <c r="P40" s="12"/>
      <c r="Q40" s="2"/>
    </row>
    <row r="41" hidden="1" spans="3:17">
      <c r="C41" s="1">
        <f>($I$5+B35*2)*($N$2-$S$2)</f>
        <v>6</v>
      </c>
      <c r="D41" s="1">
        <f>PI()*($N$5^2-$S$2^2)</f>
        <v>172.787595947439</v>
      </c>
      <c r="E41" s="11">
        <f>C41/D41</f>
        <v>0.0347247148564135</v>
      </c>
      <c r="F41" s="18">
        <f>SUM(I35,I37,I39,C41*6)/D41</f>
        <v>0.232782278989348</v>
      </c>
      <c r="G41" s="17">
        <f>9*F41</f>
        <v>2.09504051090413</v>
      </c>
      <c r="K41" s="2"/>
      <c r="P41" s="12"/>
      <c r="Q41" s="2"/>
    </row>
    <row r="42" hidden="1" spans="3:18">
      <c r="C42" s="1" t="s">
        <v>52</v>
      </c>
      <c r="D42" s="1" t="s">
        <v>53</v>
      </c>
      <c r="E42" s="1" t="s">
        <v>54</v>
      </c>
      <c r="F42" s="1" t="s">
        <v>55</v>
      </c>
      <c r="G42" s="1" t="s">
        <v>56</v>
      </c>
      <c r="H42" s="1" t="s">
        <v>57</v>
      </c>
      <c r="I42" s="1" t="s">
        <v>58</v>
      </c>
      <c r="M42" s="1"/>
      <c r="Q42" s="2"/>
      <c r="R42" s="2"/>
    </row>
    <row r="43" hidden="1" spans="3:17">
      <c r="C43" s="1">
        <f>(2*B36^2/(1-COS($I$6/180*PI())))^0.5</f>
        <v>6.89516781798635</v>
      </c>
      <c r="D43" s="1">
        <f>COS($I$6/2/180*PI())*C43</f>
        <v>6.83617870145264</v>
      </c>
      <c r="E43" s="1">
        <f>2*D43*$I$5/C43</f>
        <v>0.99144486137381</v>
      </c>
      <c r="F43" s="13">
        <f>($S$2-E43)*TAN($I$6/2/180*PI())*($S$2-E43)</f>
        <v>0.531124847517513</v>
      </c>
      <c r="G43" s="1">
        <f>B36*D43</f>
        <v>6.15256083130737</v>
      </c>
      <c r="H43" s="1">
        <f>($N$2-E43)*TAN($I$6/2/180*PI())*($N$2-E43)</f>
        <v>4.75301521325293</v>
      </c>
      <c r="I43" s="1">
        <f>_xlfn.IFS((D43+E43)&lt;S$2,0,AND(E43&lt;S$2,(D43+E43)&lt;N$2),H43-F43,AND(E43&lt;S$2,(D43+E43)&gt;=N$2),G43-F43,AND(E43&lt;N$2,(D43+E43)&lt;N$2),G43,AND(E43&lt;N$2,(D43+E43)&gt;=N$2),H43,E43&gt;=7,0)</f>
        <v>5.62143598378986</v>
      </c>
      <c r="M43" s="1"/>
      <c r="N43" s="1"/>
      <c r="O43" s="1"/>
      <c r="Q43" s="2"/>
    </row>
    <row r="44" hidden="1" spans="3:17">
      <c r="C44" s="1" t="s">
        <v>52</v>
      </c>
      <c r="D44" s="1" t="s">
        <v>53</v>
      </c>
      <c r="E44" s="1" t="s">
        <v>54</v>
      </c>
      <c r="F44" s="1" t="s">
        <v>55</v>
      </c>
      <c r="G44" s="1" t="s">
        <v>56</v>
      </c>
      <c r="H44" s="1" t="s">
        <v>57</v>
      </c>
      <c r="I44" s="1" t="s">
        <v>60</v>
      </c>
      <c r="M44" s="1"/>
      <c r="N44" s="1"/>
      <c r="O44" s="1"/>
      <c r="Q44" s="2"/>
    </row>
    <row r="45" hidden="1" spans="3:17">
      <c r="C45" s="1">
        <f>(2*B36^2/(1-COS($I$7/180*PI())))^0.5</f>
        <v>1.47841166853412</v>
      </c>
      <c r="D45" s="1">
        <f>COS($I$7/2/180*PI())*C45</f>
        <v>1.17290283555709</v>
      </c>
      <c r="E45" s="1">
        <f>2*D45*$I$5/C45</f>
        <v>0.793353340291235</v>
      </c>
      <c r="F45" s="13">
        <f>($S$2-E45)*TAN($I$6/2/180*PI())*($S$2-E45)</f>
        <v>0.641054121623861</v>
      </c>
      <c r="G45" s="1">
        <f>B36*D45</f>
        <v>1.05561255200138</v>
      </c>
      <c r="H45" s="1">
        <f>($N$2-E45)*TAN($I$6/2/180*PI())*($N$2-E45)</f>
        <v>5.07157843537054</v>
      </c>
      <c r="I45" s="1">
        <f>_xlfn.IFS((D45+E45)&lt;S$2,0,AND(E45&lt;S$2,(D45+E45)&lt;N$2),H45-F45,AND(E45&lt;S$2,(D45+E45)&gt;=N$2),G45-F45,AND(E45&lt;N$2,(D45+E45)&lt;N$2),G45,AND(E45&lt;N$2,(D45+E45)&gt;=N$2),H45,E45&gt;=7,0)</f>
        <v>0</v>
      </c>
      <c r="M45" s="1"/>
      <c r="N45" s="1"/>
      <c r="O45" s="1"/>
      <c r="Q45" s="2"/>
    </row>
    <row r="46" hidden="1" spans="3:17">
      <c r="C46" s="1" t="s">
        <v>52</v>
      </c>
      <c r="D46" s="1" t="s">
        <v>53</v>
      </c>
      <c r="E46" s="1" t="s">
        <v>54</v>
      </c>
      <c r="F46" s="1" t="s">
        <v>55</v>
      </c>
      <c r="G46" s="1" t="s">
        <v>56</v>
      </c>
      <c r="H46" s="1" t="s">
        <v>57</v>
      </c>
      <c r="I46" s="1" t="s">
        <v>64</v>
      </c>
      <c r="M46" s="1"/>
      <c r="N46" s="1"/>
      <c r="O46" s="1"/>
      <c r="Q46" s="2"/>
    </row>
    <row r="47" hidden="1" spans="3:17">
      <c r="C47" s="1">
        <f>(2*B36^2/(1-COS($I$8/180*PI())))^0.5</f>
        <v>1.27279220613579</v>
      </c>
      <c r="D47" s="1">
        <f>COS($I$8/2/180*PI())*C47</f>
        <v>0.9</v>
      </c>
      <c r="E47" s="1">
        <f>2*D47*$I$5/C47</f>
        <v>0.707106781186548</v>
      </c>
      <c r="F47" s="13">
        <f>($S$2-E47)*TAN($I$8/2/180*PI())*($S$2-E47)</f>
        <v>5.25735931288071</v>
      </c>
      <c r="G47" s="1">
        <f>B36*D47</f>
        <v>0.81</v>
      </c>
      <c r="H47" s="1">
        <f>($N$2-E47)*TAN($I$8/2/180*PI())*($N$2-E47)</f>
        <v>39.6005050633883</v>
      </c>
      <c r="I47" s="1">
        <f>_xlfn.IFS((D47+E47)&lt;S$2,0,AND(E47&lt;S$2,(D47+E47)&lt;N$2),H47-F47,AND(E47&lt;S$2,(D47+E47)&gt;=N$2),G47-F47,AND(E47&lt;N$2,(D47+E47)&lt;N$2),G47,AND(E47&lt;N$2,(D47+E47)&gt;=N$2),H47,E47&gt;=7,0)</f>
        <v>0</v>
      </c>
      <c r="M47" s="1"/>
      <c r="N47" s="1"/>
      <c r="O47" s="1"/>
      <c r="Q47" s="2"/>
    </row>
    <row r="48" hidden="1" spans="3:16">
      <c r="C48" s="1" t="s">
        <v>67</v>
      </c>
      <c r="D48" s="1" t="s">
        <v>68</v>
      </c>
      <c r="E48" s="1" t="s">
        <v>69</v>
      </c>
      <c r="F48" s="14" t="s">
        <v>80</v>
      </c>
      <c r="G48" s="15" t="s">
        <v>82</v>
      </c>
      <c r="H48" s="2" t="s">
        <v>47</v>
      </c>
      <c r="I48" s="2" t="s">
        <v>72</v>
      </c>
      <c r="M48" s="1"/>
      <c r="N48" s="1"/>
      <c r="O48" s="1"/>
      <c r="P48" s="1"/>
    </row>
    <row r="49" hidden="1" spans="3:18">
      <c r="C49" s="1">
        <f>($I$5+B36*2)*($N$2-$S$2)</f>
        <v>9.2</v>
      </c>
      <c r="D49" s="1">
        <f>PI()*($N$5^2-$S$2^2)</f>
        <v>172.787595947439</v>
      </c>
      <c r="E49" s="11">
        <f>C49/D49</f>
        <v>0.0532445627798341</v>
      </c>
      <c r="F49" s="16">
        <f>SUM(I43,I45,I47,C49*6)/D49</f>
        <v>0.352001170282452</v>
      </c>
      <c r="G49" s="16">
        <f>E49*3</f>
        <v>0.159733688339502</v>
      </c>
      <c r="H49" s="2">
        <v>6</v>
      </c>
      <c r="I49" s="13">
        <f>(1-(1-E49)^((1+B37)*0.5))*3</f>
        <v>0.120615843356463</v>
      </c>
      <c r="M49" s="1"/>
      <c r="N49" s="26"/>
      <c r="O49" s="26"/>
      <c r="P49" s="26"/>
      <c r="Q49" s="26"/>
      <c r="R49" s="26"/>
    </row>
    <row r="50" hidden="1" spans="11:18">
      <c r="K50" s="1">
        <f>K56/K65</f>
        <v>0.557407407407407</v>
      </c>
      <c r="L50" s="2">
        <f>L56/L65</f>
        <v>0.798057465388839</v>
      </c>
      <c r="M50" s="1"/>
      <c r="Q50" s="2"/>
      <c r="R50" s="2"/>
    </row>
    <row r="51" hidden="1" spans="1:18">
      <c r="A51" s="1" t="s">
        <v>83</v>
      </c>
      <c r="B51" s="1" t="s">
        <v>84</v>
      </c>
      <c r="C51" s="1" t="s">
        <v>85</v>
      </c>
      <c r="D51" s="1" t="s">
        <v>86</v>
      </c>
      <c r="E51" s="1" t="s">
        <v>87</v>
      </c>
      <c r="F51" s="2" t="s">
        <v>88</v>
      </c>
      <c r="G51" s="2" t="s">
        <v>89</v>
      </c>
      <c r="H51" s="1" t="s">
        <v>90</v>
      </c>
      <c r="I51" s="1" t="s">
        <v>91</v>
      </c>
      <c r="J51" s="1" t="s">
        <v>92</v>
      </c>
      <c r="K51" s="1" t="s">
        <v>93</v>
      </c>
      <c r="L51" s="1" t="s">
        <v>94</v>
      </c>
      <c r="M51" s="1"/>
      <c r="Q51" s="2"/>
      <c r="R51" s="2"/>
    </row>
    <row r="52" hidden="1" spans="1:17">
      <c r="A52" s="1" t="s">
        <v>95</v>
      </c>
      <c r="B52" s="1">
        <v>3</v>
      </c>
      <c r="C52" s="1">
        <v>13</v>
      </c>
      <c r="D52" s="1">
        <f>B52*F52/$M$4*(ROUNDDOWN($Q$4/$M$4,0)/(ROUNDDOWN($Q$4/$M$4,0)+1))</f>
        <v>0</v>
      </c>
      <c r="E52" s="1">
        <f>C52*G52/$M$4*(1/(ROUNDDOWN($Q$4/$M$4,0)+1))</f>
        <v>0</v>
      </c>
      <c r="F52" s="19">
        <v>0</v>
      </c>
      <c r="G52" s="19">
        <v>0</v>
      </c>
      <c r="H52" s="20">
        <f t="shared" ref="H52:H66" si="6">E52+D52</f>
        <v>0</v>
      </c>
      <c r="I52" s="1">
        <v>1</v>
      </c>
      <c r="J52" s="1">
        <f t="shared" ref="J52:J66" si="7">H52*$U$21*I52</f>
        <v>0</v>
      </c>
      <c r="K52" s="1">
        <f t="shared" ref="K52:K66" si="8">H52*$E$13*$B$12/20</f>
        <v>0</v>
      </c>
      <c r="L52" s="1">
        <f t="shared" ref="L52:L66" si="9">MIN(H52*$E$29*12/20*(1+$B$29)^$F$27,6*(1+$B$29)^4/20/4)</f>
        <v>0</v>
      </c>
      <c r="M52" s="1"/>
      <c r="N52" s="1"/>
      <c r="O52" s="1"/>
      <c r="Q52" s="2"/>
    </row>
    <row r="53" hidden="1" spans="1:17">
      <c r="A53" s="21" t="s">
        <v>96</v>
      </c>
      <c r="B53" s="1">
        <v>3</v>
      </c>
      <c r="C53" s="1">
        <v>13</v>
      </c>
      <c r="D53" s="1">
        <f>B53*F53/$M$4*(ROUNDDOWN($Q$4/$M$4,0)/(ROUNDDOWN($Q$4/$M$4,0)+1))</f>
        <v>0.381818181818182</v>
      </c>
      <c r="E53" s="1">
        <f>C53*G53/$M$4*(1/(ROUNDDOWN($Q$4/$M$4,0)+1))</f>
        <v>0</v>
      </c>
      <c r="F53" s="19">
        <v>0.21</v>
      </c>
      <c r="G53" s="19">
        <v>0</v>
      </c>
      <c r="H53" s="20">
        <f t="shared" si="6"/>
        <v>0.381818181818182</v>
      </c>
      <c r="I53" s="1">
        <f t="shared" ref="I53:I66" si="10">$I$52</f>
        <v>1</v>
      </c>
      <c r="J53" s="1">
        <f t="shared" si="7"/>
        <v>3.88416</v>
      </c>
      <c r="K53" s="1">
        <f t="shared" si="8"/>
        <v>0.445352727272727</v>
      </c>
      <c r="L53" s="1">
        <f t="shared" si="9"/>
        <v>0.211404030620808</v>
      </c>
      <c r="M53" s="1"/>
      <c r="N53" s="1"/>
      <c r="O53" s="1"/>
      <c r="Q53" s="2"/>
    </row>
    <row r="54" hidden="1" spans="1:17">
      <c r="A54" s="1" t="s">
        <v>97</v>
      </c>
      <c r="B54" s="1">
        <v>3</v>
      </c>
      <c r="C54" s="1">
        <v>13</v>
      </c>
      <c r="D54" s="1">
        <f>B54*F54/$M$4*(ROUNDDOWN($Q$4/$M$4,0)/(ROUNDDOWN($Q$4/$M$4,0)+1))</f>
        <v>0.381818181818182</v>
      </c>
      <c r="E54" s="1">
        <f>C54*G54/$M$4*(1/(ROUNDDOWN($Q$4/$M$4,0)+1))</f>
        <v>0</v>
      </c>
      <c r="F54" s="19">
        <v>0.21</v>
      </c>
      <c r="G54" s="19">
        <v>0</v>
      </c>
      <c r="H54" s="20">
        <f t="shared" si="6"/>
        <v>0.381818181818182</v>
      </c>
      <c r="I54" s="1">
        <f t="shared" si="10"/>
        <v>1</v>
      </c>
      <c r="J54" s="1">
        <f t="shared" si="7"/>
        <v>3.88416</v>
      </c>
      <c r="K54" s="1">
        <f t="shared" si="8"/>
        <v>0.445352727272727</v>
      </c>
      <c r="L54" s="1">
        <f t="shared" si="9"/>
        <v>0.211404030620808</v>
      </c>
      <c r="M54" s="1"/>
      <c r="N54" s="1"/>
      <c r="O54" s="1"/>
      <c r="Q54" s="2"/>
    </row>
    <row r="55" hidden="1" spans="1:18">
      <c r="A55" s="21" t="s">
        <v>98</v>
      </c>
      <c r="B55" s="1">
        <v>3</v>
      </c>
      <c r="C55" s="1">
        <v>13</v>
      </c>
      <c r="D55" s="1">
        <f>B55*F55/$M$4*(ROUNDDOWN($Q$4/$M$4,0)/(ROUNDDOWN($Q$4/$M$4,0)+1))</f>
        <v>0.381818181818182</v>
      </c>
      <c r="E55" s="1">
        <f>C55*G55/$M$4*(1/(ROUNDDOWN($Q$4/$M$4,0)+1))</f>
        <v>0.165454545454545</v>
      </c>
      <c r="F55" s="19">
        <v>0.21</v>
      </c>
      <c r="G55" s="19">
        <v>0.21</v>
      </c>
      <c r="H55" s="20">
        <f t="shared" si="6"/>
        <v>0.547272727272727</v>
      </c>
      <c r="I55" s="1">
        <f t="shared" si="10"/>
        <v>1</v>
      </c>
      <c r="J55" s="1">
        <f t="shared" si="7"/>
        <v>5.567296</v>
      </c>
      <c r="K55" s="1">
        <f t="shared" si="8"/>
        <v>0.638338909090909</v>
      </c>
      <c r="L55" s="1">
        <f t="shared" si="9"/>
        <v>0.303012443889825</v>
      </c>
      <c r="M55" s="1"/>
      <c r="Q55" s="2"/>
      <c r="R55" s="2"/>
    </row>
    <row r="56" hidden="1" spans="1:22">
      <c r="A56" s="1" t="s">
        <v>150</v>
      </c>
      <c r="B56" s="1">
        <v>3</v>
      </c>
      <c r="C56" s="1">
        <v>13</v>
      </c>
      <c r="D56" s="1">
        <f>B56*F56/$M$4*(ROUNDDOWN($Q$4/$M$4,0)/(ROUNDDOWN($Q$4/$M$4,0)+1))</f>
        <v>0.381818181818182</v>
      </c>
      <c r="E56" s="1">
        <f>C56*G56/$M$4*(1/(ROUNDDOWN($Q$4/$M$4,0)+1))</f>
        <v>0.165454545454545</v>
      </c>
      <c r="F56" s="19">
        <v>0.21</v>
      </c>
      <c r="G56" s="19">
        <v>0.21</v>
      </c>
      <c r="H56" s="20">
        <f t="shared" si="6"/>
        <v>0.547272727272727</v>
      </c>
      <c r="I56" s="1">
        <f t="shared" si="10"/>
        <v>1</v>
      </c>
      <c r="J56" s="1">
        <f t="shared" si="7"/>
        <v>5.567296</v>
      </c>
      <c r="K56" s="1">
        <f t="shared" si="8"/>
        <v>0.638338909090909</v>
      </c>
      <c r="L56" s="1">
        <f t="shared" si="9"/>
        <v>0.303012443889825</v>
      </c>
      <c r="O56" s="1"/>
      <c r="Q56" s="2"/>
      <c r="R56" s="2"/>
      <c r="S56" s="2"/>
      <c r="T56" s="2"/>
      <c r="U56" s="2"/>
      <c r="V56" s="2"/>
    </row>
    <row r="57" hidden="1" spans="1:20">
      <c r="A57" s="1" t="s">
        <v>151</v>
      </c>
      <c r="B57" s="1">
        <v>3</v>
      </c>
      <c r="C57" s="1">
        <v>13</v>
      </c>
      <c r="D57" s="1">
        <f>B57*F57/$M$4*(ROUNDDOWN($Q$4/$M$4,0)/(ROUNDDOWN($Q$4/$M$4,0)+1))</f>
        <v>0.381818181818182</v>
      </c>
      <c r="E57" s="1">
        <f>C57*G57/$M$4*(1/(ROUNDDOWN($Q$4/$M$4,0)+1))</f>
        <v>0.165454545454545</v>
      </c>
      <c r="F57" s="19">
        <v>0.21</v>
      </c>
      <c r="G57" s="19">
        <v>0.21</v>
      </c>
      <c r="H57" s="20">
        <f t="shared" si="6"/>
        <v>0.547272727272727</v>
      </c>
      <c r="I57" s="1">
        <f t="shared" si="10"/>
        <v>1</v>
      </c>
      <c r="J57" s="1">
        <f t="shared" si="7"/>
        <v>5.567296</v>
      </c>
      <c r="K57" s="1">
        <f t="shared" si="8"/>
        <v>0.638338909090909</v>
      </c>
      <c r="L57" s="1">
        <f t="shared" si="9"/>
        <v>0.303012443889825</v>
      </c>
      <c r="O57" s="1"/>
      <c r="Q57" s="2"/>
      <c r="R57" s="2"/>
      <c r="S57" s="2"/>
      <c r="T57" s="2"/>
    </row>
    <row r="58" hidden="1" spans="1:20">
      <c r="A58" s="21" t="s">
        <v>99</v>
      </c>
      <c r="B58" s="1">
        <v>3</v>
      </c>
      <c r="C58" s="1">
        <v>26</v>
      </c>
      <c r="D58" s="1">
        <f>B58*F58/$M$4*(ROUNDDOWN($Q$4/$M$4,0)/(ROUNDDOWN($Q$4/$M$4,0)+1))</f>
        <v>0.381818181818182</v>
      </c>
      <c r="E58" s="1">
        <f>C58*G58/$M$4*(1/(ROUNDDOWN($Q$4/$M$4,0)+1))</f>
        <v>0.330909090909091</v>
      </c>
      <c r="F58" s="19">
        <v>0.21</v>
      </c>
      <c r="G58" s="19">
        <v>0.21</v>
      </c>
      <c r="H58" s="20">
        <f t="shared" si="6"/>
        <v>0.712727272727273</v>
      </c>
      <c r="I58" s="1">
        <f t="shared" si="10"/>
        <v>1</v>
      </c>
      <c r="J58" s="1">
        <f t="shared" si="7"/>
        <v>7.250432</v>
      </c>
      <c r="K58" s="1">
        <f t="shared" si="8"/>
        <v>0.831325090909091</v>
      </c>
      <c r="L58" s="1">
        <f t="shared" si="9"/>
        <v>0.3796875</v>
      </c>
      <c r="O58" s="1"/>
      <c r="Q58" s="2"/>
      <c r="R58" s="2"/>
      <c r="S58" s="2"/>
      <c r="T58" s="2"/>
    </row>
    <row r="59" hidden="1" spans="1:20">
      <c r="A59" s="21" t="s">
        <v>152</v>
      </c>
      <c r="B59" s="1">
        <v>3</v>
      </c>
      <c r="C59" s="1">
        <v>26</v>
      </c>
      <c r="D59" s="1">
        <f>B59*F59/$M$4*(ROUNDDOWN($Q$4/$M$4,0)/(ROUNDDOWN($Q$4/$M$4,0)+1))</f>
        <v>0.490909090909091</v>
      </c>
      <c r="E59" s="1">
        <f>C59*G59/$M$4*(1/(ROUNDDOWN($Q$4/$M$4,0)+1))</f>
        <v>0.425454545454546</v>
      </c>
      <c r="F59" s="19">
        <v>0.27</v>
      </c>
      <c r="G59" s="19">
        <v>0.27</v>
      </c>
      <c r="H59" s="20">
        <f t="shared" si="6"/>
        <v>0.916363636363636</v>
      </c>
      <c r="I59" s="1">
        <f t="shared" si="10"/>
        <v>1</v>
      </c>
      <c r="J59" s="1">
        <f t="shared" si="7"/>
        <v>9.321984</v>
      </c>
      <c r="K59" s="1">
        <f t="shared" si="8"/>
        <v>1.06884654545455</v>
      </c>
      <c r="L59" s="1">
        <f t="shared" si="9"/>
        <v>0.3796875</v>
      </c>
      <c r="O59" s="1"/>
      <c r="Q59" s="2"/>
      <c r="R59" s="2"/>
      <c r="S59" s="2"/>
      <c r="T59" s="2"/>
    </row>
    <row r="60" hidden="1" spans="1:20">
      <c r="A60" s="1" t="s">
        <v>153</v>
      </c>
      <c r="B60" s="1">
        <v>3</v>
      </c>
      <c r="C60" s="1">
        <v>26</v>
      </c>
      <c r="D60" s="1">
        <f>B60*F60/$M$4*(ROUNDDOWN($Q$4/$M$4,0)/(ROUNDDOWN($Q$4/$M$4,0)+1))</f>
        <v>0.490909090909091</v>
      </c>
      <c r="E60" s="1">
        <f>C60*G60/$M$4*(1/(ROUNDDOWN($Q$4/$M$4,0)+1))</f>
        <v>0.425454545454546</v>
      </c>
      <c r="F60" s="19">
        <v>0.27</v>
      </c>
      <c r="G60" s="19">
        <v>0.27</v>
      </c>
      <c r="H60" s="20">
        <f t="shared" si="6"/>
        <v>0.916363636363636</v>
      </c>
      <c r="I60" s="1">
        <f t="shared" si="10"/>
        <v>1</v>
      </c>
      <c r="J60" s="1">
        <f t="shared" si="7"/>
        <v>9.321984</v>
      </c>
      <c r="K60" s="1">
        <f t="shared" si="8"/>
        <v>1.06884654545455</v>
      </c>
      <c r="L60" s="1">
        <f t="shared" si="9"/>
        <v>0.3796875</v>
      </c>
      <c r="O60" s="1"/>
      <c r="Q60" s="2"/>
      <c r="R60" s="2"/>
      <c r="S60" s="2"/>
      <c r="T60" s="2"/>
    </row>
    <row r="61" hidden="1" spans="1:20">
      <c r="A61" s="1" t="s">
        <v>154</v>
      </c>
      <c r="B61" s="1">
        <v>3</v>
      </c>
      <c r="C61" s="1">
        <v>30</v>
      </c>
      <c r="D61" s="1">
        <f>B61*F61/$M$4*(ROUNDDOWN($Q$4/$M$4,0)/(ROUNDDOWN($Q$4/$M$4,0)+1))</f>
        <v>0.490909090909091</v>
      </c>
      <c r="E61" s="1">
        <f>C61*G61/$M$4*(1/(ROUNDDOWN($Q$4/$M$4,0)+1))</f>
        <v>0.490909090909091</v>
      </c>
      <c r="F61" s="19">
        <v>0.27</v>
      </c>
      <c r="G61" s="19">
        <v>0.27</v>
      </c>
      <c r="H61" s="20">
        <f t="shared" si="6"/>
        <v>0.981818181818182</v>
      </c>
      <c r="I61" s="1">
        <f t="shared" si="10"/>
        <v>1</v>
      </c>
      <c r="J61" s="1">
        <f t="shared" si="7"/>
        <v>9.98784</v>
      </c>
      <c r="K61" s="1">
        <f t="shared" si="8"/>
        <v>1.14519272727273</v>
      </c>
      <c r="L61" s="1">
        <f t="shared" si="9"/>
        <v>0.3796875</v>
      </c>
      <c r="O61" s="1"/>
      <c r="Q61" s="2"/>
      <c r="R61" s="2"/>
      <c r="S61" s="2"/>
      <c r="T61" s="2"/>
    </row>
    <row r="62" hidden="1" spans="1:20">
      <c r="A62" s="1" t="s">
        <v>100</v>
      </c>
      <c r="B62" s="1">
        <v>3</v>
      </c>
      <c r="C62" s="1">
        <v>30</v>
      </c>
      <c r="D62" s="1">
        <f>B62*F62/$M$4*(ROUNDDOWN($Q$4/$M$4,0)/(ROUNDDOWN($Q$4/$M$4,0)+1))</f>
        <v>0.490909090909091</v>
      </c>
      <c r="E62" s="1">
        <f>C62*G62/$M$4*(1/(ROUNDDOWN($Q$4/$M$4,0)+1))</f>
        <v>0.490909090909091</v>
      </c>
      <c r="F62" s="19">
        <v>0.27</v>
      </c>
      <c r="G62" s="19">
        <v>0.27</v>
      </c>
      <c r="H62" s="20">
        <f t="shared" si="6"/>
        <v>0.981818181818182</v>
      </c>
      <c r="I62" s="1">
        <f t="shared" si="10"/>
        <v>1</v>
      </c>
      <c r="J62" s="1">
        <f t="shared" si="7"/>
        <v>9.98784</v>
      </c>
      <c r="K62" s="1">
        <f t="shared" si="8"/>
        <v>1.14519272727273</v>
      </c>
      <c r="L62" s="1">
        <f t="shared" si="9"/>
        <v>0.3796875</v>
      </c>
      <c r="O62" s="1"/>
      <c r="Q62" s="2"/>
      <c r="R62" s="2"/>
      <c r="S62" s="2"/>
      <c r="T62" s="2"/>
    </row>
    <row r="63" hidden="1" spans="1:20">
      <c r="A63" s="21" t="s">
        <v>155</v>
      </c>
      <c r="B63" s="1">
        <v>3</v>
      </c>
      <c r="C63" s="1">
        <v>30</v>
      </c>
      <c r="D63" s="1">
        <f>B63*F63/$M$4*(ROUNDDOWN($Q$4/$M$4,0)/(ROUNDDOWN($Q$4/$M$4,0)+1))</f>
        <v>0.490909090909091</v>
      </c>
      <c r="E63" s="1">
        <f>C63*G63/$M$4*(1/(ROUNDDOWN($Q$4/$M$4,0)+1))</f>
        <v>0.490909090909091</v>
      </c>
      <c r="F63" s="19">
        <v>0.27</v>
      </c>
      <c r="G63" s="19">
        <v>0.27</v>
      </c>
      <c r="H63" s="20">
        <f t="shared" si="6"/>
        <v>0.981818181818182</v>
      </c>
      <c r="I63" s="1">
        <f t="shared" si="10"/>
        <v>1</v>
      </c>
      <c r="J63" s="1">
        <f t="shared" si="7"/>
        <v>9.98784</v>
      </c>
      <c r="K63" s="1">
        <f t="shared" si="8"/>
        <v>1.14519272727273</v>
      </c>
      <c r="L63" s="1">
        <f t="shared" si="9"/>
        <v>0.3796875</v>
      </c>
      <c r="O63" s="1"/>
      <c r="Q63" s="2"/>
      <c r="R63" s="2"/>
      <c r="S63" s="2"/>
      <c r="T63" s="2"/>
    </row>
    <row r="64" hidden="1" spans="1:20">
      <c r="A64" s="1" t="s">
        <v>156</v>
      </c>
      <c r="B64" s="1">
        <v>3</v>
      </c>
      <c r="C64" s="1">
        <v>30</v>
      </c>
      <c r="D64" s="1">
        <f>B64*F64/$M$4*(ROUNDDOWN($Q$4/$M$4,0)/(ROUNDDOWN($Q$4/$M$4,0)+1))</f>
        <v>0.490909090909091</v>
      </c>
      <c r="E64" s="1">
        <f>C64*G64/$M$4*(1/(ROUNDDOWN($Q$4/$M$4,0)+1))</f>
        <v>0.490909090909091</v>
      </c>
      <c r="F64" s="19">
        <v>0.27</v>
      </c>
      <c r="G64" s="19">
        <v>0.27</v>
      </c>
      <c r="H64" s="20">
        <f t="shared" si="6"/>
        <v>0.981818181818182</v>
      </c>
      <c r="I64" s="1">
        <f t="shared" si="10"/>
        <v>1</v>
      </c>
      <c r="J64" s="1">
        <f t="shared" si="7"/>
        <v>9.98784</v>
      </c>
      <c r="K64" s="1">
        <f t="shared" si="8"/>
        <v>1.14519272727273</v>
      </c>
      <c r="L64" s="1">
        <f t="shared" si="9"/>
        <v>0.3796875</v>
      </c>
      <c r="O64" s="1"/>
      <c r="Q64" s="2"/>
      <c r="R64" s="2"/>
      <c r="S64" s="2"/>
      <c r="T64" s="2"/>
    </row>
    <row r="65" hidden="1" spans="1:20">
      <c r="A65" s="1" t="s">
        <v>157</v>
      </c>
      <c r="B65" s="1">
        <v>3</v>
      </c>
      <c r="C65" s="1">
        <v>30</v>
      </c>
      <c r="D65" s="1">
        <f>B65*F65/$M$4*(ROUNDDOWN($Q$4/$M$4,0)/(ROUNDDOWN($Q$4/$M$4,0)+1))</f>
        <v>0.490909090909091</v>
      </c>
      <c r="E65" s="1">
        <f>C65*G65/$M$4*(1/(ROUNDDOWN($Q$4/$M$4,0)+1))</f>
        <v>0.490909090909091</v>
      </c>
      <c r="F65" s="19">
        <v>0.27</v>
      </c>
      <c r="G65" s="19">
        <v>0.27</v>
      </c>
      <c r="H65" s="20">
        <f t="shared" si="6"/>
        <v>0.981818181818182</v>
      </c>
      <c r="I65" s="1">
        <f t="shared" si="10"/>
        <v>1</v>
      </c>
      <c r="J65" s="1">
        <f t="shared" si="7"/>
        <v>9.98784</v>
      </c>
      <c r="K65" s="1">
        <f t="shared" si="8"/>
        <v>1.14519272727273</v>
      </c>
      <c r="L65" s="1">
        <f t="shared" si="9"/>
        <v>0.3796875</v>
      </c>
      <c r="O65" s="1"/>
      <c r="Q65" s="2"/>
      <c r="R65" s="2"/>
      <c r="S65" s="2"/>
      <c r="T65" s="2"/>
    </row>
    <row r="66" hidden="1" spans="1:20">
      <c r="A66" s="1" t="s">
        <v>101</v>
      </c>
      <c r="B66" s="1">
        <v>3</v>
      </c>
      <c r="C66" s="1">
        <v>30</v>
      </c>
      <c r="D66" s="1">
        <f>B66*F66/$M$4*(ROUNDDOWN($Q$4/$M$4,0)/(ROUNDDOWN($Q$4/$M$4,0)+1))</f>
        <v>0.490909090909091</v>
      </c>
      <c r="E66" s="1">
        <f>C66*G66/$M$4*(1/(ROUNDDOWN($Q$4/$M$4,0)+1))</f>
        <v>0.490909090909091</v>
      </c>
      <c r="F66" s="19">
        <v>0.27</v>
      </c>
      <c r="G66" s="19">
        <v>0.27</v>
      </c>
      <c r="H66" s="20">
        <f t="shared" si="6"/>
        <v>0.981818181818182</v>
      </c>
      <c r="I66" s="1">
        <f t="shared" si="10"/>
        <v>1</v>
      </c>
      <c r="J66" s="1">
        <f t="shared" si="7"/>
        <v>9.98784</v>
      </c>
      <c r="K66" s="1">
        <f t="shared" si="8"/>
        <v>1.14519272727273</v>
      </c>
      <c r="L66" s="1">
        <f t="shared" si="9"/>
        <v>0.3796875</v>
      </c>
      <c r="O66" s="1"/>
      <c r="Q66" s="2"/>
      <c r="R66" s="2"/>
      <c r="S66" s="2"/>
      <c r="T66" s="2"/>
    </row>
    <row r="67" spans="12:20">
      <c r="L67" s="2">
        <f>L73/L82</f>
        <v>0.554917372027409</v>
      </c>
      <c r="M67" s="2">
        <f>M73/M83</f>
        <v>0.801841269464857</v>
      </c>
      <c r="O67" s="1"/>
      <c r="Q67" s="2"/>
      <c r="R67" s="2"/>
      <c r="S67" s="2"/>
      <c r="T67" s="2"/>
    </row>
    <row r="68" spans="1:20">
      <c r="A68" s="1" t="s">
        <v>65</v>
      </c>
      <c r="B68" s="1" t="s">
        <v>110</v>
      </c>
      <c r="C68" s="1" t="s">
        <v>85</v>
      </c>
      <c r="D68" s="1" t="s">
        <v>86</v>
      </c>
      <c r="E68" s="1" t="s">
        <v>87</v>
      </c>
      <c r="F68" s="2" t="s">
        <v>88</v>
      </c>
      <c r="G68" s="2" t="s">
        <v>89</v>
      </c>
      <c r="H68" s="1" t="s">
        <v>111</v>
      </c>
      <c r="I68" s="1" t="s">
        <v>112</v>
      </c>
      <c r="J68" s="1" t="s">
        <v>91</v>
      </c>
      <c r="K68" s="1" t="s">
        <v>92</v>
      </c>
      <c r="L68" s="1" t="s">
        <v>93</v>
      </c>
      <c r="M68" s="1" t="s">
        <v>94</v>
      </c>
      <c r="O68" s="1"/>
      <c r="Q68" s="2"/>
      <c r="R68" s="2"/>
      <c r="S68" s="2"/>
      <c r="T68" s="2"/>
    </row>
    <row r="69" spans="1:20">
      <c r="A69" s="1" t="s">
        <v>113</v>
      </c>
      <c r="B69" s="28">
        <v>3</v>
      </c>
      <c r="C69" s="28">
        <v>16</v>
      </c>
      <c r="D69" s="1">
        <f>(B69*F69/$M$3*(ROUNDDOWN($Q$3/$M$3,0)/(ROUNDDOWN($Q$3/$M$3,0)+1)))</f>
        <v>0</v>
      </c>
      <c r="E69" s="1">
        <f>C69*G69/$M$4*(1/(ROUNDDOWN($Q$4/$M$4,0)+1))</f>
        <v>0</v>
      </c>
      <c r="F69" s="29">
        <v>0</v>
      </c>
      <c r="G69" s="29">
        <v>0</v>
      </c>
      <c r="H69" s="1" t="e">
        <f t="shared" ref="H69:H83" si="11">H52/SUM(D69,E69)</f>
        <v>#DIV/0!</v>
      </c>
      <c r="I69" s="1" t="e">
        <f t="shared" ref="I69:I83" si="12">H69/$V$24</f>
        <v>#DIV/0!</v>
      </c>
      <c r="J69" s="1">
        <v>1.25</v>
      </c>
      <c r="K69" s="1">
        <f t="shared" ref="K69:K83" si="13">SUM(D69,E69)*$U$24*J69</f>
        <v>0</v>
      </c>
      <c r="L69" s="31">
        <f t="shared" ref="L69:L83" si="14">SUM(D69,E69)*$E$17*$B$16/20</f>
        <v>0</v>
      </c>
      <c r="M69" s="31">
        <f t="shared" ref="M69:M83" si="15">MIN(SUM(D69:E69)*$E$33*12/20*(1+$B$33)^$F$31,6*(1+$B$33)^4/20/4)</f>
        <v>0</v>
      </c>
      <c r="O69" s="1"/>
      <c r="Q69" s="2"/>
      <c r="R69" s="2"/>
      <c r="S69" s="2"/>
      <c r="T69" s="2"/>
    </row>
    <row r="70" spans="1:20">
      <c r="A70" s="1" t="s">
        <v>114</v>
      </c>
      <c r="B70" s="28">
        <v>3</v>
      </c>
      <c r="C70" s="28">
        <v>16</v>
      </c>
      <c r="D70" s="1">
        <f>(B70*F70/$M$3*(ROUNDDOWN($Q$3/$M$3,0)/(ROUNDDOWN($Q$3/$M$3,0)+1)))</f>
        <v>0.261728395061728</v>
      </c>
      <c r="E70" s="1">
        <f>C70*G70/$M$4*(1/(ROUNDDOWN($Q$4/$M$4,0)+1))</f>
        <v>0</v>
      </c>
      <c r="F70" s="29">
        <v>0.265</v>
      </c>
      <c r="G70" s="29">
        <v>0</v>
      </c>
      <c r="H70" s="1">
        <f t="shared" si="11"/>
        <v>1.45883361921098</v>
      </c>
      <c r="I70" s="1">
        <f t="shared" si="12"/>
        <v>1.65563077935844</v>
      </c>
      <c r="J70" s="1">
        <f t="shared" ref="J70:J83" si="16">$J$69</f>
        <v>1.25</v>
      </c>
      <c r="K70" s="1">
        <f t="shared" si="13"/>
        <v>2.93253789463941</v>
      </c>
      <c r="L70" s="31">
        <f t="shared" si="14"/>
        <v>0.229736435439561</v>
      </c>
      <c r="M70" s="31">
        <f t="shared" si="15"/>
        <v>0.161152922989798</v>
      </c>
      <c r="O70" s="1"/>
      <c r="Q70" s="2"/>
      <c r="R70" s="2"/>
      <c r="S70" s="2"/>
      <c r="T70" s="2"/>
    </row>
    <row r="71" spans="1:20">
      <c r="A71" s="1" t="s">
        <v>115</v>
      </c>
      <c r="B71" s="28">
        <v>3</v>
      </c>
      <c r="C71" s="28">
        <v>16</v>
      </c>
      <c r="D71" s="1">
        <f>(B71*F71/$M$3*(ROUNDDOWN($Q$3/$M$3,0)/(ROUNDDOWN($Q$3/$M$3,0)+1)))</f>
        <v>0.261728395061728</v>
      </c>
      <c r="E71" s="1">
        <f>C71*G71/$M$4*(1/(ROUNDDOWN($Q$4/$M$4,0)+1))</f>
        <v>0</v>
      </c>
      <c r="F71" s="29">
        <v>0.265</v>
      </c>
      <c r="G71" s="29">
        <v>0</v>
      </c>
      <c r="H71" s="1">
        <f t="shared" si="11"/>
        <v>1.45883361921098</v>
      </c>
      <c r="I71" s="1">
        <f t="shared" si="12"/>
        <v>1.65563077935844</v>
      </c>
      <c r="J71" s="1">
        <f t="shared" si="16"/>
        <v>1.25</v>
      </c>
      <c r="K71" s="1">
        <f t="shared" si="13"/>
        <v>2.93253789463941</v>
      </c>
      <c r="L71" s="31">
        <f t="shared" si="14"/>
        <v>0.229736435439561</v>
      </c>
      <c r="M71" s="31">
        <f t="shared" si="15"/>
        <v>0.161152922989798</v>
      </c>
      <c r="O71" s="1"/>
      <c r="Q71" s="2"/>
      <c r="R71" s="2"/>
      <c r="S71" s="2"/>
      <c r="T71" s="2"/>
    </row>
    <row r="72" spans="1:20">
      <c r="A72" s="1" t="s">
        <v>116</v>
      </c>
      <c r="B72" s="28">
        <v>3</v>
      </c>
      <c r="C72" s="28">
        <v>16</v>
      </c>
      <c r="D72" s="1">
        <f>(B72*F72/$M$3*(ROUNDDOWN($Q$3/$M$3,0)/(ROUNDDOWN($Q$3/$M$3,0)+1)))</f>
        <v>0.261728395061728</v>
      </c>
      <c r="E72" s="1">
        <f>C72*G72/$M$4*(1/(ROUNDDOWN($Q$4/$M$4,0)+1))</f>
        <v>0.232727272727273</v>
      </c>
      <c r="F72" s="29">
        <v>0.265</v>
      </c>
      <c r="G72" s="29">
        <v>0.24</v>
      </c>
      <c r="H72" s="1">
        <f t="shared" si="11"/>
        <v>1.10681859451607</v>
      </c>
      <c r="I72" s="1">
        <f t="shared" si="12"/>
        <v>1.25612880599651</v>
      </c>
      <c r="J72" s="1">
        <f t="shared" si="16"/>
        <v>1.25</v>
      </c>
      <c r="K72" s="1">
        <f t="shared" si="13"/>
        <v>5.54013248225702</v>
      </c>
      <c r="L72" s="31">
        <f t="shared" si="14"/>
        <v>0.434016655219781</v>
      </c>
      <c r="M72" s="31">
        <f t="shared" si="15"/>
        <v>0.304449106999938</v>
      </c>
      <c r="O72" s="1"/>
      <c r="Q72" s="2"/>
      <c r="R72" s="2"/>
      <c r="S72" s="2"/>
      <c r="T72" s="2"/>
    </row>
    <row r="73" spans="1:22">
      <c r="A73" s="1" t="s">
        <v>158</v>
      </c>
      <c r="B73" s="28">
        <v>3</v>
      </c>
      <c r="C73" s="28">
        <v>16</v>
      </c>
      <c r="D73" s="1">
        <f>(B73*F73/$M$3*(ROUNDDOWN($Q$3/$M$3,0)/(ROUNDDOWN($Q$3/$M$3,0)+1)))</f>
        <v>0.261728395061728</v>
      </c>
      <c r="E73" s="1">
        <f>C73*G73/$M$4*(1/(ROUNDDOWN($Q$4/$M$4,0)+1))</f>
        <v>0.232727272727273</v>
      </c>
      <c r="F73" s="29">
        <v>0.265</v>
      </c>
      <c r="G73" s="29">
        <v>0.24</v>
      </c>
      <c r="H73" s="1">
        <f t="shared" si="11"/>
        <v>1.10681859451607</v>
      </c>
      <c r="I73" s="1">
        <f t="shared" si="12"/>
        <v>1.25612880599651</v>
      </c>
      <c r="J73" s="1">
        <f t="shared" si="16"/>
        <v>1.25</v>
      </c>
      <c r="K73" s="1">
        <f t="shared" si="13"/>
        <v>5.54013248225702</v>
      </c>
      <c r="L73" s="31">
        <f t="shared" si="14"/>
        <v>0.434016655219781</v>
      </c>
      <c r="M73" s="31">
        <f t="shared" si="15"/>
        <v>0.304449106999938</v>
      </c>
      <c r="Q73" s="2"/>
      <c r="R73" s="2"/>
      <c r="S73" s="30"/>
      <c r="T73" s="2"/>
      <c r="V73" s="2"/>
    </row>
    <row r="74" spans="1:22">
      <c r="A74" s="1" t="s">
        <v>159</v>
      </c>
      <c r="B74" s="28">
        <v>3</v>
      </c>
      <c r="C74" s="28">
        <v>16</v>
      </c>
      <c r="D74" s="1">
        <f>(B74*F74/$M$3*(ROUNDDOWN($Q$3/$M$3,0)/(ROUNDDOWN($Q$3/$M$3,0)+1)))</f>
        <v>0.435555555555555</v>
      </c>
      <c r="E74" s="1">
        <f>C74*G74/$M$4*(1/(ROUNDDOWN($Q$4/$M$4,0)+1))</f>
        <v>0.31030303030303</v>
      </c>
      <c r="F74" s="29">
        <v>0.441</v>
      </c>
      <c r="G74" s="29">
        <v>0.32</v>
      </c>
      <c r="H74" s="1">
        <f t="shared" si="11"/>
        <v>0.733748645720477</v>
      </c>
      <c r="I74" s="1">
        <f t="shared" si="12"/>
        <v>0.832731591985408</v>
      </c>
      <c r="J74" s="1">
        <f t="shared" si="16"/>
        <v>1.25</v>
      </c>
      <c r="K74" s="1">
        <f t="shared" si="13"/>
        <v>8.3569784873995</v>
      </c>
      <c r="L74" s="31">
        <f t="shared" si="14"/>
        <v>0.654689732142858</v>
      </c>
      <c r="M74" s="31">
        <f t="shared" si="15"/>
        <v>0.3796875</v>
      </c>
      <c r="O74" s="1"/>
      <c r="Q74" s="2"/>
      <c r="R74" s="2"/>
      <c r="S74" s="2"/>
      <c r="T74" s="2"/>
      <c r="U74" s="2"/>
      <c r="V74" s="2"/>
    </row>
    <row r="75" spans="1:22">
      <c r="A75" s="1" t="s">
        <v>117</v>
      </c>
      <c r="B75" s="28">
        <v>4</v>
      </c>
      <c r="C75" s="28">
        <v>16</v>
      </c>
      <c r="D75" s="1">
        <f>(B75*F75/$M$3*(ROUNDDOWN($Q$3/$M$3,0)/(ROUNDDOWN($Q$3/$M$3,0)+1)))</f>
        <v>0.580740740740741</v>
      </c>
      <c r="E75" s="1">
        <f>C75*G75/$M$4*(1/(ROUNDDOWN($Q$4/$M$4,0)+1))</f>
        <v>0.31030303030303</v>
      </c>
      <c r="F75" s="29">
        <v>0.441</v>
      </c>
      <c r="G75" s="29">
        <v>0.32</v>
      </c>
      <c r="H75" s="1">
        <f t="shared" si="11"/>
        <v>0.79987908101572</v>
      </c>
      <c r="I75" s="1">
        <f t="shared" si="12"/>
        <v>0.90778304589034</v>
      </c>
      <c r="J75" s="1">
        <f t="shared" si="16"/>
        <v>1.25</v>
      </c>
      <c r="K75" s="1">
        <f t="shared" si="13"/>
        <v>9.98370705536929</v>
      </c>
      <c r="L75" s="31">
        <f t="shared" si="14"/>
        <v>0.782128434065935</v>
      </c>
      <c r="M75" s="31">
        <f t="shared" si="15"/>
        <v>0.3796875</v>
      </c>
      <c r="O75" s="1"/>
      <c r="Q75" s="2"/>
      <c r="R75" s="2"/>
      <c r="S75" s="2"/>
      <c r="T75" s="2"/>
      <c r="V75" s="2"/>
    </row>
    <row r="76" spans="1:22">
      <c r="A76" s="1" t="s">
        <v>160</v>
      </c>
      <c r="B76" s="28">
        <v>4</v>
      </c>
      <c r="C76" s="28">
        <v>16</v>
      </c>
      <c r="D76" s="1">
        <f>(B76*F76/$M$3*(ROUNDDOWN($Q$3/$M$3,0)/(ROUNDDOWN($Q$3/$M$3,0)+1)))</f>
        <v>0.580740740740741</v>
      </c>
      <c r="E76" s="1">
        <f>C76*G76/$M$4*(1/(ROUNDDOWN($Q$4/$M$4,0)+1))</f>
        <v>0.31030303030303</v>
      </c>
      <c r="F76" s="29">
        <v>0.441</v>
      </c>
      <c r="G76" s="29">
        <v>0.32</v>
      </c>
      <c r="H76" s="1">
        <f t="shared" si="11"/>
        <v>1.02841596130593</v>
      </c>
      <c r="I76" s="1">
        <f t="shared" si="12"/>
        <v>1.16714963043044</v>
      </c>
      <c r="J76" s="1">
        <f t="shared" si="16"/>
        <v>1.25</v>
      </c>
      <c r="K76" s="1">
        <f t="shared" si="13"/>
        <v>9.98370705536929</v>
      </c>
      <c r="L76" s="31">
        <f t="shared" si="14"/>
        <v>0.782128434065935</v>
      </c>
      <c r="M76" s="31">
        <f t="shared" si="15"/>
        <v>0.3796875</v>
      </c>
      <c r="O76" s="1"/>
      <c r="Q76" s="2"/>
      <c r="R76" s="2"/>
      <c r="S76" s="2"/>
      <c r="T76" s="2"/>
      <c r="V76" s="2"/>
    </row>
    <row r="77" spans="1:22">
      <c r="A77" s="1" t="s">
        <v>161</v>
      </c>
      <c r="B77" s="28">
        <v>4</v>
      </c>
      <c r="C77" s="28">
        <v>16</v>
      </c>
      <c r="D77" s="1">
        <f>(B77*F77/$M$3*(ROUNDDOWN($Q$3/$M$3,0)/(ROUNDDOWN($Q$3/$M$3,0)+1)))</f>
        <v>0.580740740740741</v>
      </c>
      <c r="E77" s="1">
        <f>C77*G77/$M$4*(1/(ROUNDDOWN($Q$4/$M$4,0)+1))</f>
        <v>0.31030303030303</v>
      </c>
      <c r="F77" s="29">
        <v>0.441</v>
      </c>
      <c r="G77" s="29">
        <v>0.32</v>
      </c>
      <c r="H77" s="1">
        <f t="shared" si="11"/>
        <v>1.02841596130593</v>
      </c>
      <c r="I77" s="1">
        <f t="shared" si="12"/>
        <v>1.16714963043044</v>
      </c>
      <c r="J77" s="1">
        <f t="shared" si="16"/>
        <v>1.25</v>
      </c>
      <c r="K77" s="1">
        <f t="shared" si="13"/>
        <v>9.98370705536929</v>
      </c>
      <c r="L77" s="31">
        <f t="shared" si="14"/>
        <v>0.782128434065935</v>
      </c>
      <c r="M77" s="31">
        <f t="shared" si="15"/>
        <v>0.3796875</v>
      </c>
      <c r="O77" s="1"/>
      <c r="Q77" s="2"/>
      <c r="R77" s="2"/>
      <c r="S77" s="2"/>
      <c r="T77" s="2"/>
      <c r="V77" s="2"/>
    </row>
    <row r="78" spans="1:22">
      <c r="A78" s="1" t="s">
        <v>162</v>
      </c>
      <c r="B78" s="28">
        <v>4</v>
      </c>
      <c r="C78" s="28">
        <v>16</v>
      </c>
      <c r="D78" s="1">
        <f>(B78*F78/$M$3*(ROUNDDOWN($Q$3/$M$3,0)/(ROUNDDOWN($Q$3/$M$3,0)+1)))</f>
        <v>0.580740740740741</v>
      </c>
      <c r="E78" s="1">
        <f>C78*G78/$M$4*(1/(ROUNDDOWN($Q$4/$M$4,0)+1))</f>
        <v>0.31030303030303</v>
      </c>
      <c r="F78" s="29">
        <v>0.441</v>
      </c>
      <c r="G78" s="29">
        <v>0.32</v>
      </c>
      <c r="H78" s="1">
        <f t="shared" si="11"/>
        <v>1.10187424425635</v>
      </c>
      <c r="I78" s="1">
        <f t="shared" si="12"/>
        <v>1.25051746117547</v>
      </c>
      <c r="J78" s="1">
        <f t="shared" si="16"/>
        <v>1.25</v>
      </c>
      <c r="K78" s="1">
        <f t="shared" si="13"/>
        <v>9.98370705536929</v>
      </c>
      <c r="L78" s="31">
        <f t="shared" si="14"/>
        <v>0.782128434065935</v>
      </c>
      <c r="M78" s="31">
        <f t="shared" si="15"/>
        <v>0.3796875</v>
      </c>
      <c r="O78" s="1"/>
      <c r="Q78" s="2"/>
      <c r="R78" s="2"/>
      <c r="S78" s="2"/>
      <c r="T78" s="2"/>
      <c r="V78" s="2"/>
    </row>
    <row r="79" spans="1:22">
      <c r="A79" s="1" t="s">
        <v>118</v>
      </c>
      <c r="B79" s="28">
        <v>4</v>
      </c>
      <c r="C79" s="28">
        <v>16</v>
      </c>
      <c r="D79" s="1">
        <f>(B79*F79/$M$3*(ROUNDDOWN($Q$3/$M$3,0)/(ROUNDDOWN($Q$3/$M$3,0)+1)))</f>
        <v>0.580740740740741</v>
      </c>
      <c r="E79" s="1">
        <f>C79*G79/$M$4*(1/(ROUNDDOWN($Q$4/$M$4,0)+1))</f>
        <v>0.31030303030303</v>
      </c>
      <c r="F79" s="29">
        <v>0.441</v>
      </c>
      <c r="G79" s="29">
        <v>0.32</v>
      </c>
      <c r="H79" s="1">
        <f t="shared" si="11"/>
        <v>1.10187424425635</v>
      </c>
      <c r="I79" s="1">
        <f t="shared" si="12"/>
        <v>1.25051746117547</v>
      </c>
      <c r="J79" s="1">
        <f t="shared" si="16"/>
        <v>1.25</v>
      </c>
      <c r="K79" s="1">
        <f t="shared" si="13"/>
        <v>9.98370705536929</v>
      </c>
      <c r="L79" s="31">
        <f t="shared" si="14"/>
        <v>0.782128434065935</v>
      </c>
      <c r="M79" s="31">
        <f t="shared" si="15"/>
        <v>0.3796875</v>
      </c>
      <c r="O79" s="1"/>
      <c r="Q79" s="2"/>
      <c r="R79" s="2"/>
      <c r="S79" s="2"/>
      <c r="T79" s="2"/>
      <c r="V79" s="2"/>
    </row>
    <row r="80" spans="1:22">
      <c r="A80" s="1" t="s">
        <v>163</v>
      </c>
      <c r="B80" s="28">
        <v>4</v>
      </c>
      <c r="C80" s="28">
        <v>16</v>
      </c>
      <c r="D80" s="1">
        <f>(B80*F80/$M$3*(ROUNDDOWN($Q$3/$M$3,0)/(ROUNDDOWN($Q$3/$M$3,0)+1)))</f>
        <v>0.580740740740741</v>
      </c>
      <c r="E80" s="1">
        <f>C80*G80/$M$4*(1/(ROUNDDOWN($Q$4/$M$4,0)+1))</f>
        <v>0.31030303030303</v>
      </c>
      <c r="F80" s="29">
        <v>0.441</v>
      </c>
      <c r="G80" s="29">
        <v>0.32</v>
      </c>
      <c r="H80" s="1">
        <f t="shared" si="11"/>
        <v>1.10187424425635</v>
      </c>
      <c r="I80" s="1">
        <f t="shared" si="12"/>
        <v>1.25051746117547</v>
      </c>
      <c r="J80" s="1">
        <f t="shared" si="16"/>
        <v>1.25</v>
      </c>
      <c r="K80" s="1">
        <f t="shared" si="13"/>
        <v>9.98370705536929</v>
      </c>
      <c r="L80" s="31">
        <f t="shared" si="14"/>
        <v>0.782128434065935</v>
      </c>
      <c r="M80" s="31">
        <f t="shared" si="15"/>
        <v>0.3796875</v>
      </c>
      <c r="O80" s="1"/>
      <c r="Q80" s="2"/>
      <c r="R80" s="2"/>
      <c r="S80" s="2"/>
      <c r="T80" s="2"/>
      <c r="V80" s="2"/>
    </row>
    <row r="81" spans="1:22">
      <c r="A81" s="1" t="s">
        <v>164</v>
      </c>
      <c r="B81" s="28">
        <v>4</v>
      </c>
      <c r="C81" s="28">
        <v>16</v>
      </c>
      <c r="D81" s="1">
        <f>(B81*F81/$M$3*(ROUNDDOWN($Q$3/$M$3,0)/(ROUNDDOWN($Q$3/$M$3,0)+1)))</f>
        <v>0.580740740740741</v>
      </c>
      <c r="E81" s="1">
        <f>C81*G81/$M$4*(1/(ROUNDDOWN($Q$4/$M$4,0)+1))</f>
        <v>0.31030303030303</v>
      </c>
      <c r="F81" s="29">
        <v>0.441</v>
      </c>
      <c r="G81" s="29">
        <v>0.32</v>
      </c>
      <c r="H81" s="1">
        <f t="shared" si="11"/>
        <v>1.10187424425635</v>
      </c>
      <c r="I81" s="1">
        <f t="shared" si="12"/>
        <v>1.25051746117547</v>
      </c>
      <c r="J81" s="1">
        <f t="shared" si="16"/>
        <v>1.25</v>
      </c>
      <c r="K81" s="1">
        <f t="shared" si="13"/>
        <v>9.98370705536929</v>
      </c>
      <c r="L81" s="31">
        <f t="shared" si="14"/>
        <v>0.782128434065935</v>
      </c>
      <c r="M81" s="31">
        <f t="shared" si="15"/>
        <v>0.3796875</v>
      </c>
      <c r="O81" s="1"/>
      <c r="Q81" s="2"/>
      <c r="R81" s="2"/>
      <c r="S81" s="2"/>
      <c r="T81" s="2"/>
      <c r="V81" s="2"/>
    </row>
    <row r="82" spans="1:22">
      <c r="A82" s="1" t="s">
        <v>165</v>
      </c>
      <c r="B82" s="28">
        <v>4</v>
      </c>
      <c r="C82" s="28">
        <v>16</v>
      </c>
      <c r="D82" s="1">
        <f>(B82*F82/$M$3*(ROUNDDOWN($Q$3/$M$3,0)/(ROUNDDOWN($Q$3/$M$3,0)+1)))</f>
        <v>0.580740740740741</v>
      </c>
      <c r="E82" s="1">
        <f>C82*G82/$M$4*(1/(ROUNDDOWN($Q$4/$M$4,0)+1))</f>
        <v>0.31030303030303</v>
      </c>
      <c r="F82" s="29">
        <v>0.441</v>
      </c>
      <c r="G82" s="29">
        <v>0.32</v>
      </c>
      <c r="H82" s="1">
        <f t="shared" si="11"/>
        <v>1.10187424425635</v>
      </c>
      <c r="I82" s="1">
        <f t="shared" si="12"/>
        <v>1.25051746117547</v>
      </c>
      <c r="J82" s="1">
        <f t="shared" si="16"/>
        <v>1.25</v>
      </c>
      <c r="K82" s="1">
        <f t="shared" si="13"/>
        <v>9.98370705536929</v>
      </c>
      <c r="L82" s="31">
        <f t="shared" si="14"/>
        <v>0.782128434065935</v>
      </c>
      <c r="M82" s="31">
        <f t="shared" si="15"/>
        <v>0.3796875</v>
      </c>
      <c r="O82" s="1"/>
      <c r="Q82" s="2"/>
      <c r="R82" s="2"/>
      <c r="S82" s="2"/>
      <c r="T82" s="2"/>
      <c r="V82" s="2"/>
    </row>
    <row r="83" spans="1:22">
      <c r="A83" s="1" t="s">
        <v>119</v>
      </c>
      <c r="B83" s="28">
        <v>4</v>
      </c>
      <c r="C83" s="28">
        <v>16</v>
      </c>
      <c r="D83" s="1">
        <f>(B83*F83/$M$3*(ROUNDDOWN($Q$3/$M$3,0)/(ROUNDDOWN($Q$3/$M$3,0)+1)))</f>
        <v>0.580740740740741</v>
      </c>
      <c r="E83" s="1">
        <f>C83*G83/$M$4*(1/(ROUNDDOWN($Q$4/$M$4,0)+1))</f>
        <v>0.31030303030303</v>
      </c>
      <c r="F83" s="29">
        <v>0.441</v>
      </c>
      <c r="G83" s="29">
        <v>0.32</v>
      </c>
      <c r="H83" s="1">
        <f t="shared" si="11"/>
        <v>1.10187424425635</v>
      </c>
      <c r="I83" s="1">
        <f t="shared" si="12"/>
        <v>1.25051746117547</v>
      </c>
      <c r="J83" s="1">
        <f t="shared" si="16"/>
        <v>1.25</v>
      </c>
      <c r="K83" s="1">
        <f t="shared" si="13"/>
        <v>9.98370705536929</v>
      </c>
      <c r="L83" s="31">
        <f t="shared" si="14"/>
        <v>0.782128434065935</v>
      </c>
      <c r="M83" s="31">
        <f t="shared" si="15"/>
        <v>0.3796875</v>
      </c>
      <c r="O83" s="1"/>
      <c r="Q83" s="2"/>
      <c r="R83" s="2"/>
      <c r="S83" s="2"/>
      <c r="T83" s="2"/>
      <c r="V83" s="2"/>
    </row>
    <row r="84" hidden="1" spans="13:22">
      <c r="M84" s="2">
        <f>M90/M99</f>
        <v>0.5</v>
      </c>
      <c r="N84" s="2">
        <f>N90/N99</f>
        <v>1</v>
      </c>
      <c r="O84" s="1"/>
      <c r="Q84" s="2"/>
      <c r="R84" s="2"/>
      <c r="S84" s="2"/>
      <c r="T84" s="2"/>
      <c r="V84" s="2"/>
    </row>
    <row r="85" hidden="1" spans="1:22">
      <c r="A85" s="1" t="s">
        <v>74</v>
      </c>
      <c r="B85" s="1" t="s">
        <v>84</v>
      </c>
      <c r="C85" s="1" t="s">
        <v>85</v>
      </c>
      <c r="D85" s="1" t="s">
        <v>86</v>
      </c>
      <c r="E85" s="1" t="s">
        <v>87</v>
      </c>
      <c r="F85" s="2" t="s">
        <v>88</v>
      </c>
      <c r="G85" s="2" t="s">
        <v>89</v>
      </c>
      <c r="H85" s="1" t="s">
        <v>90</v>
      </c>
      <c r="I85" s="1" t="s">
        <v>111</v>
      </c>
      <c r="J85" s="1" t="s">
        <v>112</v>
      </c>
      <c r="K85" s="1" t="s">
        <v>91</v>
      </c>
      <c r="L85" s="1" t="s">
        <v>92</v>
      </c>
      <c r="M85" s="1" t="s">
        <v>93</v>
      </c>
      <c r="N85" s="1" t="s">
        <v>94</v>
      </c>
      <c r="O85" s="1"/>
      <c r="Q85" s="2"/>
      <c r="R85" s="2"/>
      <c r="S85" s="2"/>
      <c r="T85" s="2"/>
      <c r="V85" s="2"/>
    </row>
    <row r="86" hidden="1" spans="1:22">
      <c r="A86" s="1" t="s">
        <v>128</v>
      </c>
      <c r="B86" s="1">
        <v>5</v>
      </c>
      <c r="C86" s="1">
        <v>5</v>
      </c>
      <c r="D86" s="1">
        <f t="shared" ref="D86:D100" si="17">B86*F86/$M$6*0.5*3</f>
        <v>0</v>
      </c>
      <c r="E86" s="1">
        <f t="shared" ref="E86:E100" si="18">C86*G86/$M$6*0.5*3</f>
        <v>0</v>
      </c>
      <c r="F86" s="19">
        <v>0</v>
      </c>
      <c r="G86" s="19">
        <v>0</v>
      </c>
      <c r="H86" s="20">
        <f t="shared" ref="H86:H100" si="19">SUM(D86:E86)</f>
        <v>0</v>
      </c>
      <c r="I86" s="1" t="e">
        <f t="shared" ref="I86:I100" si="20">H52/H86</f>
        <v>#DIV/0!</v>
      </c>
      <c r="J86" s="1" t="e">
        <f t="shared" ref="J86:J100" si="21">I86/$V$27</f>
        <v>#DIV/0!</v>
      </c>
      <c r="K86" s="1">
        <v>0.7</v>
      </c>
      <c r="L86" s="1">
        <f t="shared" ref="L86:L100" si="22">H86*$U$27*K86</f>
        <v>0</v>
      </c>
      <c r="M86" s="1">
        <f t="shared" ref="M86:M100" si="23">H86*$I$25*$B$20/20</f>
        <v>0</v>
      </c>
      <c r="N86" s="1">
        <f t="shared" ref="N86:N100" si="24">MIN(H86*$I$49*12/20*(1+$B$37)^$H$49,6*(1+$B$37)^4/20/4)</f>
        <v>0</v>
      </c>
      <c r="O86" s="1"/>
      <c r="Q86" s="2"/>
      <c r="R86" s="2"/>
      <c r="S86" s="2"/>
      <c r="T86" s="2"/>
      <c r="V86" s="2"/>
    </row>
    <row r="87" hidden="1" spans="1:22">
      <c r="A87" s="1" t="s">
        <v>129</v>
      </c>
      <c r="B87" s="1">
        <v>5</v>
      </c>
      <c r="C87" s="1">
        <v>5</v>
      </c>
      <c r="D87" s="1">
        <f t="shared" si="17"/>
        <v>0.227272727272727</v>
      </c>
      <c r="E87" s="1">
        <f t="shared" si="18"/>
        <v>0</v>
      </c>
      <c r="F87" s="19">
        <f t="shared" ref="F87:F92" si="25">1/30</f>
        <v>0.0333333333333333</v>
      </c>
      <c r="G87" s="19">
        <v>0</v>
      </c>
      <c r="H87" s="20">
        <f t="shared" si="19"/>
        <v>0.227272727272727</v>
      </c>
      <c r="I87" s="1">
        <f t="shared" si="20"/>
        <v>1.68</v>
      </c>
      <c r="J87" s="1">
        <f t="shared" si="21"/>
        <v>1.61963117629008</v>
      </c>
      <c r="K87" s="1">
        <f t="shared" ref="K87:K100" si="26">$K$86</f>
        <v>0.7</v>
      </c>
      <c r="L87" s="1">
        <f t="shared" si="22"/>
        <v>1.67872293383974</v>
      </c>
      <c r="M87" s="1">
        <f t="shared" si="23"/>
        <v>0.203948355786313</v>
      </c>
      <c r="N87" s="1">
        <f t="shared" si="24"/>
        <v>0.187348614645301</v>
      </c>
      <c r="O87" s="1"/>
      <c r="Q87" s="2"/>
      <c r="R87" s="2"/>
      <c r="S87" s="2"/>
      <c r="T87" s="2"/>
      <c r="V87" s="2"/>
    </row>
    <row r="88" hidden="1" spans="1:22">
      <c r="A88" s="1" t="s">
        <v>130</v>
      </c>
      <c r="B88" s="1">
        <v>5</v>
      </c>
      <c r="C88" s="1">
        <v>5</v>
      </c>
      <c r="D88" s="1">
        <f t="shared" si="17"/>
        <v>0.227272727272727</v>
      </c>
      <c r="E88" s="1">
        <f t="shared" si="18"/>
        <v>0</v>
      </c>
      <c r="F88" s="19">
        <f t="shared" si="25"/>
        <v>0.0333333333333333</v>
      </c>
      <c r="G88" s="19">
        <v>0</v>
      </c>
      <c r="H88" s="20">
        <f t="shared" si="19"/>
        <v>0.227272727272727</v>
      </c>
      <c r="I88" s="1">
        <f t="shared" si="20"/>
        <v>1.68</v>
      </c>
      <c r="J88" s="1">
        <f t="shared" si="21"/>
        <v>1.61963117629008</v>
      </c>
      <c r="K88" s="1">
        <f t="shared" si="26"/>
        <v>0.7</v>
      </c>
      <c r="L88" s="1">
        <f t="shared" si="22"/>
        <v>1.67872293383974</v>
      </c>
      <c r="M88" s="1">
        <f t="shared" si="23"/>
        <v>0.203948355786313</v>
      </c>
      <c r="N88" s="1">
        <f t="shared" si="24"/>
        <v>0.187348614645301</v>
      </c>
      <c r="O88" s="1"/>
      <c r="Q88" s="2"/>
      <c r="R88" s="2"/>
      <c r="S88" s="2"/>
      <c r="T88" s="2"/>
      <c r="V88" s="2"/>
    </row>
    <row r="89" hidden="1" spans="1:22">
      <c r="A89" s="1" t="s">
        <v>131</v>
      </c>
      <c r="B89" s="1">
        <v>5</v>
      </c>
      <c r="C89" s="1">
        <v>5</v>
      </c>
      <c r="D89" s="1">
        <f t="shared" si="17"/>
        <v>0.227272727272727</v>
      </c>
      <c r="E89" s="1">
        <f t="shared" si="18"/>
        <v>0.454545454545454</v>
      </c>
      <c r="F89" s="19">
        <f t="shared" si="25"/>
        <v>0.0333333333333333</v>
      </c>
      <c r="G89" s="19">
        <f t="shared" ref="G89:G92" si="27">2/30</f>
        <v>0.0666666666666667</v>
      </c>
      <c r="H89" s="20">
        <f t="shared" si="19"/>
        <v>0.681818181818182</v>
      </c>
      <c r="I89" s="1">
        <f t="shared" si="20"/>
        <v>0.802666666666667</v>
      </c>
      <c r="J89" s="1">
        <f t="shared" si="21"/>
        <v>0.773823784227484</v>
      </c>
      <c r="K89" s="1">
        <f t="shared" si="26"/>
        <v>0.7</v>
      </c>
      <c r="L89" s="1">
        <f t="shared" si="22"/>
        <v>5.03616880151922</v>
      </c>
      <c r="M89" s="1">
        <f t="shared" si="23"/>
        <v>0.61184506735894</v>
      </c>
      <c r="N89" s="1">
        <f t="shared" si="24"/>
        <v>0.3796875</v>
      </c>
      <c r="O89" s="1"/>
      <c r="Q89" s="2"/>
      <c r="R89" s="2"/>
      <c r="S89" s="2"/>
      <c r="T89" s="2"/>
      <c r="V89" s="2"/>
    </row>
    <row r="90" hidden="1" spans="1:14">
      <c r="A90" s="1" t="s">
        <v>166</v>
      </c>
      <c r="B90" s="1">
        <v>5</v>
      </c>
      <c r="C90" s="1">
        <v>5</v>
      </c>
      <c r="D90" s="1">
        <f t="shared" si="17"/>
        <v>0.227272727272727</v>
      </c>
      <c r="E90" s="1">
        <f t="shared" si="18"/>
        <v>0.454545454545454</v>
      </c>
      <c r="F90" s="19">
        <f t="shared" si="25"/>
        <v>0.0333333333333333</v>
      </c>
      <c r="G90" s="19">
        <f t="shared" si="27"/>
        <v>0.0666666666666667</v>
      </c>
      <c r="H90" s="20">
        <f t="shared" si="19"/>
        <v>0.681818181818182</v>
      </c>
      <c r="I90" s="1">
        <f t="shared" si="20"/>
        <v>0.802666666666667</v>
      </c>
      <c r="J90" s="1">
        <f t="shared" si="21"/>
        <v>0.773823784227484</v>
      </c>
      <c r="K90" s="1">
        <f t="shared" si="26"/>
        <v>0.7</v>
      </c>
      <c r="L90" s="1">
        <f t="shared" si="22"/>
        <v>5.03616880151922</v>
      </c>
      <c r="M90" s="1">
        <f t="shared" si="23"/>
        <v>0.61184506735894</v>
      </c>
      <c r="N90" s="1">
        <f t="shared" si="24"/>
        <v>0.3796875</v>
      </c>
    </row>
    <row r="91" hidden="1" spans="1:14">
      <c r="A91" s="1" t="s">
        <v>167</v>
      </c>
      <c r="B91" s="1">
        <v>5</v>
      </c>
      <c r="C91" s="1">
        <v>5</v>
      </c>
      <c r="D91" s="1">
        <f t="shared" si="17"/>
        <v>0.227272727272727</v>
      </c>
      <c r="E91" s="1">
        <f t="shared" si="18"/>
        <v>0.454545454545454</v>
      </c>
      <c r="F91" s="19">
        <f t="shared" si="25"/>
        <v>0.0333333333333333</v>
      </c>
      <c r="G91" s="19">
        <f t="shared" si="27"/>
        <v>0.0666666666666667</v>
      </c>
      <c r="H91" s="20">
        <f t="shared" si="19"/>
        <v>0.681818181818182</v>
      </c>
      <c r="I91" s="1">
        <f t="shared" si="20"/>
        <v>0.802666666666667</v>
      </c>
      <c r="J91" s="1">
        <f t="shared" si="21"/>
        <v>0.773823784227484</v>
      </c>
      <c r="K91" s="1">
        <f t="shared" si="26"/>
        <v>0.7</v>
      </c>
      <c r="L91" s="1">
        <f t="shared" si="22"/>
        <v>5.03616880151922</v>
      </c>
      <c r="M91" s="1">
        <f t="shared" si="23"/>
        <v>0.61184506735894</v>
      </c>
      <c r="N91" s="1">
        <f t="shared" si="24"/>
        <v>0.3796875</v>
      </c>
    </row>
    <row r="92" hidden="1" spans="1:18">
      <c r="A92" s="1" t="s">
        <v>132</v>
      </c>
      <c r="B92" s="1">
        <v>5</v>
      </c>
      <c r="C92" s="1">
        <v>5</v>
      </c>
      <c r="D92" s="1">
        <f t="shared" si="17"/>
        <v>0.227272727272727</v>
      </c>
      <c r="E92" s="1">
        <f t="shared" si="18"/>
        <v>0.454545454545454</v>
      </c>
      <c r="F92" s="19">
        <f t="shared" si="25"/>
        <v>0.0333333333333333</v>
      </c>
      <c r="G92" s="19">
        <f t="shared" si="27"/>
        <v>0.0666666666666667</v>
      </c>
      <c r="H92" s="20">
        <f t="shared" si="19"/>
        <v>0.681818181818182</v>
      </c>
      <c r="I92" s="1">
        <f t="shared" si="20"/>
        <v>1.04533333333333</v>
      </c>
      <c r="J92" s="1">
        <f t="shared" si="21"/>
        <v>1.00777050969161</v>
      </c>
      <c r="K92" s="1">
        <f t="shared" si="26"/>
        <v>0.7</v>
      </c>
      <c r="L92" s="1">
        <f t="shared" si="22"/>
        <v>5.03616880151922</v>
      </c>
      <c r="M92" s="1">
        <f t="shared" si="23"/>
        <v>0.61184506735894</v>
      </c>
      <c r="N92" s="1">
        <f t="shared" si="24"/>
        <v>0.3796875</v>
      </c>
      <c r="Q92" s="2"/>
      <c r="R92" s="2"/>
    </row>
    <row r="93" hidden="1" spans="1:18">
      <c r="A93" s="1" t="s">
        <v>168</v>
      </c>
      <c r="B93" s="1">
        <v>5</v>
      </c>
      <c r="C93" s="1">
        <v>5</v>
      </c>
      <c r="D93" s="1">
        <f t="shared" si="17"/>
        <v>0.454545454545454</v>
      </c>
      <c r="E93" s="1">
        <f t="shared" si="18"/>
        <v>0.909090909090909</v>
      </c>
      <c r="F93" s="19">
        <f t="shared" ref="F93:F100" si="28">2/30</f>
        <v>0.0666666666666667</v>
      </c>
      <c r="G93" s="19">
        <f t="shared" ref="G93:G100" si="29">4/30</f>
        <v>0.133333333333333</v>
      </c>
      <c r="H93" s="20">
        <f t="shared" si="19"/>
        <v>1.36363636363636</v>
      </c>
      <c r="I93" s="1">
        <f t="shared" si="20"/>
        <v>0.672</v>
      </c>
      <c r="J93" s="1">
        <f t="shared" si="21"/>
        <v>0.647852470516033</v>
      </c>
      <c r="K93" s="1">
        <f t="shared" si="26"/>
        <v>0.7</v>
      </c>
      <c r="L93" s="1">
        <f t="shared" si="22"/>
        <v>10.0723376030384</v>
      </c>
      <c r="M93" s="1">
        <f t="shared" si="23"/>
        <v>1.22369013471788</v>
      </c>
      <c r="N93" s="1">
        <f t="shared" si="24"/>
        <v>0.3796875</v>
      </c>
      <c r="Q93" s="2"/>
      <c r="R93" s="2"/>
    </row>
    <row r="94" hidden="1" spans="1:18">
      <c r="A94" s="1" t="s">
        <v>169</v>
      </c>
      <c r="B94" s="1">
        <v>5</v>
      </c>
      <c r="C94" s="1">
        <v>5</v>
      </c>
      <c r="D94" s="1">
        <f t="shared" si="17"/>
        <v>0.454545454545454</v>
      </c>
      <c r="E94" s="1">
        <f t="shared" si="18"/>
        <v>0.909090909090909</v>
      </c>
      <c r="F94" s="19">
        <f t="shared" si="28"/>
        <v>0.0666666666666667</v>
      </c>
      <c r="G94" s="19">
        <f t="shared" si="29"/>
        <v>0.133333333333333</v>
      </c>
      <c r="H94" s="20">
        <f t="shared" si="19"/>
        <v>1.36363636363636</v>
      </c>
      <c r="I94" s="1">
        <f t="shared" si="20"/>
        <v>0.672</v>
      </c>
      <c r="J94" s="1">
        <f t="shared" si="21"/>
        <v>0.647852470516033</v>
      </c>
      <c r="K94" s="1">
        <f t="shared" si="26"/>
        <v>0.7</v>
      </c>
      <c r="L94" s="1">
        <f t="shared" si="22"/>
        <v>10.0723376030384</v>
      </c>
      <c r="M94" s="1">
        <f t="shared" si="23"/>
        <v>1.22369013471788</v>
      </c>
      <c r="N94" s="1">
        <f t="shared" si="24"/>
        <v>0.3796875</v>
      </c>
      <c r="Q94" s="2"/>
      <c r="R94" s="2"/>
    </row>
    <row r="95" hidden="1" spans="1:18">
      <c r="A95" s="1" t="s">
        <v>170</v>
      </c>
      <c r="B95" s="1">
        <v>5</v>
      </c>
      <c r="C95" s="1">
        <v>5</v>
      </c>
      <c r="D95" s="1">
        <f t="shared" si="17"/>
        <v>0.454545454545454</v>
      </c>
      <c r="E95" s="1">
        <f t="shared" si="18"/>
        <v>0.909090909090909</v>
      </c>
      <c r="F95" s="19">
        <f t="shared" si="28"/>
        <v>0.0666666666666667</v>
      </c>
      <c r="G95" s="19">
        <f t="shared" si="29"/>
        <v>0.133333333333333</v>
      </c>
      <c r="H95" s="20">
        <f t="shared" si="19"/>
        <v>1.36363636363636</v>
      </c>
      <c r="I95" s="1">
        <f t="shared" si="20"/>
        <v>0.72</v>
      </c>
      <c r="J95" s="1">
        <f t="shared" si="21"/>
        <v>0.694127646981464</v>
      </c>
      <c r="K95" s="1">
        <f t="shared" si="26"/>
        <v>0.7</v>
      </c>
      <c r="L95" s="1">
        <f t="shared" si="22"/>
        <v>10.0723376030384</v>
      </c>
      <c r="M95" s="1">
        <f t="shared" si="23"/>
        <v>1.22369013471788</v>
      </c>
      <c r="N95" s="1">
        <f t="shared" si="24"/>
        <v>0.3796875</v>
      </c>
      <c r="Q95" s="2"/>
      <c r="R95" s="2"/>
    </row>
    <row r="96" hidden="1" spans="1:14">
      <c r="A96" s="1" t="s">
        <v>133</v>
      </c>
      <c r="B96" s="1">
        <v>5</v>
      </c>
      <c r="C96" s="1">
        <v>5</v>
      </c>
      <c r="D96" s="1">
        <f t="shared" si="17"/>
        <v>0.454545454545454</v>
      </c>
      <c r="E96" s="1">
        <f t="shared" si="18"/>
        <v>0.909090909090909</v>
      </c>
      <c r="F96" s="19">
        <f t="shared" si="28"/>
        <v>0.0666666666666667</v>
      </c>
      <c r="G96" s="19">
        <f t="shared" si="29"/>
        <v>0.133333333333333</v>
      </c>
      <c r="H96" s="20">
        <f t="shared" si="19"/>
        <v>1.36363636363636</v>
      </c>
      <c r="I96" s="1">
        <f t="shared" si="20"/>
        <v>0.72</v>
      </c>
      <c r="J96" s="1">
        <f t="shared" si="21"/>
        <v>0.694127646981464</v>
      </c>
      <c r="K96" s="1">
        <f t="shared" si="26"/>
        <v>0.7</v>
      </c>
      <c r="L96" s="1">
        <f t="shared" si="22"/>
        <v>10.0723376030384</v>
      </c>
      <c r="M96" s="1">
        <f t="shared" si="23"/>
        <v>1.22369013471788</v>
      </c>
      <c r="N96" s="1">
        <f t="shared" si="24"/>
        <v>0.3796875</v>
      </c>
    </row>
    <row r="97" hidden="1" spans="1:14">
      <c r="A97" s="1" t="s">
        <v>171</v>
      </c>
      <c r="B97" s="1">
        <v>5</v>
      </c>
      <c r="C97" s="1">
        <v>5</v>
      </c>
      <c r="D97" s="1">
        <f t="shared" si="17"/>
        <v>0.454545454545454</v>
      </c>
      <c r="E97" s="1">
        <f t="shared" si="18"/>
        <v>0.909090909090909</v>
      </c>
      <c r="F97" s="19">
        <f t="shared" si="28"/>
        <v>0.0666666666666667</v>
      </c>
      <c r="G97" s="19">
        <f t="shared" si="29"/>
        <v>0.133333333333333</v>
      </c>
      <c r="H97" s="20">
        <f t="shared" si="19"/>
        <v>1.36363636363636</v>
      </c>
      <c r="I97" s="1">
        <f t="shared" si="20"/>
        <v>0.72</v>
      </c>
      <c r="J97" s="1">
        <f t="shared" si="21"/>
        <v>0.694127646981464</v>
      </c>
      <c r="K97" s="1">
        <f t="shared" si="26"/>
        <v>0.7</v>
      </c>
      <c r="L97" s="1">
        <f t="shared" si="22"/>
        <v>10.0723376030384</v>
      </c>
      <c r="M97" s="1">
        <f t="shared" si="23"/>
        <v>1.22369013471788</v>
      </c>
      <c r="N97" s="1">
        <f t="shared" si="24"/>
        <v>0.3796875</v>
      </c>
    </row>
    <row r="98" hidden="1" spans="1:14">
      <c r="A98" s="1" t="s">
        <v>172</v>
      </c>
      <c r="B98" s="1">
        <v>5</v>
      </c>
      <c r="C98" s="1">
        <v>5</v>
      </c>
      <c r="D98" s="1">
        <f t="shared" si="17"/>
        <v>0.454545454545454</v>
      </c>
      <c r="E98" s="1">
        <f t="shared" si="18"/>
        <v>0.909090909090909</v>
      </c>
      <c r="F98" s="19">
        <f t="shared" si="28"/>
        <v>0.0666666666666667</v>
      </c>
      <c r="G98" s="19">
        <f t="shared" si="29"/>
        <v>0.133333333333333</v>
      </c>
      <c r="H98" s="20">
        <f t="shared" si="19"/>
        <v>1.36363636363636</v>
      </c>
      <c r="I98" s="1">
        <f t="shared" si="20"/>
        <v>0.72</v>
      </c>
      <c r="J98" s="1">
        <f t="shared" si="21"/>
        <v>0.694127646981464</v>
      </c>
      <c r="K98" s="1">
        <f t="shared" si="26"/>
        <v>0.7</v>
      </c>
      <c r="L98" s="1">
        <f t="shared" si="22"/>
        <v>10.0723376030384</v>
      </c>
      <c r="M98" s="1">
        <f t="shared" si="23"/>
        <v>1.22369013471788</v>
      </c>
      <c r="N98" s="1">
        <f t="shared" si="24"/>
        <v>0.3796875</v>
      </c>
    </row>
    <row r="99" hidden="1" spans="1:14">
      <c r="A99" s="1" t="s">
        <v>173</v>
      </c>
      <c r="B99" s="1">
        <v>5</v>
      </c>
      <c r="C99" s="1">
        <v>5</v>
      </c>
      <c r="D99" s="1">
        <f t="shared" si="17"/>
        <v>0.454545454545454</v>
      </c>
      <c r="E99" s="1">
        <f t="shared" si="18"/>
        <v>0.909090909090909</v>
      </c>
      <c r="F99" s="19">
        <f t="shared" si="28"/>
        <v>0.0666666666666667</v>
      </c>
      <c r="G99" s="19">
        <f t="shared" si="29"/>
        <v>0.133333333333333</v>
      </c>
      <c r="H99" s="20">
        <f t="shared" si="19"/>
        <v>1.36363636363636</v>
      </c>
      <c r="I99" s="1">
        <f t="shared" si="20"/>
        <v>0.72</v>
      </c>
      <c r="J99" s="1">
        <f t="shared" si="21"/>
        <v>0.694127646981464</v>
      </c>
      <c r="K99" s="1">
        <f t="shared" si="26"/>
        <v>0.7</v>
      </c>
      <c r="L99" s="1">
        <f t="shared" si="22"/>
        <v>10.0723376030384</v>
      </c>
      <c r="M99" s="1">
        <f t="shared" si="23"/>
        <v>1.22369013471788</v>
      </c>
      <c r="N99" s="1">
        <f t="shared" si="24"/>
        <v>0.3796875</v>
      </c>
    </row>
    <row r="100" hidden="1" spans="1:14">
      <c r="A100" s="1" t="s">
        <v>134</v>
      </c>
      <c r="B100" s="1">
        <v>5</v>
      </c>
      <c r="C100" s="1">
        <v>5</v>
      </c>
      <c r="D100" s="1">
        <f t="shared" si="17"/>
        <v>0.454545454545454</v>
      </c>
      <c r="E100" s="1">
        <f t="shared" si="18"/>
        <v>0.909090909090909</v>
      </c>
      <c r="F100" s="19">
        <f t="shared" si="28"/>
        <v>0.0666666666666667</v>
      </c>
      <c r="G100" s="19">
        <f t="shared" si="29"/>
        <v>0.133333333333333</v>
      </c>
      <c r="H100" s="20">
        <f t="shared" si="19"/>
        <v>1.36363636363636</v>
      </c>
      <c r="I100" s="1">
        <f t="shared" si="20"/>
        <v>0.72</v>
      </c>
      <c r="J100" s="1">
        <f t="shared" si="21"/>
        <v>0.694127646981464</v>
      </c>
      <c r="K100" s="1">
        <f t="shared" si="26"/>
        <v>0.7</v>
      </c>
      <c r="L100" s="1">
        <f t="shared" si="22"/>
        <v>10.0723376030384</v>
      </c>
      <c r="M100" s="1">
        <f t="shared" si="23"/>
        <v>1.22369013471788</v>
      </c>
      <c r="N100" s="1">
        <f t="shared" si="24"/>
        <v>0.3796875</v>
      </c>
    </row>
    <row r="101" hidden="1"/>
    <row r="102" hidden="1"/>
    <row r="105" spans="6:7">
      <c r="F105" s="1">
        <f>F83-F73</f>
        <v>0.176</v>
      </c>
      <c r="G105" s="1">
        <f>G83-G73</f>
        <v>0.08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5"/>
  <sheetViews>
    <sheetView workbookViewId="0">
      <selection activeCell="F105" sqref="F105:G105"/>
    </sheetView>
  </sheetViews>
  <sheetFormatPr defaultColWidth="9" defaultRowHeight="16.5"/>
  <cols>
    <col min="1" max="1" width="14.875" style="1" customWidth="1"/>
    <col min="2" max="2" width="18" style="1" customWidth="1"/>
    <col min="3" max="3" width="11.25" style="1" customWidth="1"/>
    <col min="4" max="11" width="9.00833333333333" style="1" customWidth="1"/>
    <col min="12" max="14" width="9.00833333333333" style="2" customWidth="1"/>
    <col min="15" max="16" width="10.625" style="2" customWidth="1"/>
    <col min="17" max="18" width="12.625" style="1"/>
    <col min="19" max="22" width="9.00833333333333" style="1" customWidth="1"/>
    <col min="23" max="24" width="9.375" style="1"/>
    <col min="25" max="16384" width="9" style="1"/>
  </cols>
  <sheetData>
    <row r="1" spans="1:20">
      <c r="A1" s="1" t="s">
        <v>0</v>
      </c>
      <c r="G1" s="3" t="s">
        <v>1</v>
      </c>
      <c r="H1" s="4" t="s">
        <v>2</v>
      </c>
      <c r="I1" s="22"/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</row>
    <row r="2" spans="2:20">
      <c r="B2" s="5" t="s">
        <v>12</v>
      </c>
      <c r="C2" s="6">
        <v>60</v>
      </c>
      <c r="G2" s="7"/>
      <c r="H2" s="8" t="s">
        <v>13</v>
      </c>
      <c r="I2" s="23">
        <v>1.2</v>
      </c>
      <c r="L2" s="2" t="s">
        <v>14</v>
      </c>
      <c r="M2" s="2">
        <v>1.3</v>
      </c>
      <c r="N2" s="2">
        <v>7</v>
      </c>
      <c r="O2" s="2">
        <f>3/1.5</f>
        <v>2</v>
      </c>
      <c r="P2" s="2">
        <f>3/2</f>
        <v>1.5</v>
      </c>
      <c r="Q2" s="2">
        <v>19.5</v>
      </c>
      <c r="R2" s="2">
        <v>0.5</v>
      </c>
      <c r="S2" s="2">
        <v>3</v>
      </c>
      <c r="T2" s="2">
        <v>0.8</v>
      </c>
    </row>
    <row r="3" spans="2:20">
      <c r="B3" s="1" t="s">
        <v>15</v>
      </c>
      <c r="C3" s="2">
        <v>2</v>
      </c>
      <c r="G3" s="3" t="s">
        <v>16</v>
      </c>
      <c r="H3" s="4" t="s">
        <v>17</v>
      </c>
      <c r="I3" s="22">
        <f>3*1.5</f>
        <v>4.5</v>
      </c>
      <c r="L3" s="25" t="s">
        <v>18</v>
      </c>
      <c r="M3" s="25">
        <v>2.75</v>
      </c>
      <c r="N3" s="2">
        <v>5</v>
      </c>
      <c r="O3" s="2">
        <f>3/1</f>
        <v>3</v>
      </c>
      <c r="P3" s="2">
        <f>3/1.5</f>
        <v>2</v>
      </c>
      <c r="Q3" s="25">
        <f>8*M3</f>
        <v>22</v>
      </c>
      <c r="R3" s="2"/>
      <c r="S3" s="2" t="s">
        <v>19</v>
      </c>
      <c r="T3" s="2" t="s">
        <v>20</v>
      </c>
    </row>
    <row r="4" spans="2:20">
      <c r="B4" s="5" t="s">
        <v>21</v>
      </c>
      <c r="C4" s="6" t="str">
        <f>IF((D4-C3*2)&lt;0,"相交",IF((D4-C3*2)&lt;0=0,"相切","否"))</f>
        <v>相交</v>
      </c>
      <c r="D4" s="5">
        <f>((D6-D7)^2+(E6-E7)^2)^0.5</f>
        <v>3.99644842328786</v>
      </c>
      <c r="E4" s="5"/>
      <c r="G4" s="9"/>
      <c r="H4" s="8" t="s">
        <v>22</v>
      </c>
      <c r="I4" s="23">
        <f>1*1.5+2</f>
        <v>3.5</v>
      </c>
      <c r="L4" s="2" t="s">
        <v>23</v>
      </c>
      <c r="M4" s="2">
        <v>1.5</v>
      </c>
      <c r="N4" s="2">
        <v>8</v>
      </c>
      <c r="O4" s="2">
        <f>3/1</f>
        <v>3</v>
      </c>
      <c r="P4" s="2">
        <f>3/3</f>
        <v>1</v>
      </c>
      <c r="Q4" s="2">
        <v>16</v>
      </c>
      <c r="R4" s="2"/>
      <c r="S4" s="2">
        <v>4.6</v>
      </c>
      <c r="T4" s="2">
        <v>6.2</v>
      </c>
    </row>
    <row r="5" spans="2:18">
      <c r="B5" s="5"/>
      <c r="C5" s="6"/>
      <c r="D5" s="6" t="s">
        <v>24</v>
      </c>
      <c r="E5" s="6" t="s">
        <v>25</v>
      </c>
      <c r="F5" s="2"/>
      <c r="G5" s="3" t="s">
        <v>26</v>
      </c>
      <c r="H5" s="4" t="s">
        <v>27</v>
      </c>
      <c r="I5" s="22">
        <v>0.5</v>
      </c>
      <c r="J5" s="2"/>
      <c r="L5" s="2" t="s">
        <v>28</v>
      </c>
      <c r="M5" s="2">
        <v>1.2</v>
      </c>
      <c r="N5" s="2">
        <v>8</v>
      </c>
      <c r="O5" s="2">
        <f>3/0.75</f>
        <v>4</v>
      </c>
      <c r="P5" s="2">
        <f>3/1</f>
        <v>3</v>
      </c>
      <c r="Q5" s="2">
        <v>20</v>
      </c>
      <c r="R5" s="2"/>
    </row>
    <row r="6" spans="2:18">
      <c r="B6" s="5" t="s">
        <v>29</v>
      </c>
      <c r="C6" s="6" t="s">
        <v>30</v>
      </c>
      <c r="D6" s="6">
        <v>0</v>
      </c>
      <c r="E6" s="6">
        <v>4</v>
      </c>
      <c r="F6" s="2"/>
      <c r="G6" s="10"/>
      <c r="H6" s="1" t="s">
        <v>31</v>
      </c>
      <c r="I6" s="24">
        <v>15</v>
      </c>
      <c r="J6" s="2"/>
      <c r="L6" s="2" t="s">
        <v>32</v>
      </c>
      <c r="M6" s="2">
        <v>1.1</v>
      </c>
      <c r="N6" s="2">
        <v>7</v>
      </c>
      <c r="O6" s="2">
        <f>3/1.25</f>
        <v>2.4</v>
      </c>
      <c r="P6" s="2">
        <f>3/2</f>
        <v>1.5</v>
      </c>
      <c r="Q6" s="2">
        <v>20</v>
      </c>
      <c r="R6" s="2"/>
    </row>
    <row r="7" spans="2:10">
      <c r="B7" s="5" t="s">
        <v>33</v>
      </c>
      <c r="C7" s="6" t="s">
        <v>29</v>
      </c>
      <c r="D7" s="6">
        <f>ROUND(D6*COS(C2/180*PI())-E6*SIN(C2/180*PI()),2)</f>
        <v>-3.46</v>
      </c>
      <c r="E7" s="6">
        <f>ROUND(D6*SIN(C2/180*PI())+E6*COS(C2/180*PI()),2)</f>
        <v>2</v>
      </c>
      <c r="F7" s="2"/>
      <c r="G7" s="10"/>
      <c r="H7" s="1" t="s">
        <v>34</v>
      </c>
      <c r="I7" s="24">
        <f>90-I6</f>
        <v>75</v>
      </c>
      <c r="J7" s="2"/>
    </row>
    <row r="8" spans="2:12">
      <c r="B8" s="5" t="s">
        <v>35</v>
      </c>
      <c r="C8" s="6" t="s">
        <v>36</v>
      </c>
      <c r="D8" s="6">
        <f>ROUND(D6*COS((-1)*C2/180*PI())-E6*SIN((-1)*C2/180*PI()),2)</f>
        <v>3.46</v>
      </c>
      <c r="E8" s="6">
        <f>ROUND(D6*SIN((-1)*C2/180*PI())+E6*COS((-1)*C2/180*PI()),2)</f>
        <v>2</v>
      </c>
      <c r="F8" s="2"/>
      <c r="G8" s="7"/>
      <c r="H8" s="8" t="s">
        <v>37</v>
      </c>
      <c r="I8" s="23">
        <v>90</v>
      </c>
      <c r="J8" s="2"/>
      <c r="L8" s="1"/>
    </row>
    <row r="9" hidden="1" spans="11:23">
      <c r="K9" s="2"/>
      <c r="Q9" s="2" t="s">
        <v>38</v>
      </c>
      <c r="R9" s="2" t="s">
        <v>39</v>
      </c>
      <c r="S9" s="2" t="s">
        <v>40</v>
      </c>
      <c r="T9" s="2" t="s">
        <v>41</v>
      </c>
      <c r="U9" s="2" t="s">
        <v>42</v>
      </c>
      <c r="W9" s="2"/>
    </row>
    <row r="10" hidden="1" spans="2:23">
      <c r="B10" s="2" t="s">
        <v>43</v>
      </c>
      <c r="C10" s="1" t="s">
        <v>44</v>
      </c>
      <c r="D10" s="1" t="s">
        <v>45</v>
      </c>
      <c r="E10" s="1" t="s">
        <v>46</v>
      </c>
      <c r="F10" s="2" t="s">
        <v>47</v>
      </c>
      <c r="H10" s="2"/>
      <c r="I10" s="2"/>
      <c r="K10" s="2"/>
      <c r="O10" s="12"/>
      <c r="Q10" s="2">
        <v>1</v>
      </c>
      <c r="R10" s="2">
        <v>5</v>
      </c>
      <c r="S10" s="2">
        <f>PI()*R10^2-PI()*$S$2^2</f>
        <v>50.2654824574367</v>
      </c>
      <c r="T10" s="2">
        <f>S10/(PI()*$R$2^2)</f>
        <v>64</v>
      </c>
      <c r="U10" s="12">
        <v>0.5</v>
      </c>
      <c r="W10" s="2"/>
    </row>
    <row r="11" hidden="1" spans="1:23">
      <c r="A11" s="1" t="s">
        <v>48</v>
      </c>
      <c r="B11" s="2">
        <v>7</v>
      </c>
      <c r="C11" s="1">
        <f>PI()*(C3+I2)^2</f>
        <v>32.1699087727595</v>
      </c>
      <c r="D11" s="1">
        <f>PI()*(N4^2-S2^2)</f>
        <v>172.787595947439</v>
      </c>
      <c r="E11" s="11">
        <f t="shared" ref="E11:E16" si="0">C11/D11</f>
        <v>0.186181818181818</v>
      </c>
      <c r="F11" s="2">
        <v>6</v>
      </c>
      <c r="G11" s="12"/>
      <c r="H11" s="12"/>
      <c r="I11" s="12"/>
      <c r="K11" s="2"/>
      <c r="O11" s="12"/>
      <c r="Q11" s="2">
        <v>2</v>
      </c>
      <c r="R11" s="2">
        <f t="shared" ref="R11:R18" si="1">R10+0.5</f>
        <v>5.5</v>
      </c>
      <c r="S11" s="2">
        <f>PI()*R11^2-PI()*$S$2^2</f>
        <v>66.7588438887831</v>
      </c>
      <c r="T11" s="2">
        <f>S11/(PI()*$R$2^2)</f>
        <v>85</v>
      </c>
      <c r="U11" s="12">
        <f t="shared" ref="U11:U18" si="2">U10+2%</f>
        <v>0.52</v>
      </c>
      <c r="W11" s="2"/>
    </row>
    <row r="12" hidden="1" spans="1:23">
      <c r="A12" s="1" t="s">
        <v>48</v>
      </c>
      <c r="B12" s="2">
        <v>11</v>
      </c>
      <c r="C12" s="1">
        <f>PI()*(C3+I2)^2</f>
        <v>32.1699087727595</v>
      </c>
      <c r="D12" s="1">
        <f>PI()*(N4^2-S2^2)</f>
        <v>172.787595947439</v>
      </c>
      <c r="E12" s="11">
        <f>C11/D11</f>
        <v>0.186181818181818</v>
      </c>
      <c r="K12" s="2"/>
      <c r="O12" s="12"/>
      <c r="Q12" s="2">
        <v>3</v>
      </c>
      <c r="R12" s="2">
        <f t="shared" si="1"/>
        <v>6</v>
      </c>
      <c r="S12" s="2">
        <f>PI()*R12^2-PI()*$S$2^2</f>
        <v>84.8230016469244</v>
      </c>
      <c r="T12" s="2">
        <f>S12/(PI()*$R$2^2)</f>
        <v>108</v>
      </c>
      <c r="U12" s="12">
        <f t="shared" si="2"/>
        <v>0.54</v>
      </c>
      <c r="W12" s="2"/>
    </row>
    <row r="13" hidden="1" spans="1:23">
      <c r="A13" s="1" t="s">
        <v>48</v>
      </c>
      <c r="B13" s="12">
        <v>0.5</v>
      </c>
      <c r="E13" s="13">
        <f>E12*(1+B13)^F11</f>
        <v>2.12072727272727</v>
      </c>
      <c r="K13" s="2"/>
      <c r="O13" s="12"/>
      <c r="Q13" s="2">
        <v>4</v>
      </c>
      <c r="R13" s="2">
        <f t="shared" si="1"/>
        <v>6.5</v>
      </c>
      <c r="S13" s="2">
        <f>PI()*R13^2-PI()*$S$2^2</f>
        <v>104.457955731861</v>
      </c>
      <c r="T13" s="2">
        <f>S13/(PI()*$R$2^2)</f>
        <v>133</v>
      </c>
      <c r="U13" s="12">
        <f t="shared" si="2"/>
        <v>0.56</v>
      </c>
      <c r="W13" s="2"/>
    </row>
    <row r="14" hidden="1" spans="2:23">
      <c r="B14" s="2" t="s">
        <v>49</v>
      </c>
      <c r="C14" s="1" t="s">
        <v>44</v>
      </c>
      <c r="D14" s="1" t="s">
        <v>45</v>
      </c>
      <c r="E14" s="1" t="s">
        <v>46</v>
      </c>
      <c r="F14" s="2" t="s">
        <v>47</v>
      </c>
      <c r="K14" s="2"/>
      <c r="O14" s="12"/>
      <c r="Q14" s="2">
        <v>5</v>
      </c>
      <c r="R14" s="2">
        <f t="shared" si="1"/>
        <v>7</v>
      </c>
      <c r="S14" s="2">
        <f>PI()*R14^2-PI()*$S$2^2</f>
        <v>125.663706143592</v>
      </c>
      <c r="T14" s="2">
        <f>S14/(PI()*$R$2^2)</f>
        <v>160</v>
      </c>
      <c r="U14" s="12">
        <f t="shared" si="2"/>
        <v>0.58</v>
      </c>
      <c r="W14" s="2"/>
    </row>
    <row r="15" hidden="1" spans="1:23">
      <c r="A15" s="1" t="s">
        <v>50</v>
      </c>
      <c r="B15" s="2">
        <v>7</v>
      </c>
      <c r="C15" s="1">
        <f>PI()*((C3+I4/2)^2+(I3/2)^2)</f>
        <v>60.0829594999048</v>
      </c>
      <c r="D15" s="1">
        <f>PI()*((N3*2)^2-S2^2)</f>
        <v>285.884931476671</v>
      </c>
      <c r="E15" s="11">
        <f t="shared" si="0"/>
        <v>0.210164835164835</v>
      </c>
      <c r="F15" s="2">
        <v>5</v>
      </c>
      <c r="K15" s="2"/>
      <c r="O15" s="12"/>
      <c r="Q15" s="2">
        <v>6</v>
      </c>
      <c r="R15" s="2">
        <f t="shared" si="1"/>
        <v>7.5</v>
      </c>
      <c r="S15" s="2">
        <f>PI()*R15^2-PI()*$S$2^2</f>
        <v>148.440252882118</v>
      </c>
      <c r="T15" s="2">
        <f>S15/(PI()*$R$2^2)</f>
        <v>189</v>
      </c>
      <c r="U15" s="12">
        <f t="shared" si="2"/>
        <v>0.6</v>
      </c>
      <c r="W15" s="2"/>
    </row>
    <row r="16" hidden="1" spans="1:23">
      <c r="A16" s="1" t="s">
        <v>50</v>
      </c>
      <c r="B16" s="2">
        <v>11</v>
      </c>
      <c r="C16" s="1">
        <f>PI()*((C3+I4/2)^2+(I3/2)^2)</f>
        <v>60.0829594999048</v>
      </c>
      <c r="D16" s="1">
        <f>PI()*((N3*2)^2-S2^2)</f>
        <v>285.884931476671</v>
      </c>
      <c r="E16" s="11">
        <f t="shared" si="0"/>
        <v>0.210164835164835</v>
      </c>
      <c r="K16" s="2"/>
      <c r="O16" s="12"/>
      <c r="Q16" s="2">
        <v>7</v>
      </c>
      <c r="R16" s="2">
        <f t="shared" si="1"/>
        <v>8</v>
      </c>
      <c r="S16" s="2">
        <f>PI()*R16^2-PI()*$S$2^2</f>
        <v>172.787595947439</v>
      </c>
      <c r="T16" s="2">
        <f>S16/(PI()*$R$2^2)</f>
        <v>220</v>
      </c>
      <c r="U16" s="12">
        <f t="shared" si="2"/>
        <v>0.62</v>
      </c>
      <c r="W16" s="2"/>
    </row>
    <row r="17" hidden="1" spans="1:23">
      <c r="A17" s="1" t="s">
        <v>50</v>
      </c>
      <c r="B17" s="12">
        <f>B13</f>
        <v>0.5</v>
      </c>
      <c r="E17" s="13">
        <f>E16*(1+B17)^F15</f>
        <v>1.59593921703297</v>
      </c>
      <c r="K17" s="2"/>
      <c r="O17" s="12"/>
      <c r="Q17" s="2">
        <v>8</v>
      </c>
      <c r="R17" s="2">
        <f t="shared" si="1"/>
        <v>8.5</v>
      </c>
      <c r="S17" s="2">
        <f>PI()*R17^2-PI()*$S$2^2</f>
        <v>198.705735339554</v>
      </c>
      <c r="T17" s="2">
        <f>S17/(PI()*$R$2^2)</f>
        <v>253</v>
      </c>
      <c r="U17" s="12">
        <f t="shared" si="2"/>
        <v>0.64</v>
      </c>
      <c r="W17" s="2"/>
    </row>
    <row r="18" hidden="1" spans="2:23">
      <c r="B18" s="2" t="s">
        <v>51</v>
      </c>
      <c r="C18" s="1" t="s">
        <v>52</v>
      </c>
      <c r="D18" s="1" t="s">
        <v>53</v>
      </c>
      <c r="E18" s="1" t="s">
        <v>54</v>
      </c>
      <c r="F18" s="1" t="s">
        <v>55</v>
      </c>
      <c r="G18" s="1" t="s">
        <v>56</v>
      </c>
      <c r="H18" s="1" t="s">
        <v>57</v>
      </c>
      <c r="I18" s="1" t="s">
        <v>58</v>
      </c>
      <c r="K18" s="2"/>
      <c r="O18" s="12"/>
      <c r="Q18" s="2">
        <v>9</v>
      </c>
      <c r="R18" s="2">
        <f t="shared" si="1"/>
        <v>9</v>
      </c>
      <c r="S18" s="2">
        <f>PI()*R18^2-PI()*$S$2^2</f>
        <v>226.194671058465</v>
      </c>
      <c r="T18" s="2">
        <f>S18/(PI()*$R$2^2)</f>
        <v>288</v>
      </c>
      <c r="U18" s="12">
        <f t="shared" si="2"/>
        <v>0.66</v>
      </c>
      <c r="W18" s="2"/>
    </row>
    <row r="19" hidden="1" spans="1:23">
      <c r="A19" s="1" t="s">
        <v>59</v>
      </c>
      <c r="B19" s="2">
        <v>7</v>
      </c>
      <c r="C19" s="1">
        <f>(2*C3^2/(1-COS(I6/180*PI())))^0.5</f>
        <v>15.3225951510808</v>
      </c>
      <c r="D19" s="1">
        <f>COS(I6/2/180*PI())*C19</f>
        <v>15.1915082254503</v>
      </c>
      <c r="E19" s="1">
        <f>2*D19*I5/C19</f>
        <v>0.99144486137381</v>
      </c>
      <c r="F19" s="13">
        <f>($S$2-E19)*TAN($I$6/2/180*PI())*($S$2-E19)</f>
        <v>0.531124847517513</v>
      </c>
      <c r="G19" s="1">
        <f>C3*D19</f>
        <v>30.3830164509006</v>
      </c>
      <c r="H19" s="1">
        <f>($N$2-E19)*TAN($I$6/2/180*PI())*($N$2-E19)</f>
        <v>4.75301521325293</v>
      </c>
      <c r="I19" s="1">
        <f>_xlfn.IFS((D19+E19)&lt;S$2,0,AND(E19&lt;S$2,(D19+E19)&lt;N$2),H19-F19,AND(E19&lt;S$2,(D19+E19)&gt;=N$2),G19-F19,AND(E19&lt;N$2,(D19+E19)&lt;N$2),G19,AND(E19&lt;N$2,(D19+E19)&gt;=N$2),H19,E19&gt;=7,0)</f>
        <v>29.8518916033831</v>
      </c>
      <c r="K19" s="2"/>
      <c r="O19" s="12"/>
      <c r="R19" s="2"/>
      <c r="S19" s="2"/>
      <c r="T19" s="2"/>
      <c r="U19" s="2"/>
      <c r="V19" s="12"/>
      <c r="W19" s="2"/>
    </row>
    <row r="20" hidden="1" spans="1:23">
      <c r="A20" s="1" t="s">
        <v>59</v>
      </c>
      <c r="B20" s="2">
        <v>11</v>
      </c>
      <c r="C20" s="1" t="s">
        <v>52</v>
      </c>
      <c r="D20" s="1" t="s">
        <v>53</v>
      </c>
      <c r="E20" s="1" t="s">
        <v>54</v>
      </c>
      <c r="F20" s="1" t="s">
        <v>55</v>
      </c>
      <c r="G20" s="1" t="s">
        <v>56</v>
      </c>
      <c r="H20" s="1" t="s">
        <v>57</v>
      </c>
      <c r="I20" s="1" t="s">
        <v>60</v>
      </c>
      <c r="K20" s="2"/>
      <c r="O20" s="12"/>
      <c r="Q20" s="1" t="s">
        <v>61</v>
      </c>
      <c r="R20" s="2" t="s">
        <v>62</v>
      </c>
      <c r="S20" s="2" t="s">
        <v>40</v>
      </c>
      <c r="T20" s="2" t="s">
        <v>42</v>
      </c>
      <c r="U20" s="2" t="s">
        <v>63</v>
      </c>
      <c r="V20" s="12"/>
      <c r="W20" s="2"/>
    </row>
    <row r="21" hidden="1" spans="1:23">
      <c r="A21" s="1" t="s">
        <v>59</v>
      </c>
      <c r="B21" s="12">
        <f>B13</f>
        <v>0.5</v>
      </c>
      <c r="C21" s="1">
        <f>(2*C3^2/(1-COS($I$7/180*PI())))^0.5</f>
        <v>3.28535926340916</v>
      </c>
      <c r="D21" s="1">
        <f>COS($I$7/2/180*PI())*C21</f>
        <v>2.60645074568241</v>
      </c>
      <c r="E21" s="1">
        <f>2*D21*I5/C21</f>
        <v>0.793353340291235</v>
      </c>
      <c r="F21" s="13">
        <f>(S2-E21)*TAN(I7/2/180*PI())*(S2-E21)</f>
        <v>3.73633723090285</v>
      </c>
      <c r="G21" s="1">
        <f>C3*D21</f>
        <v>5.21290149136482</v>
      </c>
      <c r="H21" s="1">
        <f>(N2-E21)*TAN(I7/2/180*PI())*(N2-E21)</f>
        <v>29.5593253179915</v>
      </c>
      <c r="I21" s="1">
        <f>_xlfn.IFS((D21+E21)&lt;S$2,0,AND(E21&lt;S$2,(D21+E21)&lt;N$2),H21-F21,AND(E21&lt;S$2,(D21+E21)&gt;=N$2),G21-F21,AND(E21&lt;N$2,(D21+E21)&lt;N$2),G21,AND(E21&lt;N$2,(D21+E21)&gt;=N$2),H21,E21&gt;=7,0)</f>
        <v>25.8229880870886</v>
      </c>
      <c r="K21" s="2"/>
      <c r="O21" s="12"/>
      <c r="R21" s="2">
        <v>1.2</v>
      </c>
      <c r="S21" s="2">
        <f>PI()*R21^2</f>
        <v>4.5238934211693</v>
      </c>
      <c r="T21" s="12">
        <v>0.88</v>
      </c>
      <c r="U21" s="2">
        <f>((R21+0.5)/$R$2)^2*T21</f>
        <v>10.1728</v>
      </c>
      <c r="V21" s="12"/>
      <c r="W21" s="2"/>
    </row>
    <row r="22" hidden="1" spans="2:23">
      <c r="B22" s="2"/>
      <c r="C22" s="1" t="s">
        <v>52</v>
      </c>
      <c r="D22" s="1" t="s">
        <v>53</v>
      </c>
      <c r="E22" s="1" t="s">
        <v>54</v>
      </c>
      <c r="F22" s="1" t="s">
        <v>55</v>
      </c>
      <c r="G22" s="1" t="s">
        <v>56</v>
      </c>
      <c r="H22" s="1" t="s">
        <v>57</v>
      </c>
      <c r="I22" s="1" t="s">
        <v>64</v>
      </c>
      <c r="K22" s="2"/>
      <c r="O22" s="12"/>
      <c r="R22" s="2"/>
      <c r="S22" s="2"/>
      <c r="T22" s="2"/>
      <c r="U22" s="2"/>
      <c r="V22" s="12"/>
      <c r="W22" s="2"/>
    </row>
    <row r="23" hidden="1" spans="2:23">
      <c r="B23" s="2"/>
      <c r="C23" s="1">
        <f>(2*C3^2/(1-COS($I$8/180*PI())))^0.5</f>
        <v>2.82842712474619</v>
      </c>
      <c r="D23" s="1">
        <f>COS($I$8/2/180*PI())*C23</f>
        <v>2</v>
      </c>
      <c r="E23" s="1">
        <f>2*D23*$I$5/C23</f>
        <v>0.707106781186548</v>
      </c>
      <c r="F23" s="13">
        <f>($S$2-E23)*TAN($I$8/2/180*PI())*($S$2-E23)</f>
        <v>5.25735931288071</v>
      </c>
      <c r="G23" s="1">
        <f>C3*D23</f>
        <v>4</v>
      </c>
      <c r="H23" s="1">
        <f>($N$2-E23)*TAN($I$8/2/180*PI())*($N$2-E23)</f>
        <v>39.6005050633883</v>
      </c>
      <c r="I23" s="1">
        <f>_xlfn.IFS((D23+E23)&lt;S$2,0,AND(E23&lt;S$2,(D23+E23)&lt;N$2),H23-F23,AND(E23&lt;S$2,(D23+E23)&gt;=N$2),G23-F23,AND(E23&lt;N$2,(D23+E23)&lt;N$2),G23,AND(E23&lt;N$2,(D23+E23)&gt;=N$2),H23,E23&gt;=7,0)</f>
        <v>0</v>
      </c>
      <c r="K23" s="2"/>
      <c r="O23" s="12"/>
      <c r="Q23" s="1" t="s">
        <v>65</v>
      </c>
      <c r="R23" s="2" t="s">
        <v>66</v>
      </c>
      <c r="S23" s="2" t="s">
        <v>40</v>
      </c>
      <c r="T23" s="2" t="s">
        <v>42</v>
      </c>
      <c r="U23" s="2" t="s">
        <v>63</v>
      </c>
      <c r="V23" s="12"/>
      <c r="W23" s="2"/>
    </row>
    <row r="24" hidden="1" spans="2:23">
      <c r="B24" s="2"/>
      <c r="C24" s="1" t="s">
        <v>67</v>
      </c>
      <c r="D24" s="1" t="s">
        <v>68</v>
      </c>
      <c r="E24" s="1" t="s">
        <v>69</v>
      </c>
      <c r="F24" s="14" t="s">
        <v>70</v>
      </c>
      <c r="G24" s="15" t="s">
        <v>71</v>
      </c>
      <c r="H24" s="2" t="s">
        <v>47</v>
      </c>
      <c r="I24" s="2" t="s">
        <v>72</v>
      </c>
      <c r="K24" s="2"/>
      <c r="O24" s="12"/>
      <c r="R24" s="2" t="s">
        <v>73</v>
      </c>
      <c r="S24" s="2">
        <f>4*2</f>
        <v>8</v>
      </c>
      <c r="T24" s="12">
        <v>0.88</v>
      </c>
      <c r="U24" s="2">
        <f>S24/(PI()*$R$2^2)*T24</f>
        <v>8.96360639493555</v>
      </c>
      <c r="V24" s="27">
        <f>U24/U21</f>
        <v>0.881134633034715</v>
      </c>
      <c r="W24" s="2"/>
    </row>
    <row r="25" hidden="1" spans="2:22">
      <c r="B25" s="2"/>
      <c r="C25" s="1">
        <f>($I$5+C3*2)*($N$2-$S$2)</f>
        <v>18</v>
      </c>
      <c r="D25" s="1">
        <f>PI()*($N$2^2-$S$2^2)</f>
        <v>125.663706143592</v>
      </c>
      <c r="E25" s="11">
        <f t="shared" ref="E25:E28" si="3">C25/D25</f>
        <v>0.143239448782706</v>
      </c>
      <c r="F25" s="16">
        <f>SUM(I19,I21,I23,C25*3)/D25</f>
        <v>0.872764961787375</v>
      </c>
      <c r="G25" s="16">
        <f>E25*3</f>
        <v>0.429718346348117</v>
      </c>
      <c r="H25" s="2">
        <v>6</v>
      </c>
      <c r="I25" s="1">
        <f>E25*(1+B21)^H25</f>
        <v>1.63158684629051</v>
      </c>
      <c r="R25" s="2"/>
      <c r="S25" s="2"/>
      <c r="T25" s="12"/>
      <c r="U25" s="2"/>
      <c r="V25" s="27"/>
    </row>
    <row r="26" hidden="1" spans="2:22">
      <c r="B26" s="2" t="s">
        <v>43</v>
      </c>
      <c r="C26" s="1" t="s">
        <v>44</v>
      </c>
      <c r="D26" s="1" t="s">
        <v>45</v>
      </c>
      <c r="E26" s="1" t="s">
        <v>46</v>
      </c>
      <c r="F26" s="2" t="s">
        <v>47</v>
      </c>
      <c r="K26" s="2"/>
      <c r="Q26" s="1" t="s">
        <v>74</v>
      </c>
      <c r="R26" s="2" t="s">
        <v>66</v>
      </c>
      <c r="S26" s="2" t="s">
        <v>40</v>
      </c>
      <c r="T26" s="2" t="s">
        <v>42</v>
      </c>
      <c r="U26" s="2" t="s">
        <v>63</v>
      </c>
      <c r="V26" s="2"/>
    </row>
    <row r="27" hidden="1" spans="1:22">
      <c r="A27" s="1" t="s">
        <v>75</v>
      </c>
      <c r="B27" s="2">
        <v>0.5</v>
      </c>
      <c r="C27" s="1">
        <f>PI()*(B27+I2)^2</f>
        <v>9.0792027688745</v>
      </c>
      <c r="D27" s="1">
        <f>PI()*(N4^2-S2^2)</f>
        <v>172.787595947439</v>
      </c>
      <c r="E27" s="11">
        <f t="shared" si="3"/>
        <v>0.0525454545454545</v>
      </c>
      <c r="F27" s="2">
        <v>4</v>
      </c>
      <c r="K27" s="2"/>
      <c r="P27" s="12"/>
      <c r="Q27" s="2"/>
      <c r="R27" s="2" t="s">
        <v>76</v>
      </c>
      <c r="S27" s="2">
        <f>6.5*1.5</f>
        <v>9.75</v>
      </c>
      <c r="T27" s="12">
        <v>0.85</v>
      </c>
      <c r="U27" s="2">
        <f>S27/(PI()*$R$2^2)*T27</f>
        <v>10.5519727269927</v>
      </c>
      <c r="V27" s="2">
        <f>U27/U21</f>
        <v>1.0372731919425</v>
      </c>
    </row>
    <row r="28" hidden="1" spans="1:19">
      <c r="A28" s="1" t="s">
        <v>75</v>
      </c>
      <c r="B28" s="2">
        <v>0.9</v>
      </c>
      <c r="C28" s="1">
        <f>PI()*(B28+I2)^2</f>
        <v>13.854423602331</v>
      </c>
      <c r="D28" s="1">
        <f>PI()*(N4^2-S2^2)</f>
        <v>172.787595947439</v>
      </c>
      <c r="E28" s="11">
        <f t="shared" si="3"/>
        <v>0.0801818181818182</v>
      </c>
      <c r="K28" s="2"/>
      <c r="P28" s="12"/>
      <c r="Q28" s="2"/>
      <c r="R28" s="2"/>
      <c r="S28" s="2"/>
    </row>
    <row r="29" hidden="1" spans="1:19">
      <c r="A29" s="1" t="s">
        <v>75</v>
      </c>
      <c r="B29" s="12">
        <f>B13</f>
        <v>0.5</v>
      </c>
      <c r="E29" s="13">
        <f>(1-(1-E28)^((1+B29)*0.5))*3</f>
        <v>0.18228056726074</v>
      </c>
      <c r="K29" s="2"/>
      <c r="P29" s="12"/>
      <c r="Q29" s="2"/>
      <c r="R29" s="2"/>
      <c r="S29" s="2"/>
    </row>
    <row r="30" hidden="1" spans="2:17">
      <c r="B30" s="2" t="s">
        <v>49</v>
      </c>
      <c r="C30" s="1" t="s">
        <v>44</v>
      </c>
      <c r="D30" s="1" t="s">
        <v>45</v>
      </c>
      <c r="E30" s="1" t="s">
        <v>46</v>
      </c>
      <c r="F30" s="2" t="s">
        <v>47</v>
      </c>
      <c r="K30" s="2"/>
      <c r="P30" s="12"/>
      <c r="Q30" s="2"/>
    </row>
    <row r="31" hidden="1" spans="1:17">
      <c r="A31" s="1" t="s">
        <v>77</v>
      </c>
      <c r="B31" s="2">
        <f t="shared" ref="B31:B33" si="4">B27</f>
        <v>0.5</v>
      </c>
      <c r="C31" s="1">
        <f>PI()*((B31+I4/2)^2+(I3/2)^2)</f>
        <v>31.8086256175967</v>
      </c>
      <c r="D31" s="1">
        <f>PI()*((N3*2)^2-S2^2)</f>
        <v>285.884931476671</v>
      </c>
      <c r="E31" s="11">
        <f>C31/D31</f>
        <v>0.111263736263736</v>
      </c>
      <c r="F31" s="2">
        <v>3</v>
      </c>
      <c r="K31" s="2"/>
      <c r="P31" s="12"/>
      <c r="Q31" s="2"/>
    </row>
    <row r="32" hidden="1" spans="1:17">
      <c r="A32" s="1" t="s">
        <v>77</v>
      </c>
      <c r="B32" s="2">
        <f t="shared" si="4"/>
        <v>0.9</v>
      </c>
      <c r="C32" s="1">
        <f>PI()*((B32+I4/2)^2+(I3/2)^2)</f>
        <v>37.9661472186326</v>
      </c>
      <c r="D32" s="1">
        <f>PI()*((N3*2)^2-S2^2)</f>
        <v>285.884931476671</v>
      </c>
      <c r="E32" s="11">
        <f>C32/D32</f>
        <v>0.132802197802198</v>
      </c>
      <c r="K32" s="2"/>
      <c r="P32" s="12"/>
      <c r="Q32" s="2"/>
    </row>
    <row r="33" hidden="1" spans="1:17">
      <c r="A33" s="1" t="s">
        <v>77</v>
      </c>
      <c r="B33" s="12">
        <f t="shared" si="4"/>
        <v>0.5</v>
      </c>
      <c r="E33" s="13">
        <f>(1-(1-E32)^((1+B33)*0.5))*3</f>
        <v>0.304062118848676</v>
      </c>
      <c r="K33" s="2"/>
      <c r="P33" s="12"/>
      <c r="Q33" s="2"/>
    </row>
    <row r="34" hidden="1" spans="2:17">
      <c r="B34" s="2" t="s">
        <v>78</v>
      </c>
      <c r="C34" s="1" t="s">
        <v>52</v>
      </c>
      <c r="D34" s="1" t="s">
        <v>53</v>
      </c>
      <c r="E34" s="1" t="s">
        <v>54</v>
      </c>
      <c r="F34" s="1" t="s">
        <v>55</v>
      </c>
      <c r="G34" s="1" t="s">
        <v>56</v>
      </c>
      <c r="H34" s="1" t="s">
        <v>57</v>
      </c>
      <c r="I34" s="1" t="s">
        <v>58</v>
      </c>
      <c r="K34" s="2"/>
      <c r="P34" s="12"/>
      <c r="Q34" s="2"/>
    </row>
    <row r="35" hidden="1" spans="1:17">
      <c r="A35" s="1" t="s">
        <v>79</v>
      </c>
      <c r="B35" s="2">
        <f t="shared" ref="B35:B37" si="5">B31</f>
        <v>0.5</v>
      </c>
      <c r="C35" s="1">
        <f>(2*B35^2/(1-COS($I$6/180*PI())))^0.5</f>
        <v>3.8306487877702</v>
      </c>
      <c r="D35" s="1">
        <f>COS($I$6/2/180*PI())*C35</f>
        <v>3.79787705636258</v>
      </c>
      <c r="E35" s="1">
        <f>2*D35*$I$5/C35</f>
        <v>0.99144486137381</v>
      </c>
      <c r="F35" s="13">
        <f>($S$2-E35)*TAN($I$6/2/180*PI())*($S$2-E35)</f>
        <v>0.531124847517513</v>
      </c>
      <c r="G35" s="1">
        <f>B35*D35</f>
        <v>1.89893852818129</v>
      </c>
      <c r="H35" s="1">
        <f>($N$2-E35)*TAN($I$6/2/180*PI())*($N$2-E35)</f>
        <v>4.75301521325293</v>
      </c>
      <c r="I35" s="1">
        <f>_xlfn.IFS((D35+E35)&lt;S$2,0,AND(E35&lt;S$2,(D35+E35)&lt;N$2),H35-F35,AND(E35&lt;S$2,(D35+E35)&gt;=N$2),G35-F35,AND(E35&lt;N$2,(D35+E35)&lt;N$2),G35,AND(E35&lt;N$2,(D35+E35)&gt;=N$2),H35,E35&gt;=7,0)</f>
        <v>4.22189036573542</v>
      </c>
      <c r="K35" s="2"/>
      <c r="P35" s="12"/>
      <c r="Q35" s="2"/>
    </row>
    <row r="36" hidden="1" spans="1:17">
      <c r="A36" s="1" t="s">
        <v>79</v>
      </c>
      <c r="B36" s="2">
        <f t="shared" si="5"/>
        <v>0.9</v>
      </c>
      <c r="C36" s="1" t="s">
        <v>52</v>
      </c>
      <c r="D36" s="1" t="s">
        <v>53</v>
      </c>
      <c r="E36" s="1" t="s">
        <v>54</v>
      </c>
      <c r="F36" s="1" t="s">
        <v>55</v>
      </c>
      <c r="G36" s="1" t="s">
        <v>56</v>
      </c>
      <c r="H36" s="1" t="s">
        <v>57</v>
      </c>
      <c r="I36" s="1" t="s">
        <v>60</v>
      </c>
      <c r="K36" s="2"/>
      <c r="P36" s="12"/>
      <c r="Q36" s="2"/>
    </row>
    <row r="37" hidden="1" spans="1:17">
      <c r="A37" s="1" t="s">
        <v>79</v>
      </c>
      <c r="B37" s="12">
        <f t="shared" si="5"/>
        <v>0.5</v>
      </c>
      <c r="C37" s="1">
        <f>(2*B35^2/(1-COS($I$7/180*PI())))^0.5</f>
        <v>0.821339815852291</v>
      </c>
      <c r="D37" s="1">
        <f>COS($I$7/2/180*PI())*C37</f>
        <v>0.651612686420603</v>
      </c>
      <c r="E37" s="1">
        <f>2*D37*$I$5/C37</f>
        <v>0.793353340291235</v>
      </c>
      <c r="F37" s="13">
        <f>($S$2-E37)*TAN($I$6/2/180*PI())*($S$2-E37)</f>
        <v>0.641054121623861</v>
      </c>
      <c r="G37" s="1">
        <f>B35*D37</f>
        <v>0.325806343210301</v>
      </c>
      <c r="H37" s="1">
        <f>($N$2-E37)*TAN($I$6/2/180*PI())*($N$2-E37)</f>
        <v>5.07157843537054</v>
      </c>
      <c r="I37" s="1">
        <f>_xlfn.IFS((D37+E37)&lt;S$2,0,AND(E37&lt;S$2,(D37+E37)&lt;N$2),H37-F37,AND(E37&lt;S$2,(D37+E37)&gt;=N$2),G37-F37,AND(E37&lt;N$2,(D37+E37)&lt;N$2),G37,AND(E37&lt;N$2,(D37+E37)&gt;=N$2),H37,E37&gt;=7,0)</f>
        <v>0</v>
      </c>
      <c r="K37" s="2"/>
      <c r="P37" s="12"/>
      <c r="Q37" s="2"/>
    </row>
    <row r="38" hidden="1" spans="2:17">
      <c r="B38" s="2"/>
      <c r="C38" s="1" t="s">
        <v>52</v>
      </c>
      <c r="D38" s="1" t="s">
        <v>53</v>
      </c>
      <c r="E38" s="1" t="s">
        <v>54</v>
      </c>
      <c r="F38" s="1" t="s">
        <v>55</v>
      </c>
      <c r="G38" s="1" t="s">
        <v>56</v>
      </c>
      <c r="H38" s="1" t="s">
        <v>57</v>
      </c>
      <c r="I38" s="1" t="s">
        <v>64</v>
      </c>
      <c r="K38" s="2"/>
      <c r="P38" s="12"/>
      <c r="Q38" s="2"/>
    </row>
    <row r="39" hidden="1" spans="2:17">
      <c r="B39" s="2"/>
      <c r="C39" s="1">
        <f>(2*B35^2/(1-COS($I$8/180*PI())))^0.5</f>
        <v>0.707106781186548</v>
      </c>
      <c r="D39" s="1">
        <f>COS($I$8/2/180*PI())*C39</f>
        <v>0.5</v>
      </c>
      <c r="E39" s="1">
        <f>2*D39*$I$5/C39</f>
        <v>0.707106781186548</v>
      </c>
      <c r="F39" s="13">
        <f>($S$2-E39)*TAN($I$8/2/180*PI())*($S$2-E39)</f>
        <v>5.25735931288071</v>
      </c>
      <c r="G39" s="1">
        <f>B35*D39</f>
        <v>0.25</v>
      </c>
      <c r="H39" s="1">
        <f>($N$2-E39)*TAN($I$8/2/180*PI())*($N$2-E39)</f>
        <v>39.6005050633883</v>
      </c>
      <c r="I39" s="1">
        <f>_xlfn.IFS((D39+E39)&lt;S$2,0,AND(E39&lt;S$2,(D39+E39)&lt;N$2),H39-F39,AND(E39&lt;S$2,(D39+E39)&gt;=N$2),G39-F39,AND(E39&lt;N$2,(D39+E39)&lt;N$2),G39,AND(E39&lt;N$2,(D39+E39)&gt;=N$2),H39,E39&gt;=7,0)</f>
        <v>0</v>
      </c>
      <c r="K39" s="2"/>
      <c r="P39" s="12"/>
      <c r="Q39" s="2"/>
    </row>
    <row r="40" hidden="1" spans="2:17">
      <c r="B40" s="2"/>
      <c r="C40" s="1" t="s">
        <v>67</v>
      </c>
      <c r="D40" s="1" t="s">
        <v>68</v>
      </c>
      <c r="E40" s="1" t="s">
        <v>69</v>
      </c>
      <c r="F40" s="17" t="s">
        <v>80</v>
      </c>
      <c r="G40" s="5" t="s">
        <v>81</v>
      </c>
      <c r="K40" s="2"/>
      <c r="P40" s="12"/>
      <c r="Q40" s="2"/>
    </row>
    <row r="41" hidden="1" spans="3:17">
      <c r="C41" s="1">
        <f>($I$5+B35*2)*($N$2-$S$2)</f>
        <v>6</v>
      </c>
      <c r="D41" s="1">
        <f>PI()*($N$5^2-$S$2^2)</f>
        <v>172.787595947439</v>
      </c>
      <c r="E41" s="11">
        <f>C41/D41</f>
        <v>0.0347247148564135</v>
      </c>
      <c r="F41" s="18">
        <f>SUM(I35,I37,I39,C41*6)/D41</f>
        <v>0.232782278989348</v>
      </c>
      <c r="G41" s="17">
        <f>9*F41</f>
        <v>2.09504051090413</v>
      </c>
      <c r="K41" s="2"/>
      <c r="P41" s="12"/>
      <c r="Q41" s="2"/>
    </row>
    <row r="42" hidden="1" spans="3:18">
      <c r="C42" s="1" t="s">
        <v>52</v>
      </c>
      <c r="D42" s="1" t="s">
        <v>53</v>
      </c>
      <c r="E42" s="1" t="s">
        <v>54</v>
      </c>
      <c r="F42" s="1" t="s">
        <v>55</v>
      </c>
      <c r="G42" s="1" t="s">
        <v>56</v>
      </c>
      <c r="H42" s="1" t="s">
        <v>57</v>
      </c>
      <c r="I42" s="1" t="s">
        <v>58</v>
      </c>
      <c r="M42" s="1"/>
      <c r="Q42" s="2"/>
      <c r="R42" s="2"/>
    </row>
    <row r="43" hidden="1" spans="3:17">
      <c r="C43" s="1">
        <f>(2*B36^2/(1-COS($I$6/180*PI())))^0.5</f>
        <v>6.89516781798635</v>
      </c>
      <c r="D43" s="1">
        <f>COS($I$6/2/180*PI())*C43</f>
        <v>6.83617870145264</v>
      </c>
      <c r="E43" s="1">
        <f>2*D43*$I$5/C43</f>
        <v>0.99144486137381</v>
      </c>
      <c r="F43" s="13">
        <f>($S$2-E43)*TAN($I$6/2/180*PI())*($S$2-E43)</f>
        <v>0.531124847517513</v>
      </c>
      <c r="G43" s="1">
        <f>B36*D43</f>
        <v>6.15256083130737</v>
      </c>
      <c r="H43" s="1">
        <f>($N$2-E43)*TAN($I$6/2/180*PI())*($N$2-E43)</f>
        <v>4.75301521325293</v>
      </c>
      <c r="I43" s="1">
        <f>_xlfn.IFS((D43+E43)&lt;S$2,0,AND(E43&lt;S$2,(D43+E43)&lt;N$2),H43-F43,AND(E43&lt;S$2,(D43+E43)&gt;=N$2),G43-F43,AND(E43&lt;N$2,(D43+E43)&lt;N$2),G43,AND(E43&lt;N$2,(D43+E43)&gt;=N$2),H43,E43&gt;=7,0)</f>
        <v>5.62143598378986</v>
      </c>
      <c r="M43" s="1"/>
      <c r="N43" s="1"/>
      <c r="O43" s="1"/>
      <c r="Q43" s="2"/>
    </row>
    <row r="44" hidden="1" spans="3:17">
      <c r="C44" s="1" t="s">
        <v>52</v>
      </c>
      <c r="D44" s="1" t="s">
        <v>53</v>
      </c>
      <c r="E44" s="1" t="s">
        <v>54</v>
      </c>
      <c r="F44" s="1" t="s">
        <v>55</v>
      </c>
      <c r="G44" s="1" t="s">
        <v>56</v>
      </c>
      <c r="H44" s="1" t="s">
        <v>57</v>
      </c>
      <c r="I44" s="1" t="s">
        <v>60</v>
      </c>
      <c r="M44" s="1"/>
      <c r="N44" s="1"/>
      <c r="O44" s="1"/>
      <c r="Q44" s="2"/>
    </row>
    <row r="45" hidden="1" spans="3:17">
      <c r="C45" s="1">
        <f>(2*B36^2/(1-COS($I$7/180*PI())))^0.5</f>
        <v>1.47841166853412</v>
      </c>
      <c r="D45" s="1">
        <f>COS($I$7/2/180*PI())*C45</f>
        <v>1.17290283555709</v>
      </c>
      <c r="E45" s="1">
        <f>2*D45*$I$5/C45</f>
        <v>0.793353340291235</v>
      </c>
      <c r="F45" s="13">
        <f>($S$2-E45)*TAN($I$6/2/180*PI())*($S$2-E45)</f>
        <v>0.641054121623861</v>
      </c>
      <c r="G45" s="1">
        <f>B36*D45</f>
        <v>1.05561255200138</v>
      </c>
      <c r="H45" s="1">
        <f>($N$2-E45)*TAN($I$6/2/180*PI())*($N$2-E45)</f>
        <v>5.07157843537054</v>
      </c>
      <c r="I45" s="1">
        <f>_xlfn.IFS((D45+E45)&lt;S$2,0,AND(E45&lt;S$2,(D45+E45)&lt;N$2),H45-F45,AND(E45&lt;S$2,(D45+E45)&gt;=N$2),G45-F45,AND(E45&lt;N$2,(D45+E45)&lt;N$2),G45,AND(E45&lt;N$2,(D45+E45)&gt;=N$2),H45,E45&gt;=7,0)</f>
        <v>0</v>
      </c>
      <c r="M45" s="1"/>
      <c r="N45" s="1"/>
      <c r="O45" s="1"/>
      <c r="Q45" s="2"/>
    </row>
    <row r="46" hidden="1" spans="3:17">
      <c r="C46" s="1" t="s">
        <v>52</v>
      </c>
      <c r="D46" s="1" t="s">
        <v>53</v>
      </c>
      <c r="E46" s="1" t="s">
        <v>54</v>
      </c>
      <c r="F46" s="1" t="s">
        <v>55</v>
      </c>
      <c r="G46" s="1" t="s">
        <v>56</v>
      </c>
      <c r="H46" s="1" t="s">
        <v>57</v>
      </c>
      <c r="I46" s="1" t="s">
        <v>64</v>
      </c>
      <c r="M46" s="1"/>
      <c r="N46" s="1"/>
      <c r="O46" s="1"/>
      <c r="Q46" s="2"/>
    </row>
    <row r="47" hidden="1" spans="3:17">
      <c r="C47" s="1">
        <f>(2*B36^2/(1-COS($I$8/180*PI())))^0.5</f>
        <v>1.27279220613579</v>
      </c>
      <c r="D47" s="1">
        <f>COS($I$8/2/180*PI())*C47</f>
        <v>0.9</v>
      </c>
      <c r="E47" s="1">
        <f>2*D47*$I$5/C47</f>
        <v>0.707106781186548</v>
      </c>
      <c r="F47" s="13">
        <f>($S$2-E47)*TAN($I$8/2/180*PI())*($S$2-E47)</f>
        <v>5.25735931288071</v>
      </c>
      <c r="G47" s="1">
        <f>B36*D47</f>
        <v>0.81</v>
      </c>
      <c r="H47" s="1">
        <f>($N$2-E47)*TAN($I$8/2/180*PI())*($N$2-E47)</f>
        <v>39.6005050633883</v>
      </c>
      <c r="I47" s="1">
        <f>_xlfn.IFS((D47+E47)&lt;S$2,0,AND(E47&lt;S$2,(D47+E47)&lt;N$2),H47-F47,AND(E47&lt;S$2,(D47+E47)&gt;=N$2),G47-F47,AND(E47&lt;N$2,(D47+E47)&lt;N$2),G47,AND(E47&lt;N$2,(D47+E47)&gt;=N$2),H47,E47&gt;=7,0)</f>
        <v>0</v>
      </c>
      <c r="M47" s="1"/>
      <c r="N47" s="1"/>
      <c r="O47" s="1"/>
      <c r="Q47" s="2"/>
    </row>
    <row r="48" hidden="1" spans="3:16">
      <c r="C48" s="1" t="s">
        <v>67</v>
      </c>
      <c r="D48" s="1" t="s">
        <v>68</v>
      </c>
      <c r="E48" s="1" t="s">
        <v>69</v>
      </c>
      <c r="F48" s="14" t="s">
        <v>80</v>
      </c>
      <c r="G48" s="15" t="s">
        <v>82</v>
      </c>
      <c r="H48" s="2" t="s">
        <v>47</v>
      </c>
      <c r="I48" s="2" t="s">
        <v>72</v>
      </c>
      <c r="M48" s="1"/>
      <c r="N48" s="1"/>
      <c r="O48" s="1"/>
      <c r="P48" s="1"/>
    </row>
    <row r="49" hidden="1" spans="3:18">
      <c r="C49" s="1">
        <f>($I$5+B36*2)*($N$2-$S$2)</f>
        <v>9.2</v>
      </c>
      <c r="D49" s="1">
        <f>PI()*($N$5^2-$S$2^2)</f>
        <v>172.787595947439</v>
      </c>
      <c r="E49" s="11">
        <f>C49/D49</f>
        <v>0.0532445627798341</v>
      </c>
      <c r="F49" s="16">
        <f>SUM(I43,I45,I47,C49*6)/D49</f>
        <v>0.352001170282452</v>
      </c>
      <c r="G49" s="16">
        <f>E49*3</f>
        <v>0.159733688339502</v>
      </c>
      <c r="H49" s="2">
        <v>6</v>
      </c>
      <c r="I49" s="13">
        <f>(1-(1-E49)^((1+B37)*0.5))*3</f>
        <v>0.120615843356463</v>
      </c>
      <c r="M49" s="1"/>
      <c r="N49" s="26"/>
      <c r="O49" s="26"/>
      <c r="P49" s="26"/>
      <c r="Q49" s="26"/>
      <c r="R49" s="26"/>
    </row>
    <row r="50" hidden="1" spans="11:18">
      <c r="K50" s="1">
        <f>K56/K65</f>
        <v>0.557407407407407</v>
      </c>
      <c r="L50" s="2">
        <f>L56/L65</f>
        <v>0.798057465388839</v>
      </c>
      <c r="M50" s="1"/>
      <c r="Q50" s="2"/>
      <c r="R50" s="2"/>
    </row>
    <row r="51" hidden="1" spans="1:18">
      <c r="A51" s="1" t="s">
        <v>83</v>
      </c>
      <c r="B51" s="1" t="s">
        <v>84</v>
      </c>
      <c r="C51" s="1" t="s">
        <v>85</v>
      </c>
      <c r="D51" s="1" t="s">
        <v>86</v>
      </c>
      <c r="E51" s="1" t="s">
        <v>87</v>
      </c>
      <c r="F51" s="2" t="s">
        <v>88</v>
      </c>
      <c r="G51" s="2" t="s">
        <v>89</v>
      </c>
      <c r="H51" s="1" t="s">
        <v>90</v>
      </c>
      <c r="I51" s="1" t="s">
        <v>91</v>
      </c>
      <c r="J51" s="1" t="s">
        <v>92</v>
      </c>
      <c r="K51" s="1" t="s">
        <v>93</v>
      </c>
      <c r="L51" s="1" t="s">
        <v>94</v>
      </c>
      <c r="M51" s="1"/>
      <c r="Q51" s="2"/>
      <c r="R51" s="2"/>
    </row>
    <row r="52" hidden="1" spans="1:17">
      <c r="A52" s="1" t="s">
        <v>95</v>
      </c>
      <c r="B52" s="1">
        <v>3</v>
      </c>
      <c r="C52" s="1">
        <v>13</v>
      </c>
      <c r="D52" s="1">
        <f>B52*F52/$M$4*(ROUNDDOWN($Q$4/$M$4,0)/(ROUNDDOWN($Q$4/$M$4,0)+1))</f>
        <v>0</v>
      </c>
      <c r="E52" s="1">
        <f>C52*G52/$M$4*(1/(ROUNDDOWN($Q$4/$M$4,0)+1))</f>
        <v>0</v>
      </c>
      <c r="F52" s="19">
        <v>0</v>
      </c>
      <c r="G52" s="19">
        <v>0</v>
      </c>
      <c r="H52" s="20">
        <f t="shared" ref="H52:H66" si="6">E52+D52</f>
        <v>0</v>
      </c>
      <c r="I52" s="1">
        <v>1</v>
      </c>
      <c r="J52" s="1">
        <f t="shared" ref="J52:J66" si="7">H52*$U$21*I52</f>
        <v>0</v>
      </c>
      <c r="K52" s="1">
        <f t="shared" ref="K52:K66" si="8">H52*$E$13*$B$12/20</f>
        <v>0</v>
      </c>
      <c r="L52" s="1">
        <f t="shared" ref="L52:L66" si="9">MIN(H52*$E$29*12/20*(1+$B$29)^$F$27,6*(1+$B$29)^4/20/4)</f>
        <v>0</v>
      </c>
      <c r="M52" s="1"/>
      <c r="N52" s="1"/>
      <c r="O52" s="1"/>
      <c r="Q52" s="2"/>
    </row>
    <row r="53" hidden="1" spans="1:17">
      <c r="A53" s="21" t="s">
        <v>96</v>
      </c>
      <c r="B53" s="1">
        <v>3</v>
      </c>
      <c r="C53" s="1">
        <v>13</v>
      </c>
      <c r="D53" s="1">
        <f>B53*F53/$M$4*(ROUNDDOWN($Q$4/$M$4,0)/(ROUNDDOWN($Q$4/$M$4,0)+1))</f>
        <v>0.381818181818182</v>
      </c>
      <c r="E53" s="1">
        <f>C53*G53/$M$4*(1/(ROUNDDOWN($Q$4/$M$4,0)+1))</f>
        <v>0</v>
      </c>
      <c r="F53" s="19">
        <v>0.21</v>
      </c>
      <c r="G53" s="19">
        <v>0</v>
      </c>
      <c r="H53" s="20">
        <f t="shared" si="6"/>
        <v>0.381818181818182</v>
      </c>
      <c r="I53" s="1">
        <f t="shared" ref="I53:I66" si="10">$I$52</f>
        <v>1</v>
      </c>
      <c r="J53" s="1">
        <f t="shared" si="7"/>
        <v>3.88416</v>
      </c>
      <c r="K53" s="1">
        <f t="shared" si="8"/>
        <v>0.445352727272727</v>
      </c>
      <c r="L53" s="1">
        <f t="shared" si="9"/>
        <v>0.211404030620808</v>
      </c>
      <c r="M53" s="1"/>
      <c r="N53" s="1"/>
      <c r="O53" s="1"/>
      <c r="Q53" s="2"/>
    </row>
    <row r="54" hidden="1" spans="1:17">
      <c r="A54" s="1" t="s">
        <v>97</v>
      </c>
      <c r="B54" s="1">
        <v>3</v>
      </c>
      <c r="C54" s="1">
        <v>13</v>
      </c>
      <c r="D54" s="1">
        <f>B54*F54/$M$4*(ROUNDDOWN($Q$4/$M$4,0)/(ROUNDDOWN($Q$4/$M$4,0)+1))</f>
        <v>0.381818181818182</v>
      </c>
      <c r="E54" s="1">
        <f>C54*G54/$M$4*(1/(ROUNDDOWN($Q$4/$M$4,0)+1))</f>
        <v>0</v>
      </c>
      <c r="F54" s="19">
        <v>0.21</v>
      </c>
      <c r="G54" s="19">
        <v>0</v>
      </c>
      <c r="H54" s="20">
        <f t="shared" si="6"/>
        <v>0.381818181818182</v>
      </c>
      <c r="I54" s="1">
        <f t="shared" si="10"/>
        <v>1</v>
      </c>
      <c r="J54" s="1">
        <f t="shared" si="7"/>
        <v>3.88416</v>
      </c>
      <c r="K54" s="1">
        <f t="shared" si="8"/>
        <v>0.445352727272727</v>
      </c>
      <c r="L54" s="1">
        <f t="shared" si="9"/>
        <v>0.211404030620808</v>
      </c>
      <c r="M54" s="1"/>
      <c r="N54" s="1"/>
      <c r="O54" s="1"/>
      <c r="Q54" s="2"/>
    </row>
    <row r="55" hidden="1" spans="1:18">
      <c r="A55" s="21" t="s">
        <v>98</v>
      </c>
      <c r="B55" s="1">
        <v>3</v>
      </c>
      <c r="C55" s="1">
        <v>13</v>
      </c>
      <c r="D55" s="1">
        <f>B55*F55/$M$4*(ROUNDDOWN($Q$4/$M$4,0)/(ROUNDDOWN($Q$4/$M$4,0)+1))</f>
        <v>0.381818181818182</v>
      </c>
      <c r="E55" s="1">
        <f>C55*G55/$M$4*(1/(ROUNDDOWN($Q$4/$M$4,0)+1))</f>
        <v>0.165454545454545</v>
      </c>
      <c r="F55" s="19">
        <v>0.21</v>
      </c>
      <c r="G55" s="19">
        <v>0.21</v>
      </c>
      <c r="H55" s="20">
        <f t="shared" si="6"/>
        <v>0.547272727272727</v>
      </c>
      <c r="I55" s="1">
        <f t="shared" si="10"/>
        <v>1</v>
      </c>
      <c r="J55" s="1">
        <f t="shared" si="7"/>
        <v>5.567296</v>
      </c>
      <c r="K55" s="1">
        <f t="shared" si="8"/>
        <v>0.638338909090909</v>
      </c>
      <c r="L55" s="1">
        <f t="shared" si="9"/>
        <v>0.303012443889825</v>
      </c>
      <c r="M55" s="1"/>
      <c r="Q55" s="2"/>
      <c r="R55" s="2"/>
    </row>
    <row r="56" hidden="1" spans="1:22">
      <c r="A56" s="1" t="s">
        <v>150</v>
      </c>
      <c r="B56" s="1">
        <v>3</v>
      </c>
      <c r="C56" s="1">
        <v>13</v>
      </c>
      <c r="D56" s="1">
        <f>B56*F56/$M$4*(ROUNDDOWN($Q$4/$M$4,0)/(ROUNDDOWN($Q$4/$M$4,0)+1))</f>
        <v>0.381818181818182</v>
      </c>
      <c r="E56" s="1">
        <f>C56*G56/$M$4*(1/(ROUNDDOWN($Q$4/$M$4,0)+1))</f>
        <v>0.165454545454545</v>
      </c>
      <c r="F56" s="19">
        <v>0.21</v>
      </c>
      <c r="G56" s="19">
        <v>0.21</v>
      </c>
      <c r="H56" s="20">
        <f t="shared" si="6"/>
        <v>0.547272727272727</v>
      </c>
      <c r="I56" s="1">
        <f t="shared" si="10"/>
        <v>1</v>
      </c>
      <c r="J56" s="1">
        <f t="shared" si="7"/>
        <v>5.567296</v>
      </c>
      <c r="K56" s="1">
        <f t="shared" si="8"/>
        <v>0.638338909090909</v>
      </c>
      <c r="L56" s="1">
        <f t="shared" si="9"/>
        <v>0.303012443889825</v>
      </c>
      <c r="O56" s="1"/>
      <c r="Q56" s="2"/>
      <c r="R56" s="2"/>
      <c r="S56" s="2"/>
      <c r="T56" s="2"/>
      <c r="U56" s="2"/>
      <c r="V56" s="2"/>
    </row>
    <row r="57" hidden="1" spans="1:20">
      <c r="A57" s="1" t="s">
        <v>151</v>
      </c>
      <c r="B57" s="1">
        <v>3</v>
      </c>
      <c r="C57" s="1">
        <v>13</v>
      </c>
      <c r="D57" s="1">
        <f>B57*F57/$M$4*(ROUNDDOWN($Q$4/$M$4,0)/(ROUNDDOWN($Q$4/$M$4,0)+1))</f>
        <v>0.381818181818182</v>
      </c>
      <c r="E57" s="1">
        <f>C57*G57/$M$4*(1/(ROUNDDOWN($Q$4/$M$4,0)+1))</f>
        <v>0.165454545454545</v>
      </c>
      <c r="F57" s="19">
        <v>0.21</v>
      </c>
      <c r="G57" s="19">
        <v>0.21</v>
      </c>
      <c r="H57" s="20">
        <f t="shared" si="6"/>
        <v>0.547272727272727</v>
      </c>
      <c r="I57" s="1">
        <f t="shared" si="10"/>
        <v>1</v>
      </c>
      <c r="J57" s="1">
        <f t="shared" si="7"/>
        <v>5.567296</v>
      </c>
      <c r="K57" s="1">
        <f t="shared" si="8"/>
        <v>0.638338909090909</v>
      </c>
      <c r="L57" s="1">
        <f t="shared" si="9"/>
        <v>0.303012443889825</v>
      </c>
      <c r="O57" s="1"/>
      <c r="Q57" s="2"/>
      <c r="R57" s="2"/>
      <c r="S57" s="2"/>
      <c r="T57" s="2"/>
    </row>
    <row r="58" hidden="1" spans="1:20">
      <c r="A58" s="21" t="s">
        <v>99</v>
      </c>
      <c r="B58" s="1">
        <v>3</v>
      </c>
      <c r="C58" s="1">
        <v>26</v>
      </c>
      <c r="D58" s="1">
        <f>B58*F58/$M$4*(ROUNDDOWN($Q$4/$M$4,0)/(ROUNDDOWN($Q$4/$M$4,0)+1))</f>
        <v>0.381818181818182</v>
      </c>
      <c r="E58" s="1">
        <f>C58*G58/$M$4*(1/(ROUNDDOWN($Q$4/$M$4,0)+1))</f>
        <v>0.330909090909091</v>
      </c>
      <c r="F58" s="19">
        <v>0.21</v>
      </c>
      <c r="G58" s="19">
        <v>0.21</v>
      </c>
      <c r="H58" s="20">
        <f t="shared" si="6"/>
        <v>0.712727272727273</v>
      </c>
      <c r="I58" s="1">
        <f t="shared" si="10"/>
        <v>1</v>
      </c>
      <c r="J58" s="1">
        <f t="shared" si="7"/>
        <v>7.250432</v>
      </c>
      <c r="K58" s="1">
        <f t="shared" si="8"/>
        <v>0.831325090909091</v>
      </c>
      <c r="L58" s="1">
        <f t="shared" si="9"/>
        <v>0.3796875</v>
      </c>
      <c r="O58" s="1"/>
      <c r="Q58" s="2"/>
      <c r="R58" s="2"/>
      <c r="S58" s="2"/>
      <c r="T58" s="2"/>
    </row>
    <row r="59" hidden="1" spans="1:20">
      <c r="A59" s="21" t="s">
        <v>152</v>
      </c>
      <c r="B59" s="1">
        <v>3</v>
      </c>
      <c r="C59" s="1">
        <v>26</v>
      </c>
      <c r="D59" s="1">
        <f>B59*F59/$M$4*(ROUNDDOWN($Q$4/$M$4,0)/(ROUNDDOWN($Q$4/$M$4,0)+1))</f>
        <v>0.490909090909091</v>
      </c>
      <c r="E59" s="1">
        <f>C59*G59/$M$4*(1/(ROUNDDOWN($Q$4/$M$4,0)+1))</f>
        <v>0.425454545454546</v>
      </c>
      <c r="F59" s="19">
        <v>0.27</v>
      </c>
      <c r="G59" s="19">
        <v>0.27</v>
      </c>
      <c r="H59" s="20">
        <f t="shared" si="6"/>
        <v>0.916363636363636</v>
      </c>
      <c r="I59" s="1">
        <f t="shared" si="10"/>
        <v>1</v>
      </c>
      <c r="J59" s="1">
        <f t="shared" si="7"/>
        <v>9.321984</v>
      </c>
      <c r="K59" s="1">
        <f t="shared" si="8"/>
        <v>1.06884654545455</v>
      </c>
      <c r="L59" s="1">
        <f t="shared" si="9"/>
        <v>0.3796875</v>
      </c>
      <c r="O59" s="1"/>
      <c r="Q59" s="2"/>
      <c r="R59" s="2"/>
      <c r="S59" s="2"/>
      <c r="T59" s="2"/>
    </row>
    <row r="60" hidden="1" spans="1:20">
      <c r="A60" s="1" t="s">
        <v>153</v>
      </c>
      <c r="B60" s="1">
        <v>3</v>
      </c>
      <c r="C60" s="1">
        <v>26</v>
      </c>
      <c r="D60" s="1">
        <f>B60*F60/$M$4*(ROUNDDOWN($Q$4/$M$4,0)/(ROUNDDOWN($Q$4/$M$4,0)+1))</f>
        <v>0.490909090909091</v>
      </c>
      <c r="E60" s="1">
        <f>C60*G60/$M$4*(1/(ROUNDDOWN($Q$4/$M$4,0)+1))</f>
        <v>0.425454545454546</v>
      </c>
      <c r="F60" s="19">
        <v>0.27</v>
      </c>
      <c r="G60" s="19">
        <v>0.27</v>
      </c>
      <c r="H60" s="20">
        <f t="shared" si="6"/>
        <v>0.916363636363636</v>
      </c>
      <c r="I60" s="1">
        <f t="shared" si="10"/>
        <v>1</v>
      </c>
      <c r="J60" s="1">
        <f t="shared" si="7"/>
        <v>9.321984</v>
      </c>
      <c r="K60" s="1">
        <f t="shared" si="8"/>
        <v>1.06884654545455</v>
      </c>
      <c r="L60" s="1">
        <f t="shared" si="9"/>
        <v>0.3796875</v>
      </c>
      <c r="O60" s="1"/>
      <c r="Q60" s="2"/>
      <c r="R60" s="2"/>
      <c r="S60" s="2"/>
      <c r="T60" s="2"/>
    </row>
    <row r="61" hidden="1" spans="1:20">
      <c r="A61" s="1" t="s">
        <v>154</v>
      </c>
      <c r="B61" s="1">
        <v>3</v>
      </c>
      <c r="C61" s="1">
        <v>30</v>
      </c>
      <c r="D61" s="1">
        <f>B61*F61/$M$4*(ROUNDDOWN($Q$4/$M$4,0)/(ROUNDDOWN($Q$4/$M$4,0)+1))</f>
        <v>0.490909090909091</v>
      </c>
      <c r="E61" s="1">
        <f>C61*G61/$M$4*(1/(ROUNDDOWN($Q$4/$M$4,0)+1))</f>
        <v>0.490909090909091</v>
      </c>
      <c r="F61" s="19">
        <v>0.27</v>
      </c>
      <c r="G61" s="19">
        <v>0.27</v>
      </c>
      <c r="H61" s="20">
        <f t="shared" si="6"/>
        <v>0.981818181818182</v>
      </c>
      <c r="I61" s="1">
        <f t="shared" si="10"/>
        <v>1</v>
      </c>
      <c r="J61" s="1">
        <f t="shared" si="7"/>
        <v>9.98784</v>
      </c>
      <c r="K61" s="1">
        <f t="shared" si="8"/>
        <v>1.14519272727273</v>
      </c>
      <c r="L61" s="1">
        <f t="shared" si="9"/>
        <v>0.3796875</v>
      </c>
      <c r="O61" s="1"/>
      <c r="Q61" s="2"/>
      <c r="R61" s="2"/>
      <c r="S61" s="2"/>
      <c r="T61" s="2"/>
    </row>
    <row r="62" hidden="1" spans="1:20">
      <c r="A62" s="1" t="s">
        <v>100</v>
      </c>
      <c r="B62" s="1">
        <v>3</v>
      </c>
      <c r="C62" s="1">
        <v>30</v>
      </c>
      <c r="D62" s="1">
        <f>B62*F62/$M$4*(ROUNDDOWN($Q$4/$M$4,0)/(ROUNDDOWN($Q$4/$M$4,0)+1))</f>
        <v>0.490909090909091</v>
      </c>
      <c r="E62" s="1">
        <f>C62*G62/$M$4*(1/(ROUNDDOWN($Q$4/$M$4,0)+1))</f>
        <v>0.490909090909091</v>
      </c>
      <c r="F62" s="19">
        <v>0.27</v>
      </c>
      <c r="G62" s="19">
        <v>0.27</v>
      </c>
      <c r="H62" s="20">
        <f t="shared" si="6"/>
        <v>0.981818181818182</v>
      </c>
      <c r="I62" s="1">
        <f t="shared" si="10"/>
        <v>1</v>
      </c>
      <c r="J62" s="1">
        <f t="shared" si="7"/>
        <v>9.98784</v>
      </c>
      <c r="K62" s="1">
        <f t="shared" si="8"/>
        <v>1.14519272727273</v>
      </c>
      <c r="L62" s="1">
        <f t="shared" si="9"/>
        <v>0.3796875</v>
      </c>
      <c r="O62" s="1"/>
      <c r="Q62" s="2"/>
      <c r="R62" s="2"/>
      <c r="S62" s="2"/>
      <c r="T62" s="2"/>
    </row>
    <row r="63" hidden="1" spans="1:20">
      <c r="A63" s="21" t="s">
        <v>155</v>
      </c>
      <c r="B63" s="1">
        <v>3</v>
      </c>
      <c r="C63" s="1">
        <v>30</v>
      </c>
      <c r="D63" s="1">
        <f>B63*F63/$M$4*(ROUNDDOWN($Q$4/$M$4,0)/(ROUNDDOWN($Q$4/$M$4,0)+1))</f>
        <v>0.490909090909091</v>
      </c>
      <c r="E63" s="1">
        <f>C63*G63/$M$4*(1/(ROUNDDOWN($Q$4/$M$4,0)+1))</f>
        <v>0.490909090909091</v>
      </c>
      <c r="F63" s="19">
        <v>0.27</v>
      </c>
      <c r="G63" s="19">
        <v>0.27</v>
      </c>
      <c r="H63" s="20">
        <f t="shared" si="6"/>
        <v>0.981818181818182</v>
      </c>
      <c r="I63" s="1">
        <f t="shared" si="10"/>
        <v>1</v>
      </c>
      <c r="J63" s="1">
        <f t="shared" si="7"/>
        <v>9.98784</v>
      </c>
      <c r="K63" s="1">
        <f t="shared" si="8"/>
        <v>1.14519272727273</v>
      </c>
      <c r="L63" s="1">
        <f t="shared" si="9"/>
        <v>0.3796875</v>
      </c>
      <c r="O63" s="1"/>
      <c r="Q63" s="2"/>
      <c r="R63" s="2"/>
      <c r="S63" s="2"/>
      <c r="T63" s="2"/>
    </row>
    <row r="64" hidden="1" spans="1:20">
      <c r="A64" s="1" t="s">
        <v>156</v>
      </c>
      <c r="B64" s="1">
        <v>3</v>
      </c>
      <c r="C64" s="1">
        <v>30</v>
      </c>
      <c r="D64" s="1">
        <f>B64*F64/$M$4*(ROUNDDOWN($Q$4/$M$4,0)/(ROUNDDOWN($Q$4/$M$4,0)+1))</f>
        <v>0.490909090909091</v>
      </c>
      <c r="E64" s="1">
        <f>C64*G64/$M$4*(1/(ROUNDDOWN($Q$4/$M$4,0)+1))</f>
        <v>0.490909090909091</v>
      </c>
      <c r="F64" s="19">
        <v>0.27</v>
      </c>
      <c r="G64" s="19">
        <v>0.27</v>
      </c>
      <c r="H64" s="20">
        <f t="shared" si="6"/>
        <v>0.981818181818182</v>
      </c>
      <c r="I64" s="1">
        <f t="shared" si="10"/>
        <v>1</v>
      </c>
      <c r="J64" s="1">
        <f t="shared" si="7"/>
        <v>9.98784</v>
      </c>
      <c r="K64" s="1">
        <f t="shared" si="8"/>
        <v>1.14519272727273</v>
      </c>
      <c r="L64" s="1">
        <f t="shared" si="9"/>
        <v>0.3796875</v>
      </c>
      <c r="O64" s="1"/>
      <c r="Q64" s="2"/>
      <c r="R64" s="2"/>
      <c r="S64" s="2"/>
      <c r="T64" s="2"/>
    </row>
    <row r="65" hidden="1" spans="1:20">
      <c r="A65" s="1" t="s">
        <v>157</v>
      </c>
      <c r="B65" s="1">
        <v>3</v>
      </c>
      <c r="C65" s="1">
        <v>30</v>
      </c>
      <c r="D65" s="1">
        <f>B65*F65/$M$4*(ROUNDDOWN($Q$4/$M$4,0)/(ROUNDDOWN($Q$4/$M$4,0)+1))</f>
        <v>0.490909090909091</v>
      </c>
      <c r="E65" s="1">
        <f>C65*G65/$M$4*(1/(ROUNDDOWN($Q$4/$M$4,0)+1))</f>
        <v>0.490909090909091</v>
      </c>
      <c r="F65" s="19">
        <v>0.27</v>
      </c>
      <c r="G65" s="19">
        <v>0.27</v>
      </c>
      <c r="H65" s="20">
        <f t="shared" si="6"/>
        <v>0.981818181818182</v>
      </c>
      <c r="I65" s="1">
        <f t="shared" si="10"/>
        <v>1</v>
      </c>
      <c r="J65" s="1">
        <f t="shared" si="7"/>
        <v>9.98784</v>
      </c>
      <c r="K65" s="1">
        <f t="shared" si="8"/>
        <v>1.14519272727273</v>
      </c>
      <c r="L65" s="1">
        <f t="shared" si="9"/>
        <v>0.3796875</v>
      </c>
      <c r="O65" s="1"/>
      <c r="Q65" s="2"/>
      <c r="R65" s="2"/>
      <c r="S65" s="2"/>
      <c r="T65" s="2"/>
    </row>
    <row r="66" hidden="1" spans="1:20">
      <c r="A66" s="1" t="s">
        <v>101</v>
      </c>
      <c r="B66" s="1">
        <v>3</v>
      </c>
      <c r="C66" s="1">
        <v>30</v>
      </c>
      <c r="D66" s="1">
        <f>B66*F66/$M$4*(ROUNDDOWN($Q$4/$M$4,0)/(ROUNDDOWN($Q$4/$M$4,0)+1))</f>
        <v>0.490909090909091</v>
      </c>
      <c r="E66" s="1">
        <f>C66*G66/$M$4*(1/(ROUNDDOWN($Q$4/$M$4,0)+1))</f>
        <v>0.490909090909091</v>
      </c>
      <c r="F66" s="19">
        <v>0.27</v>
      </c>
      <c r="G66" s="19">
        <v>0.27</v>
      </c>
      <c r="H66" s="20">
        <f t="shared" si="6"/>
        <v>0.981818181818182</v>
      </c>
      <c r="I66" s="1">
        <f t="shared" si="10"/>
        <v>1</v>
      </c>
      <c r="J66" s="1">
        <f t="shared" si="7"/>
        <v>9.98784</v>
      </c>
      <c r="K66" s="1">
        <f t="shared" si="8"/>
        <v>1.14519272727273</v>
      </c>
      <c r="L66" s="1">
        <f t="shared" si="9"/>
        <v>0.3796875</v>
      </c>
      <c r="O66" s="1"/>
      <c r="Q66" s="2"/>
      <c r="R66" s="2"/>
      <c r="S66" s="2"/>
      <c r="T66" s="2"/>
    </row>
    <row r="67" spans="12:20">
      <c r="L67" s="2">
        <f>L73/L82</f>
        <v>0.576295759333092</v>
      </c>
      <c r="M67" s="2">
        <f>M73/M83</f>
        <v>0.833437339098755</v>
      </c>
      <c r="O67" s="1"/>
      <c r="Q67" s="2"/>
      <c r="R67" s="2"/>
      <c r="S67" s="2"/>
      <c r="T67" s="2"/>
    </row>
    <row r="68" spans="1:20">
      <c r="A68" s="1" t="s">
        <v>65</v>
      </c>
      <c r="B68" s="1" t="s">
        <v>110</v>
      </c>
      <c r="C68" s="1" t="s">
        <v>85</v>
      </c>
      <c r="D68" s="1" t="s">
        <v>86</v>
      </c>
      <c r="E68" s="1" t="s">
        <v>87</v>
      </c>
      <c r="F68" s="2" t="s">
        <v>88</v>
      </c>
      <c r="G68" s="2" t="s">
        <v>89</v>
      </c>
      <c r="H68" s="1" t="s">
        <v>111</v>
      </c>
      <c r="I68" s="1" t="s">
        <v>112</v>
      </c>
      <c r="J68" s="1" t="s">
        <v>91</v>
      </c>
      <c r="K68" s="1" t="s">
        <v>92</v>
      </c>
      <c r="L68" s="1" t="s">
        <v>93</v>
      </c>
      <c r="M68" s="1" t="s">
        <v>94</v>
      </c>
      <c r="O68" s="1"/>
      <c r="Q68" s="2"/>
      <c r="R68" s="2"/>
      <c r="S68" s="2"/>
      <c r="T68" s="2"/>
    </row>
    <row r="69" spans="1:20">
      <c r="A69" s="1" t="s">
        <v>113</v>
      </c>
      <c r="B69" s="28">
        <v>3</v>
      </c>
      <c r="C69" s="28">
        <v>12</v>
      </c>
      <c r="D69" s="1">
        <f>(B69*F69/$M$3*(ROUNDDOWN($Q$3/$M$3,0)/(ROUNDDOWN($Q$3/$M$3,0)+1)))</f>
        <v>0</v>
      </c>
      <c r="E69" s="1">
        <f>C69*G69/$M$4*(1/(ROUNDDOWN($Q$4/$M$4,0)+1))</f>
        <v>0</v>
      </c>
      <c r="F69" s="29">
        <v>0</v>
      </c>
      <c r="G69" s="29">
        <v>0</v>
      </c>
      <c r="H69" s="1" t="e">
        <f t="shared" ref="H69:H83" si="11">H52/SUM(D69,E69)</f>
        <v>#DIV/0!</v>
      </c>
      <c r="I69" s="1" t="e">
        <f t="shared" ref="I69:I83" si="12">H69/$V$24</f>
        <v>#DIV/0!</v>
      </c>
      <c r="J69" s="1">
        <v>1.25</v>
      </c>
      <c r="K69" s="1">
        <f t="shared" ref="K69:K83" si="13">SUM(D69,E69)*$U$24*J69</f>
        <v>0</v>
      </c>
      <c r="L69" s="31">
        <f t="shared" ref="L69:L83" si="14">SUM(D69,E69)*$E$17*$B$16/20</f>
        <v>0</v>
      </c>
      <c r="M69" s="31">
        <f t="shared" ref="M69:M83" si="15">MIN(SUM(D69:E69)*$E$33*12/20*(1+$B$33)^$F$31,6*(1+$B$33)^4/20/4)</f>
        <v>0</v>
      </c>
      <c r="O69" s="1"/>
      <c r="Q69" s="2"/>
      <c r="R69" s="2"/>
      <c r="S69" s="2"/>
      <c r="T69" s="2"/>
    </row>
    <row r="70" spans="1:20">
      <c r="A70" s="1" t="s">
        <v>114</v>
      </c>
      <c r="B70" s="28">
        <v>3</v>
      </c>
      <c r="C70" s="28">
        <v>12</v>
      </c>
      <c r="D70" s="1">
        <f>(B70*F70/$M$3*(ROUNDDOWN($Q$3/$M$3,0)/(ROUNDDOWN($Q$3/$M$3,0)+1)))</f>
        <v>0.202666666666667</v>
      </c>
      <c r="E70" s="1">
        <f>C70*G70/$M$4*(1/(ROUNDDOWN($Q$4/$M$4,0)+1))</f>
        <v>0</v>
      </c>
      <c r="F70" s="29">
        <v>0.209</v>
      </c>
      <c r="G70" s="29">
        <v>0</v>
      </c>
      <c r="H70" s="1">
        <f t="shared" si="11"/>
        <v>1.88397129186603</v>
      </c>
      <c r="I70" s="1">
        <f t="shared" si="12"/>
        <v>2.13811967119877</v>
      </c>
      <c r="J70" s="1">
        <f t="shared" ref="J70:J83" si="16">$J$69</f>
        <v>1.25</v>
      </c>
      <c r="K70" s="1">
        <f t="shared" si="13"/>
        <v>2.27078028671701</v>
      </c>
      <c r="L70" s="31">
        <f t="shared" si="14"/>
        <v>0.177894024725275</v>
      </c>
      <c r="M70" s="31">
        <f t="shared" si="15"/>
        <v>0.124787093575497</v>
      </c>
      <c r="O70" s="1"/>
      <c r="Q70" s="2"/>
      <c r="R70" s="2"/>
      <c r="S70" s="2"/>
      <c r="T70" s="2"/>
    </row>
    <row r="71" spans="1:20">
      <c r="A71" s="1" t="s">
        <v>115</v>
      </c>
      <c r="B71" s="28">
        <v>3</v>
      </c>
      <c r="C71" s="28">
        <v>12</v>
      </c>
      <c r="D71" s="1">
        <f>(B71*F71/$M$3*(ROUNDDOWN($Q$3/$M$3,0)/(ROUNDDOWN($Q$3/$M$3,0)+1)))</f>
        <v>0.202666666666667</v>
      </c>
      <c r="E71" s="1">
        <f>C71*G71/$M$4*(1/(ROUNDDOWN($Q$4/$M$4,0)+1))</f>
        <v>0</v>
      </c>
      <c r="F71" s="29">
        <v>0.209</v>
      </c>
      <c r="G71" s="29">
        <v>0</v>
      </c>
      <c r="H71" s="1">
        <f t="shared" si="11"/>
        <v>1.88397129186603</v>
      </c>
      <c r="I71" s="1">
        <f t="shared" si="12"/>
        <v>2.13811967119877</v>
      </c>
      <c r="J71" s="1">
        <f t="shared" si="16"/>
        <v>1.25</v>
      </c>
      <c r="K71" s="1">
        <f t="shared" si="13"/>
        <v>2.27078028671701</v>
      </c>
      <c r="L71" s="31">
        <f t="shared" si="14"/>
        <v>0.177894024725275</v>
      </c>
      <c r="M71" s="31">
        <f t="shared" si="15"/>
        <v>0.124787093575497</v>
      </c>
      <c r="O71" s="1"/>
      <c r="Q71" s="2"/>
      <c r="R71" s="2"/>
      <c r="S71" s="2"/>
      <c r="T71" s="2"/>
    </row>
    <row r="72" spans="1:20">
      <c r="A72" s="1" t="s">
        <v>116</v>
      </c>
      <c r="B72" s="28">
        <v>3</v>
      </c>
      <c r="C72" s="28">
        <v>12</v>
      </c>
      <c r="D72" s="1">
        <f>(B72*F72/$M$3*(ROUNDDOWN($Q$3/$M$3,0)/(ROUNDDOWN($Q$3/$M$3,0)+1)))</f>
        <v>0.202666666666667</v>
      </c>
      <c r="E72" s="1">
        <f>C72*G72/$M$4*(1/(ROUNDDOWN($Q$4/$M$4,0)+1))</f>
        <v>0.311272727272727</v>
      </c>
      <c r="F72" s="29">
        <v>0.209</v>
      </c>
      <c r="G72" s="29">
        <v>0.428</v>
      </c>
      <c r="H72" s="1">
        <f t="shared" si="11"/>
        <v>1.06485849056604</v>
      </c>
      <c r="I72" s="1">
        <f t="shared" si="12"/>
        <v>1.20850826950084</v>
      </c>
      <c r="J72" s="1">
        <f t="shared" si="16"/>
        <v>1.25</v>
      </c>
      <c r="K72" s="1">
        <f t="shared" si="13"/>
        <v>5.75843804765556</v>
      </c>
      <c r="L72" s="31">
        <f t="shared" si="14"/>
        <v>0.451118818681319</v>
      </c>
      <c r="M72" s="31">
        <f t="shared" si="15"/>
        <v>0.316445739689058</v>
      </c>
      <c r="O72" s="1"/>
      <c r="Q72" s="2"/>
      <c r="R72" s="2"/>
      <c r="S72" s="2"/>
      <c r="T72" s="2"/>
    </row>
    <row r="73" spans="1:22">
      <c r="A73" s="1" t="s">
        <v>158</v>
      </c>
      <c r="B73" s="28">
        <v>3</v>
      </c>
      <c r="C73" s="28">
        <v>12</v>
      </c>
      <c r="D73" s="1">
        <f>(B73*F73/$M$3*(ROUNDDOWN($Q$3/$M$3,0)/(ROUNDDOWN($Q$3/$M$3,0)+1)))</f>
        <v>0.202666666666667</v>
      </c>
      <c r="E73" s="1">
        <f>C73*G73/$M$4*(1/(ROUNDDOWN($Q$4/$M$4,0)+1))</f>
        <v>0.311272727272727</v>
      </c>
      <c r="F73" s="29">
        <v>0.209</v>
      </c>
      <c r="G73" s="29">
        <v>0.428</v>
      </c>
      <c r="H73" s="1">
        <f t="shared" si="11"/>
        <v>1.06485849056604</v>
      </c>
      <c r="I73" s="1">
        <f t="shared" si="12"/>
        <v>1.20850826950084</v>
      </c>
      <c r="J73" s="1">
        <f t="shared" si="16"/>
        <v>1.25</v>
      </c>
      <c r="K73" s="1">
        <f t="shared" si="13"/>
        <v>5.75843804765556</v>
      </c>
      <c r="L73" s="31">
        <f t="shared" si="14"/>
        <v>0.451118818681319</v>
      </c>
      <c r="M73" s="31">
        <f t="shared" si="15"/>
        <v>0.316445739689058</v>
      </c>
      <c r="Q73" s="2"/>
      <c r="R73" s="2"/>
      <c r="S73" s="30"/>
      <c r="T73" s="2"/>
      <c r="V73" s="2"/>
    </row>
    <row r="74" spans="1:22">
      <c r="A74" s="1" t="s">
        <v>159</v>
      </c>
      <c r="B74" s="28">
        <v>3</v>
      </c>
      <c r="C74" s="28">
        <v>12</v>
      </c>
      <c r="D74" s="1">
        <f>(B74*F74/$M$3*(ROUNDDOWN($Q$3/$M$3,0)/(ROUNDDOWN($Q$3/$M$3,0)+1)))</f>
        <v>0.202666666666667</v>
      </c>
      <c r="E74" s="1">
        <f>C74*G74/$M$4*(1/(ROUNDDOWN($Q$4/$M$4,0)+1))</f>
        <v>0.311272727272727</v>
      </c>
      <c r="F74" s="29">
        <v>0.209</v>
      </c>
      <c r="G74" s="29">
        <v>0.428</v>
      </c>
      <c r="H74" s="1">
        <f t="shared" si="11"/>
        <v>1.06485849056604</v>
      </c>
      <c r="I74" s="1">
        <f t="shared" si="12"/>
        <v>1.20850826950084</v>
      </c>
      <c r="J74" s="1">
        <f t="shared" si="16"/>
        <v>1.25</v>
      </c>
      <c r="K74" s="1">
        <f t="shared" si="13"/>
        <v>5.75843804765556</v>
      </c>
      <c r="L74" s="31">
        <f t="shared" si="14"/>
        <v>0.451118818681319</v>
      </c>
      <c r="M74" s="31">
        <f t="shared" si="15"/>
        <v>0.316445739689058</v>
      </c>
      <c r="O74" s="1"/>
      <c r="Q74" s="2"/>
      <c r="R74" s="2"/>
      <c r="S74" s="2"/>
      <c r="T74" s="2"/>
      <c r="U74" s="2"/>
      <c r="V74" s="2"/>
    </row>
    <row r="75" spans="1:22">
      <c r="A75" s="1" t="s">
        <v>117</v>
      </c>
      <c r="B75" s="28">
        <v>4</v>
      </c>
      <c r="C75" s="28">
        <v>12</v>
      </c>
      <c r="D75" s="1">
        <f>(B75*F75/$M$3*(ROUNDDOWN($Q$3/$M$3,0)/(ROUNDDOWN($Q$3/$M$3,0)+1)))</f>
        <v>0.270222222222222</v>
      </c>
      <c r="E75" s="1">
        <f>C75*G75/$M$4*(1/(ROUNDDOWN($Q$4/$M$4,0)+1))</f>
        <v>0.311272727272727</v>
      </c>
      <c r="F75" s="29">
        <v>0.209</v>
      </c>
      <c r="G75" s="29">
        <v>0.428</v>
      </c>
      <c r="H75" s="1">
        <f t="shared" si="11"/>
        <v>1.22568093385214</v>
      </c>
      <c r="I75" s="1">
        <f t="shared" si="12"/>
        <v>1.39102571604838</v>
      </c>
      <c r="J75" s="1">
        <f t="shared" si="16"/>
        <v>1.25</v>
      </c>
      <c r="K75" s="1">
        <f t="shared" si="13"/>
        <v>6.51536480989457</v>
      </c>
      <c r="L75" s="31">
        <f t="shared" si="14"/>
        <v>0.510416826923078</v>
      </c>
      <c r="M75" s="31">
        <f t="shared" si="15"/>
        <v>0.358041437547557</v>
      </c>
      <c r="O75" s="1"/>
      <c r="Q75" s="2"/>
      <c r="R75" s="2"/>
      <c r="S75" s="2"/>
      <c r="T75" s="2"/>
      <c r="V75" s="2"/>
    </row>
    <row r="76" spans="1:22">
      <c r="A76" s="1" t="s">
        <v>160</v>
      </c>
      <c r="B76" s="28">
        <v>4</v>
      </c>
      <c r="C76" s="28">
        <v>12</v>
      </c>
      <c r="D76" s="1">
        <f>(B76*F76/$M$3*(ROUNDDOWN($Q$3/$M$3,0)/(ROUNDDOWN($Q$3/$M$3,0)+1)))</f>
        <v>0.580525252525252</v>
      </c>
      <c r="E76" s="1">
        <f>C76*G76/$M$4*(1/(ROUNDDOWN($Q$4/$M$4,0)+1))</f>
        <v>0.311272727272727</v>
      </c>
      <c r="F76" s="29">
        <v>0.449</v>
      </c>
      <c r="G76" s="29">
        <v>0.428</v>
      </c>
      <c r="H76" s="1">
        <f t="shared" si="11"/>
        <v>1.0275462123958</v>
      </c>
      <c r="I76" s="1">
        <f t="shared" si="12"/>
        <v>1.1661625520913</v>
      </c>
      <c r="J76" s="1">
        <f t="shared" si="16"/>
        <v>1.25</v>
      </c>
      <c r="K76" s="1">
        <f t="shared" si="13"/>
        <v>9.99215759338472</v>
      </c>
      <c r="L76" s="31">
        <f t="shared" si="14"/>
        <v>0.782790453296705</v>
      </c>
      <c r="M76" s="31">
        <f t="shared" si="15"/>
        <v>0.3796875</v>
      </c>
      <c r="O76" s="1"/>
      <c r="Q76" s="2"/>
      <c r="R76" s="2"/>
      <c r="S76" s="2"/>
      <c r="T76" s="2"/>
      <c r="V76" s="2"/>
    </row>
    <row r="77" spans="1:22">
      <c r="A77" s="1" t="s">
        <v>161</v>
      </c>
      <c r="B77" s="28">
        <v>4</v>
      </c>
      <c r="C77" s="28">
        <v>12</v>
      </c>
      <c r="D77" s="1">
        <f>(B77*F77/$M$3*(ROUNDDOWN($Q$3/$M$3,0)/(ROUNDDOWN($Q$3/$M$3,0)+1)))</f>
        <v>0.580525252525252</v>
      </c>
      <c r="E77" s="1">
        <f>C77*G77/$M$4*(1/(ROUNDDOWN($Q$4/$M$4,0)+1))</f>
        <v>0.311272727272727</v>
      </c>
      <c r="F77" s="29">
        <v>0.449</v>
      </c>
      <c r="G77" s="29">
        <v>0.428</v>
      </c>
      <c r="H77" s="1">
        <f t="shared" si="11"/>
        <v>1.0275462123958</v>
      </c>
      <c r="I77" s="1">
        <f t="shared" si="12"/>
        <v>1.1661625520913</v>
      </c>
      <c r="J77" s="1">
        <f t="shared" si="16"/>
        <v>1.25</v>
      </c>
      <c r="K77" s="1">
        <f t="shared" si="13"/>
        <v>9.99215759338472</v>
      </c>
      <c r="L77" s="31">
        <f t="shared" si="14"/>
        <v>0.782790453296705</v>
      </c>
      <c r="M77" s="31">
        <f t="shared" si="15"/>
        <v>0.3796875</v>
      </c>
      <c r="O77" s="1"/>
      <c r="Q77" s="2"/>
      <c r="R77" s="2"/>
      <c r="S77" s="2"/>
      <c r="T77" s="2"/>
      <c r="V77" s="2"/>
    </row>
    <row r="78" spans="1:22">
      <c r="A78" s="1" t="s">
        <v>162</v>
      </c>
      <c r="B78" s="28">
        <v>4</v>
      </c>
      <c r="C78" s="28">
        <v>12</v>
      </c>
      <c r="D78" s="1">
        <f>(B78*F78/$M$3*(ROUNDDOWN($Q$3/$M$3,0)/(ROUNDDOWN($Q$3/$M$3,0)+1)))</f>
        <v>0.580525252525252</v>
      </c>
      <c r="E78" s="1">
        <f>C78*G78/$M$4*(1/(ROUNDDOWN($Q$4/$M$4,0)+1))</f>
        <v>0.311272727272727</v>
      </c>
      <c r="F78" s="29">
        <v>0.449</v>
      </c>
      <c r="G78" s="29">
        <v>0.428</v>
      </c>
      <c r="H78" s="1">
        <f t="shared" si="11"/>
        <v>1.10094237042407</v>
      </c>
      <c r="I78" s="1">
        <f t="shared" si="12"/>
        <v>1.24945987724068</v>
      </c>
      <c r="J78" s="1">
        <f t="shared" si="16"/>
        <v>1.25</v>
      </c>
      <c r="K78" s="1">
        <f t="shared" si="13"/>
        <v>9.99215759338472</v>
      </c>
      <c r="L78" s="31">
        <f t="shared" si="14"/>
        <v>0.782790453296705</v>
      </c>
      <c r="M78" s="31">
        <f t="shared" si="15"/>
        <v>0.3796875</v>
      </c>
      <c r="O78" s="1"/>
      <c r="Q78" s="2"/>
      <c r="R78" s="2"/>
      <c r="S78" s="2"/>
      <c r="T78" s="2"/>
      <c r="V78" s="2"/>
    </row>
    <row r="79" spans="1:22">
      <c r="A79" s="1" t="s">
        <v>118</v>
      </c>
      <c r="B79" s="28">
        <v>4</v>
      </c>
      <c r="C79" s="28">
        <v>12</v>
      </c>
      <c r="D79" s="1">
        <f>(B79*F79/$M$3*(ROUNDDOWN($Q$3/$M$3,0)/(ROUNDDOWN($Q$3/$M$3,0)+1)))</f>
        <v>0.580525252525252</v>
      </c>
      <c r="E79" s="1">
        <f>C79*G79/$M$4*(1/(ROUNDDOWN($Q$4/$M$4,0)+1))</f>
        <v>0.311272727272727</v>
      </c>
      <c r="F79" s="29">
        <v>0.449</v>
      </c>
      <c r="G79" s="29">
        <v>0.428</v>
      </c>
      <c r="H79" s="1">
        <f t="shared" si="11"/>
        <v>1.10094237042407</v>
      </c>
      <c r="I79" s="1">
        <f t="shared" si="12"/>
        <v>1.24945987724068</v>
      </c>
      <c r="J79" s="1">
        <f t="shared" si="16"/>
        <v>1.25</v>
      </c>
      <c r="K79" s="1">
        <f t="shared" si="13"/>
        <v>9.99215759338472</v>
      </c>
      <c r="L79" s="31">
        <f t="shared" si="14"/>
        <v>0.782790453296705</v>
      </c>
      <c r="M79" s="31">
        <f t="shared" si="15"/>
        <v>0.3796875</v>
      </c>
      <c r="O79" s="1"/>
      <c r="Q79" s="2"/>
      <c r="R79" s="2"/>
      <c r="S79" s="2"/>
      <c r="T79" s="2"/>
      <c r="V79" s="2"/>
    </row>
    <row r="80" spans="1:22">
      <c r="A80" s="1" t="s">
        <v>163</v>
      </c>
      <c r="B80" s="28">
        <v>4</v>
      </c>
      <c r="C80" s="28">
        <v>12</v>
      </c>
      <c r="D80" s="1">
        <f>(B80*F80/$M$3*(ROUNDDOWN($Q$3/$M$3,0)/(ROUNDDOWN($Q$3/$M$3,0)+1)))</f>
        <v>0.580525252525252</v>
      </c>
      <c r="E80" s="1">
        <f>C80*G80/$M$4*(1/(ROUNDDOWN($Q$4/$M$4,0)+1))</f>
        <v>0.311272727272727</v>
      </c>
      <c r="F80" s="29">
        <v>0.449</v>
      </c>
      <c r="G80" s="29">
        <v>0.428</v>
      </c>
      <c r="H80" s="1">
        <f t="shared" si="11"/>
        <v>1.10094237042407</v>
      </c>
      <c r="I80" s="1">
        <f t="shared" si="12"/>
        <v>1.24945987724068</v>
      </c>
      <c r="J80" s="1">
        <f t="shared" si="16"/>
        <v>1.25</v>
      </c>
      <c r="K80" s="1">
        <f t="shared" si="13"/>
        <v>9.99215759338472</v>
      </c>
      <c r="L80" s="31">
        <f t="shared" si="14"/>
        <v>0.782790453296705</v>
      </c>
      <c r="M80" s="31">
        <f t="shared" si="15"/>
        <v>0.3796875</v>
      </c>
      <c r="O80" s="1"/>
      <c r="Q80" s="2"/>
      <c r="R80" s="2"/>
      <c r="S80" s="2"/>
      <c r="T80" s="2"/>
      <c r="V80" s="2"/>
    </row>
    <row r="81" spans="1:22">
      <c r="A81" s="1" t="s">
        <v>164</v>
      </c>
      <c r="B81" s="28">
        <v>4</v>
      </c>
      <c r="C81" s="28">
        <v>12</v>
      </c>
      <c r="D81" s="1">
        <f>(B81*F81/$M$3*(ROUNDDOWN($Q$3/$M$3,0)/(ROUNDDOWN($Q$3/$M$3,0)+1)))</f>
        <v>0.580525252525252</v>
      </c>
      <c r="E81" s="1">
        <f>C81*G81/$M$4*(1/(ROUNDDOWN($Q$4/$M$4,0)+1))</f>
        <v>0.311272727272727</v>
      </c>
      <c r="F81" s="29">
        <v>0.449</v>
      </c>
      <c r="G81" s="29">
        <v>0.428</v>
      </c>
      <c r="H81" s="1">
        <f t="shared" si="11"/>
        <v>1.10094237042407</v>
      </c>
      <c r="I81" s="1">
        <f t="shared" si="12"/>
        <v>1.24945987724068</v>
      </c>
      <c r="J81" s="1">
        <f t="shared" si="16"/>
        <v>1.25</v>
      </c>
      <c r="K81" s="1">
        <f t="shared" si="13"/>
        <v>9.99215759338472</v>
      </c>
      <c r="L81" s="31">
        <f t="shared" si="14"/>
        <v>0.782790453296705</v>
      </c>
      <c r="M81" s="31">
        <f t="shared" si="15"/>
        <v>0.3796875</v>
      </c>
      <c r="O81" s="1"/>
      <c r="Q81" s="2"/>
      <c r="R81" s="2"/>
      <c r="S81" s="2"/>
      <c r="T81" s="2"/>
      <c r="V81" s="2"/>
    </row>
    <row r="82" spans="1:22">
      <c r="A82" s="1" t="s">
        <v>165</v>
      </c>
      <c r="B82" s="28">
        <v>4</v>
      </c>
      <c r="C82" s="28">
        <v>12</v>
      </c>
      <c r="D82" s="1">
        <f>(B82*F82/$M$3*(ROUNDDOWN($Q$3/$M$3,0)/(ROUNDDOWN($Q$3/$M$3,0)+1)))</f>
        <v>0.580525252525252</v>
      </c>
      <c r="E82" s="1">
        <f>C82*G82/$M$4*(1/(ROUNDDOWN($Q$4/$M$4,0)+1))</f>
        <v>0.311272727272727</v>
      </c>
      <c r="F82" s="29">
        <v>0.449</v>
      </c>
      <c r="G82" s="29">
        <v>0.428</v>
      </c>
      <c r="H82" s="1">
        <f t="shared" si="11"/>
        <v>1.10094237042407</v>
      </c>
      <c r="I82" s="1">
        <f t="shared" si="12"/>
        <v>1.24945987724068</v>
      </c>
      <c r="J82" s="1">
        <f t="shared" si="16"/>
        <v>1.25</v>
      </c>
      <c r="K82" s="1">
        <f t="shared" si="13"/>
        <v>9.99215759338472</v>
      </c>
      <c r="L82" s="31">
        <f t="shared" si="14"/>
        <v>0.782790453296705</v>
      </c>
      <c r="M82" s="31">
        <f t="shared" si="15"/>
        <v>0.3796875</v>
      </c>
      <c r="O82" s="1"/>
      <c r="Q82" s="2"/>
      <c r="R82" s="2"/>
      <c r="S82" s="2"/>
      <c r="T82" s="2"/>
      <c r="V82" s="2"/>
    </row>
    <row r="83" spans="1:22">
      <c r="A83" s="1" t="s">
        <v>119</v>
      </c>
      <c r="B83" s="28">
        <v>4</v>
      </c>
      <c r="C83" s="28">
        <v>12</v>
      </c>
      <c r="D83" s="1">
        <f>(B83*F83/$M$3*(ROUNDDOWN($Q$3/$M$3,0)/(ROUNDDOWN($Q$3/$M$3,0)+1)))</f>
        <v>0.580525252525252</v>
      </c>
      <c r="E83" s="1">
        <f>C83*G83/$M$4*(1/(ROUNDDOWN($Q$4/$M$4,0)+1))</f>
        <v>0.311272727272727</v>
      </c>
      <c r="F83" s="29">
        <v>0.449</v>
      </c>
      <c r="G83" s="29">
        <v>0.428</v>
      </c>
      <c r="H83" s="1">
        <f t="shared" si="11"/>
        <v>1.10094237042407</v>
      </c>
      <c r="I83" s="1">
        <f t="shared" si="12"/>
        <v>1.24945987724068</v>
      </c>
      <c r="J83" s="1">
        <f t="shared" si="16"/>
        <v>1.25</v>
      </c>
      <c r="K83" s="1">
        <f t="shared" si="13"/>
        <v>9.99215759338472</v>
      </c>
      <c r="L83" s="31">
        <f t="shared" si="14"/>
        <v>0.782790453296705</v>
      </c>
      <c r="M83" s="31">
        <f t="shared" si="15"/>
        <v>0.3796875</v>
      </c>
      <c r="O83" s="1"/>
      <c r="Q83" s="2"/>
      <c r="R83" s="2"/>
      <c r="S83" s="2"/>
      <c r="T83" s="2"/>
      <c r="V83" s="2"/>
    </row>
    <row r="84" hidden="1" spans="13:22">
      <c r="M84" s="2">
        <f>M90/M99</f>
        <v>0.5</v>
      </c>
      <c r="N84" s="2">
        <f>N90/N99</f>
        <v>1</v>
      </c>
      <c r="O84" s="1"/>
      <c r="Q84" s="2"/>
      <c r="R84" s="2"/>
      <c r="S84" s="2"/>
      <c r="T84" s="2"/>
      <c r="V84" s="2"/>
    </row>
    <row r="85" hidden="1" spans="1:22">
      <c r="A85" s="1" t="s">
        <v>74</v>
      </c>
      <c r="B85" s="1" t="s">
        <v>84</v>
      </c>
      <c r="C85" s="1" t="s">
        <v>85</v>
      </c>
      <c r="D85" s="1" t="s">
        <v>86</v>
      </c>
      <c r="E85" s="1" t="s">
        <v>87</v>
      </c>
      <c r="F85" s="2" t="s">
        <v>88</v>
      </c>
      <c r="G85" s="2" t="s">
        <v>89</v>
      </c>
      <c r="H85" s="1" t="s">
        <v>90</v>
      </c>
      <c r="I85" s="1" t="s">
        <v>111</v>
      </c>
      <c r="J85" s="1" t="s">
        <v>112</v>
      </c>
      <c r="K85" s="1" t="s">
        <v>91</v>
      </c>
      <c r="L85" s="1" t="s">
        <v>92</v>
      </c>
      <c r="M85" s="1" t="s">
        <v>93</v>
      </c>
      <c r="N85" s="1" t="s">
        <v>94</v>
      </c>
      <c r="O85" s="1"/>
      <c r="Q85" s="2"/>
      <c r="R85" s="2"/>
      <c r="S85" s="2"/>
      <c r="T85" s="2"/>
      <c r="V85" s="2"/>
    </row>
    <row r="86" hidden="1" spans="1:22">
      <c r="A86" s="1" t="s">
        <v>128</v>
      </c>
      <c r="B86" s="1">
        <v>5</v>
      </c>
      <c r="C86" s="1">
        <v>5</v>
      </c>
      <c r="D86" s="1">
        <f t="shared" ref="D86:D100" si="17">B86*F86/$M$6*0.5*3</f>
        <v>0</v>
      </c>
      <c r="E86" s="1">
        <f t="shared" ref="E86:E100" si="18">C86*G86/$M$6*0.5*3</f>
        <v>0</v>
      </c>
      <c r="F86" s="19">
        <v>0</v>
      </c>
      <c r="G86" s="19">
        <v>0</v>
      </c>
      <c r="H86" s="20">
        <f t="shared" ref="H86:H100" si="19">SUM(D86:E86)</f>
        <v>0</v>
      </c>
      <c r="I86" s="1" t="e">
        <f t="shared" ref="I86:I100" si="20">H52/H86</f>
        <v>#DIV/0!</v>
      </c>
      <c r="J86" s="1" t="e">
        <f t="shared" ref="J86:J100" si="21">I86/$V$27</f>
        <v>#DIV/0!</v>
      </c>
      <c r="K86" s="1">
        <v>0.7</v>
      </c>
      <c r="L86" s="1">
        <f t="shared" ref="L86:L100" si="22">H86*$U$27*K86</f>
        <v>0</v>
      </c>
      <c r="M86" s="1">
        <f t="shared" ref="M86:M100" si="23">H86*$I$25*$B$20/20</f>
        <v>0</v>
      </c>
      <c r="N86" s="1">
        <f t="shared" ref="N86:N100" si="24">MIN(H86*$I$49*12/20*(1+$B$37)^$H$49,6*(1+$B$37)^4/20/4)</f>
        <v>0</v>
      </c>
      <c r="O86" s="1"/>
      <c r="Q86" s="2"/>
      <c r="R86" s="2"/>
      <c r="S86" s="2"/>
      <c r="T86" s="2"/>
      <c r="V86" s="2"/>
    </row>
    <row r="87" hidden="1" spans="1:22">
      <c r="A87" s="1" t="s">
        <v>129</v>
      </c>
      <c r="B87" s="1">
        <v>5</v>
      </c>
      <c r="C87" s="1">
        <v>5</v>
      </c>
      <c r="D87" s="1">
        <f t="shared" si="17"/>
        <v>0.227272727272727</v>
      </c>
      <c r="E87" s="1">
        <f t="shared" si="18"/>
        <v>0</v>
      </c>
      <c r="F87" s="19">
        <f t="shared" ref="F87:F92" si="25">1/30</f>
        <v>0.0333333333333333</v>
      </c>
      <c r="G87" s="19">
        <v>0</v>
      </c>
      <c r="H87" s="20">
        <f t="shared" si="19"/>
        <v>0.227272727272727</v>
      </c>
      <c r="I87" s="1">
        <f t="shared" si="20"/>
        <v>1.68</v>
      </c>
      <c r="J87" s="1">
        <f t="shared" si="21"/>
        <v>1.61963117629008</v>
      </c>
      <c r="K87" s="1">
        <f t="shared" ref="K87:K100" si="26">$K$86</f>
        <v>0.7</v>
      </c>
      <c r="L87" s="1">
        <f t="shared" si="22"/>
        <v>1.67872293383974</v>
      </c>
      <c r="M87" s="1">
        <f t="shared" si="23"/>
        <v>0.203948355786313</v>
      </c>
      <c r="N87" s="1">
        <f t="shared" si="24"/>
        <v>0.187348614645301</v>
      </c>
      <c r="O87" s="1"/>
      <c r="Q87" s="2"/>
      <c r="R87" s="2"/>
      <c r="S87" s="2"/>
      <c r="T87" s="2"/>
      <c r="V87" s="2"/>
    </row>
    <row r="88" hidden="1" spans="1:22">
      <c r="A88" s="1" t="s">
        <v>130</v>
      </c>
      <c r="B88" s="1">
        <v>5</v>
      </c>
      <c r="C88" s="1">
        <v>5</v>
      </c>
      <c r="D88" s="1">
        <f t="shared" si="17"/>
        <v>0.227272727272727</v>
      </c>
      <c r="E88" s="1">
        <f t="shared" si="18"/>
        <v>0</v>
      </c>
      <c r="F88" s="19">
        <f t="shared" si="25"/>
        <v>0.0333333333333333</v>
      </c>
      <c r="G88" s="19">
        <v>0</v>
      </c>
      <c r="H88" s="20">
        <f t="shared" si="19"/>
        <v>0.227272727272727</v>
      </c>
      <c r="I88" s="1">
        <f t="shared" si="20"/>
        <v>1.68</v>
      </c>
      <c r="J88" s="1">
        <f t="shared" si="21"/>
        <v>1.61963117629008</v>
      </c>
      <c r="K88" s="1">
        <f t="shared" si="26"/>
        <v>0.7</v>
      </c>
      <c r="L88" s="1">
        <f t="shared" si="22"/>
        <v>1.67872293383974</v>
      </c>
      <c r="M88" s="1">
        <f t="shared" si="23"/>
        <v>0.203948355786313</v>
      </c>
      <c r="N88" s="1">
        <f t="shared" si="24"/>
        <v>0.187348614645301</v>
      </c>
      <c r="O88" s="1"/>
      <c r="Q88" s="2"/>
      <c r="R88" s="2"/>
      <c r="S88" s="2"/>
      <c r="T88" s="2"/>
      <c r="V88" s="2"/>
    </row>
    <row r="89" hidden="1" spans="1:22">
      <c r="A89" s="1" t="s">
        <v>131</v>
      </c>
      <c r="B89" s="1">
        <v>5</v>
      </c>
      <c r="C89" s="1">
        <v>5</v>
      </c>
      <c r="D89" s="1">
        <f t="shared" si="17"/>
        <v>0.227272727272727</v>
      </c>
      <c r="E89" s="1">
        <f t="shared" si="18"/>
        <v>0.454545454545454</v>
      </c>
      <c r="F89" s="19">
        <f t="shared" si="25"/>
        <v>0.0333333333333333</v>
      </c>
      <c r="G89" s="19">
        <f t="shared" ref="G89:G92" si="27">2/30</f>
        <v>0.0666666666666667</v>
      </c>
      <c r="H89" s="20">
        <f t="shared" si="19"/>
        <v>0.681818181818182</v>
      </c>
      <c r="I89" s="1">
        <f t="shared" si="20"/>
        <v>0.802666666666667</v>
      </c>
      <c r="J89" s="1">
        <f t="shared" si="21"/>
        <v>0.773823784227484</v>
      </c>
      <c r="K89" s="1">
        <f t="shared" si="26"/>
        <v>0.7</v>
      </c>
      <c r="L89" s="1">
        <f t="shared" si="22"/>
        <v>5.03616880151922</v>
      </c>
      <c r="M89" s="1">
        <f t="shared" si="23"/>
        <v>0.61184506735894</v>
      </c>
      <c r="N89" s="1">
        <f t="shared" si="24"/>
        <v>0.3796875</v>
      </c>
      <c r="O89" s="1"/>
      <c r="Q89" s="2"/>
      <c r="R89" s="2"/>
      <c r="S89" s="2"/>
      <c r="T89" s="2"/>
      <c r="V89" s="2"/>
    </row>
    <row r="90" hidden="1" spans="1:14">
      <c r="A90" s="1" t="s">
        <v>166</v>
      </c>
      <c r="B90" s="1">
        <v>5</v>
      </c>
      <c r="C90" s="1">
        <v>5</v>
      </c>
      <c r="D90" s="1">
        <f t="shared" si="17"/>
        <v>0.227272727272727</v>
      </c>
      <c r="E90" s="1">
        <f t="shared" si="18"/>
        <v>0.454545454545454</v>
      </c>
      <c r="F90" s="19">
        <f t="shared" si="25"/>
        <v>0.0333333333333333</v>
      </c>
      <c r="G90" s="19">
        <f t="shared" si="27"/>
        <v>0.0666666666666667</v>
      </c>
      <c r="H90" s="20">
        <f t="shared" si="19"/>
        <v>0.681818181818182</v>
      </c>
      <c r="I90" s="1">
        <f t="shared" si="20"/>
        <v>0.802666666666667</v>
      </c>
      <c r="J90" s="1">
        <f t="shared" si="21"/>
        <v>0.773823784227484</v>
      </c>
      <c r="K90" s="1">
        <f t="shared" si="26"/>
        <v>0.7</v>
      </c>
      <c r="L90" s="1">
        <f t="shared" si="22"/>
        <v>5.03616880151922</v>
      </c>
      <c r="M90" s="1">
        <f t="shared" si="23"/>
        <v>0.61184506735894</v>
      </c>
      <c r="N90" s="1">
        <f t="shared" si="24"/>
        <v>0.3796875</v>
      </c>
    </row>
    <row r="91" hidden="1" spans="1:14">
      <c r="A91" s="1" t="s">
        <v>167</v>
      </c>
      <c r="B91" s="1">
        <v>5</v>
      </c>
      <c r="C91" s="1">
        <v>5</v>
      </c>
      <c r="D91" s="1">
        <f t="shared" si="17"/>
        <v>0.227272727272727</v>
      </c>
      <c r="E91" s="1">
        <f t="shared" si="18"/>
        <v>0.454545454545454</v>
      </c>
      <c r="F91" s="19">
        <f t="shared" si="25"/>
        <v>0.0333333333333333</v>
      </c>
      <c r="G91" s="19">
        <f t="shared" si="27"/>
        <v>0.0666666666666667</v>
      </c>
      <c r="H91" s="20">
        <f t="shared" si="19"/>
        <v>0.681818181818182</v>
      </c>
      <c r="I91" s="1">
        <f t="shared" si="20"/>
        <v>0.802666666666667</v>
      </c>
      <c r="J91" s="1">
        <f t="shared" si="21"/>
        <v>0.773823784227484</v>
      </c>
      <c r="K91" s="1">
        <f t="shared" si="26"/>
        <v>0.7</v>
      </c>
      <c r="L91" s="1">
        <f t="shared" si="22"/>
        <v>5.03616880151922</v>
      </c>
      <c r="M91" s="1">
        <f t="shared" si="23"/>
        <v>0.61184506735894</v>
      </c>
      <c r="N91" s="1">
        <f t="shared" si="24"/>
        <v>0.3796875</v>
      </c>
    </row>
    <row r="92" hidden="1" spans="1:18">
      <c r="A92" s="1" t="s">
        <v>132</v>
      </c>
      <c r="B92" s="1">
        <v>5</v>
      </c>
      <c r="C92" s="1">
        <v>5</v>
      </c>
      <c r="D92" s="1">
        <f t="shared" si="17"/>
        <v>0.227272727272727</v>
      </c>
      <c r="E92" s="1">
        <f t="shared" si="18"/>
        <v>0.454545454545454</v>
      </c>
      <c r="F92" s="19">
        <f t="shared" si="25"/>
        <v>0.0333333333333333</v>
      </c>
      <c r="G92" s="19">
        <f t="shared" si="27"/>
        <v>0.0666666666666667</v>
      </c>
      <c r="H92" s="20">
        <f t="shared" si="19"/>
        <v>0.681818181818182</v>
      </c>
      <c r="I92" s="1">
        <f t="shared" si="20"/>
        <v>1.04533333333333</v>
      </c>
      <c r="J92" s="1">
        <f t="shared" si="21"/>
        <v>1.00777050969161</v>
      </c>
      <c r="K92" s="1">
        <f t="shared" si="26"/>
        <v>0.7</v>
      </c>
      <c r="L92" s="1">
        <f t="shared" si="22"/>
        <v>5.03616880151922</v>
      </c>
      <c r="M92" s="1">
        <f t="shared" si="23"/>
        <v>0.61184506735894</v>
      </c>
      <c r="N92" s="1">
        <f t="shared" si="24"/>
        <v>0.3796875</v>
      </c>
      <c r="Q92" s="2"/>
      <c r="R92" s="2"/>
    </row>
    <row r="93" hidden="1" spans="1:18">
      <c r="A93" s="1" t="s">
        <v>168</v>
      </c>
      <c r="B93" s="1">
        <v>5</v>
      </c>
      <c r="C93" s="1">
        <v>5</v>
      </c>
      <c r="D93" s="1">
        <f t="shared" si="17"/>
        <v>0.454545454545454</v>
      </c>
      <c r="E93" s="1">
        <f t="shared" si="18"/>
        <v>0.909090909090909</v>
      </c>
      <c r="F93" s="19">
        <f t="shared" ref="F93:F100" si="28">2/30</f>
        <v>0.0666666666666667</v>
      </c>
      <c r="G93" s="19">
        <f t="shared" ref="G93:G100" si="29">4/30</f>
        <v>0.133333333333333</v>
      </c>
      <c r="H93" s="20">
        <f t="shared" si="19"/>
        <v>1.36363636363636</v>
      </c>
      <c r="I93" s="1">
        <f t="shared" si="20"/>
        <v>0.672</v>
      </c>
      <c r="J93" s="1">
        <f t="shared" si="21"/>
        <v>0.647852470516033</v>
      </c>
      <c r="K93" s="1">
        <f t="shared" si="26"/>
        <v>0.7</v>
      </c>
      <c r="L93" s="1">
        <f t="shared" si="22"/>
        <v>10.0723376030384</v>
      </c>
      <c r="M93" s="1">
        <f t="shared" si="23"/>
        <v>1.22369013471788</v>
      </c>
      <c r="N93" s="1">
        <f t="shared" si="24"/>
        <v>0.3796875</v>
      </c>
      <c r="Q93" s="2"/>
      <c r="R93" s="2"/>
    </row>
    <row r="94" hidden="1" spans="1:18">
      <c r="A94" s="1" t="s">
        <v>169</v>
      </c>
      <c r="B94" s="1">
        <v>5</v>
      </c>
      <c r="C94" s="1">
        <v>5</v>
      </c>
      <c r="D94" s="1">
        <f t="shared" si="17"/>
        <v>0.454545454545454</v>
      </c>
      <c r="E94" s="1">
        <f t="shared" si="18"/>
        <v>0.909090909090909</v>
      </c>
      <c r="F94" s="19">
        <f t="shared" si="28"/>
        <v>0.0666666666666667</v>
      </c>
      <c r="G94" s="19">
        <f t="shared" si="29"/>
        <v>0.133333333333333</v>
      </c>
      <c r="H94" s="20">
        <f t="shared" si="19"/>
        <v>1.36363636363636</v>
      </c>
      <c r="I94" s="1">
        <f t="shared" si="20"/>
        <v>0.672</v>
      </c>
      <c r="J94" s="1">
        <f t="shared" si="21"/>
        <v>0.647852470516033</v>
      </c>
      <c r="K94" s="1">
        <f t="shared" si="26"/>
        <v>0.7</v>
      </c>
      <c r="L94" s="1">
        <f t="shared" si="22"/>
        <v>10.0723376030384</v>
      </c>
      <c r="M94" s="1">
        <f t="shared" si="23"/>
        <v>1.22369013471788</v>
      </c>
      <c r="N94" s="1">
        <f t="shared" si="24"/>
        <v>0.3796875</v>
      </c>
      <c r="Q94" s="2"/>
      <c r="R94" s="2"/>
    </row>
    <row r="95" hidden="1" spans="1:18">
      <c r="A95" s="1" t="s">
        <v>170</v>
      </c>
      <c r="B95" s="1">
        <v>5</v>
      </c>
      <c r="C95" s="1">
        <v>5</v>
      </c>
      <c r="D95" s="1">
        <f t="shared" si="17"/>
        <v>0.454545454545454</v>
      </c>
      <c r="E95" s="1">
        <f t="shared" si="18"/>
        <v>0.909090909090909</v>
      </c>
      <c r="F95" s="19">
        <f t="shared" si="28"/>
        <v>0.0666666666666667</v>
      </c>
      <c r="G95" s="19">
        <f t="shared" si="29"/>
        <v>0.133333333333333</v>
      </c>
      <c r="H95" s="20">
        <f t="shared" si="19"/>
        <v>1.36363636363636</v>
      </c>
      <c r="I95" s="1">
        <f t="shared" si="20"/>
        <v>0.72</v>
      </c>
      <c r="J95" s="1">
        <f t="shared" si="21"/>
        <v>0.694127646981464</v>
      </c>
      <c r="K95" s="1">
        <f t="shared" si="26"/>
        <v>0.7</v>
      </c>
      <c r="L95" s="1">
        <f t="shared" si="22"/>
        <v>10.0723376030384</v>
      </c>
      <c r="M95" s="1">
        <f t="shared" si="23"/>
        <v>1.22369013471788</v>
      </c>
      <c r="N95" s="1">
        <f t="shared" si="24"/>
        <v>0.3796875</v>
      </c>
      <c r="Q95" s="2"/>
      <c r="R95" s="2"/>
    </row>
    <row r="96" hidden="1" spans="1:14">
      <c r="A96" s="1" t="s">
        <v>133</v>
      </c>
      <c r="B96" s="1">
        <v>5</v>
      </c>
      <c r="C96" s="1">
        <v>5</v>
      </c>
      <c r="D96" s="1">
        <f t="shared" si="17"/>
        <v>0.454545454545454</v>
      </c>
      <c r="E96" s="1">
        <f t="shared" si="18"/>
        <v>0.909090909090909</v>
      </c>
      <c r="F96" s="19">
        <f t="shared" si="28"/>
        <v>0.0666666666666667</v>
      </c>
      <c r="G96" s="19">
        <f t="shared" si="29"/>
        <v>0.133333333333333</v>
      </c>
      <c r="H96" s="20">
        <f t="shared" si="19"/>
        <v>1.36363636363636</v>
      </c>
      <c r="I96" s="1">
        <f t="shared" si="20"/>
        <v>0.72</v>
      </c>
      <c r="J96" s="1">
        <f t="shared" si="21"/>
        <v>0.694127646981464</v>
      </c>
      <c r="K96" s="1">
        <f t="shared" si="26"/>
        <v>0.7</v>
      </c>
      <c r="L96" s="1">
        <f t="shared" si="22"/>
        <v>10.0723376030384</v>
      </c>
      <c r="M96" s="1">
        <f t="shared" si="23"/>
        <v>1.22369013471788</v>
      </c>
      <c r="N96" s="1">
        <f t="shared" si="24"/>
        <v>0.3796875</v>
      </c>
    </row>
    <row r="97" hidden="1" spans="1:14">
      <c r="A97" s="1" t="s">
        <v>171</v>
      </c>
      <c r="B97" s="1">
        <v>5</v>
      </c>
      <c r="C97" s="1">
        <v>5</v>
      </c>
      <c r="D97" s="1">
        <f t="shared" si="17"/>
        <v>0.454545454545454</v>
      </c>
      <c r="E97" s="1">
        <f t="shared" si="18"/>
        <v>0.909090909090909</v>
      </c>
      <c r="F97" s="19">
        <f t="shared" si="28"/>
        <v>0.0666666666666667</v>
      </c>
      <c r="G97" s="19">
        <f t="shared" si="29"/>
        <v>0.133333333333333</v>
      </c>
      <c r="H97" s="20">
        <f t="shared" si="19"/>
        <v>1.36363636363636</v>
      </c>
      <c r="I97" s="1">
        <f t="shared" si="20"/>
        <v>0.72</v>
      </c>
      <c r="J97" s="1">
        <f t="shared" si="21"/>
        <v>0.694127646981464</v>
      </c>
      <c r="K97" s="1">
        <f t="shared" si="26"/>
        <v>0.7</v>
      </c>
      <c r="L97" s="1">
        <f t="shared" si="22"/>
        <v>10.0723376030384</v>
      </c>
      <c r="M97" s="1">
        <f t="shared" si="23"/>
        <v>1.22369013471788</v>
      </c>
      <c r="N97" s="1">
        <f t="shared" si="24"/>
        <v>0.3796875</v>
      </c>
    </row>
    <row r="98" hidden="1" spans="1:14">
      <c r="A98" s="1" t="s">
        <v>172</v>
      </c>
      <c r="B98" s="1">
        <v>5</v>
      </c>
      <c r="C98" s="1">
        <v>5</v>
      </c>
      <c r="D98" s="1">
        <f t="shared" si="17"/>
        <v>0.454545454545454</v>
      </c>
      <c r="E98" s="1">
        <f t="shared" si="18"/>
        <v>0.909090909090909</v>
      </c>
      <c r="F98" s="19">
        <f t="shared" si="28"/>
        <v>0.0666666666666667</v>
      </c>
      <c r="G98" s="19">
        <f t="shared" si="29"/>
        <v>0.133333333333333</v>
      </c>
      <c r="H98" s="20">
        <f t="shared" si="19"/>
        <v>1.36363636363636</v>
      </c>
      <c r="I98" s="1">
        <f t="shared" si="20"/>
        <v>0.72</v>
      </c>
      <c r="J98" s="1">
        <f t="shared" si="21"/>
        <v>0.694127646981464</v>
      </c>
      <c r="K98" s="1">
        <f t="shared" si="26"/>
        <v>0.7</v>
      </c>
      <c r="L98" s="1">
        <f t="shared" si="22"/>
        <v>10.0723376030384</v>
      </c>
      <c r="M98" s="1">
        <f t="shared" si="23"/>
        <v>1.22369013471788</v>
      </c>
      <c r="N98" s="1">
        <f t="shared" si="24"/>
        <v>0.3796875</v>
      </c>
    </row>
    <row r="99" hidden="1" spans="1:14">
      <c r="A99" s="1" t="s">
        <v>173</v>
      </c>
      <c r="B99" s="1">
        <v>5</v>
      </c>
      <c r="C99" s="1">
        <v>5</v>
      </c>
      <c r="D99" s="1">
        <f t="shared" si="17"/>
        <v>0.454545454545454</v>
      </c>
      <c r="E99" s="1">
        <f t="shared" si="18"/>
        <v>0.909090909090909</v>
      </c>
      <c r="F99" s="19">
        <f t="shared" si="28"/>
        <v>0.0666666666666667</v>
      </c>
      <c r="G99" s="19">
        <f t="shared" si="29"/>
        <v>0.133333333333333</v>
      </c>
      <c r="H99" s="20">
        <f t="shared" si="19"/>
        <v>1.36363636363636</v>
      </c>
      <c r="I99" s="1">
        <f t="shared" si="20"/>
        <v>0.72</v>
      </c>
      <c r="J99" s="1">
        <f t="shared" si="21"/>
        <v>0.694127646981464</v>
      </c>
      <c r="K99" s="1">
        <f t="shared" si="26"/>
        <v>0.7</v>
      </c>
      <c r="L99" s="1">
        <f t="shared" si="22"/>
        <v>10.0723376030384</v>
      </c>
      <c r="M99" s="1">
        <f t="shared" si="23"/>
        <v>1.22369013471788</v>
      </c>
      <c r="N99" s="1">
        <f t="shared" si="24"/>
        <v>0.3796875</v>
      </c>
    </row>
    <row r="100" hidden="1" spans="1:14">
      <c r="A100" s="1" t="s">
        <v>134</v>
      </c>
      <c r="B100" s="1">
        <v>5</v>
      </c>
      <c r="C100" s="1">
        <v>5</v>
      </c>
      <c r="D100" s="1">
        <f t="shared" si="17"/>
        <v>0.454545454545454</v>
      </c>
      <c r="E100" s="1">
        <f t="shared" si="18"/>
        <v>0.909090909090909</v>
      </c>
      <c r="F100" s="19">
        <f t="shared" si="28"/>
        <v>0.0666666666666667</v>
      </c>
      <c r="G100" s="19">
        <f t="shared" si="29"/>
        <v>0.133333333333333</v>
      </c>
      <c r="H100" s="20">
        <f t="shared" si="19"/>
        <v>1.36363636363636</v>
      </c>
      <c r="I100" s="1">
        <f t="shared" si="20"/>
        <v>0.72</v>
      </c>
      <c r="J100" s="1">
        <f t="shared" si="21"/>
        <v>0.694127646981464</v>
      </c>
      <c r="K100" s="1">
        <f t="shared" si="26"/>
        <v>0.7</v>
      </c>
      <c r="L100" s="1">
        <f t="shared" si="22"/>
        <v>10.0723376030384</v>
      </c>
      <c r="M100" s="1">
        <f t="shared" si="23"/>
        <v>1.22369013471788</v>
      </c>
      <c r="N100" s="1">
        <f t="shared" si="24"/>
        <v>0.3796875</v>
      </c>
    </row>
    <row r="101" hidden="1"/>
    <row r="102" hidden="1"/>
    <row r="105" spans="6:7">
      <c r="F105" s="1">
        <f>F83-F73</f>
        <v>0.24</v>
      </c>
      <c r="G105" s="1">
        <f>G83-G73</f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6"/>
  <sheetViews>
    <sheetView workbookViewId="0">
      <selection activeCell="F105" sqref="F105:G105"/>
    </sheetView>
  </sheetViews>
  <sheetFormatPr defaultColWidth="9" defaultRowHeight="16.5"/>
  <cols>
    <col min="1" max="1" width="14.875" style="1" customWidth="1"/>
    <col min="2" max="2" width="18" style="1" customWidth="1"/>
    <col min="3" max="3" width="11.25" style="1" customWidth="1"/>
    <col min="4" max="11" width="9.00833333333333" style="1" customWidth="1"/>
    <col min="12" max="14" width="9.00833333333333" style="2" customWidth="1"/>
    <col min="15" max="16" width="10.625" style="2" customWidth="1"/>
    <col min="17" max="18" width="12.625" style="1"/>
    <col min="19" max="22" width="9.00833333333333" style="1" customWidth="1"/>
    <col min="23" max="24" width="9.375" style="1"/>
    <col min="25" max="16384" width="9" style="1"/>
  </cols>
  <sheetData>
    <row r="1" spans="1:20">
      <c r="A1" s="1" t="s">
        <v>0</v>
      </c>
      <c r="G1" s="3" t="s">
        <v>1</v>
      </c>
      <c r="H1" s="4" t="s">
        <v>2</v>
      </c>
      <c r="I1" s="22"/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</row>
    <row r="2" spans="2:20">
      <c r="B2" s="5" t="s">
        <v>12</v>
      </c>
      <c r="C2" s="6">
        <v>60</v>
      </c>
      <c r="G2" s="7"/>
      <c r="H2" s="8" t="s">
        <v>13</v>
      </c>
      <c r="I2" s="23">
        <v>1.2</v>
      </c>
      <c r="L2" s="2" t="s">
        <v>14</v>
      </c>
      <c r="M2" s="2">
        <v>1.3</v>
      </c>
      <c r="N2" s="2">
        <v>7</v>
      </c>
      <c r="O2" s="2">
        <f>3/1.5</f>
        <v>2</v>
      </c>
      <c r="P2" s="2">
        <f>3/2</f>
        <v>1.5</v>
      </c>
      <c r="Q2" s="2">
        <v>19.5</v>
      </c>
      <c r="R2" s="2">
        <v>0.5</v>
      </c>
      <c r="S2" s="2">
        <v>3</v>
      </c>
      <c r="T2" s="2">
        <v>0.8</v>
      </c>
    </row>
    <row r="3" spans="2:20">
      <c r="B3" s="1" t="s">
        <v>15</v>
      </c>
      <c r="C3" s="2">
        <v>2</v>
      </c>
      <c r="G3" s="3" t="s">
        <v>16</v>
      </c>
      <c r="H3" s="4" t="s">
        <v>17</v>
      </c>
      <c r="I3" s="22">
        <f>3*1.5</f>
        <v>4.5</v>
      </c>
      <c r="L3" s="25" t="s">
        <v>18</v>
      </c>
      <c r="M3" s="25">
        <v>2.7</v>
      </c>
      <c r="N3" s="2">
        <v>5</v>
      </c>
      <c r="O3" s="2">
        <f>3/1</f>
        <v>3</v>
      </c>
      <c r="P3" s="2">
        <f>3/1.5</f>
        <v>2</v>
      </c>
      <c r="Q3" s="25">
        <f>8*M3</f>
        <v>21.6</v>
      </c>
      <c r="R3" s="2"/>
      <c r="S3" s="2" t="s">
        <v>19</v>
      </c>
      <c r="T3" s="2" t="s">
        <v>20</v>
      </c>
    </row>
    <row r="4" spans="2:20">
      <c r="B4" s="5" t="s">
        <v>21</v>
      </c>
      <c r="C4" s="6" t="str">
        <f>IF((D4-C3*2)&lt;0,"相交",IF((D4-C3*2)&lt;0=0,"相切","否"))</f>
        <v>相交</v>
      </c>
      <c r="D4" s="5">
        <f>((D6-D7)^2+(E6-E7)^2)^0.5</f>
        <v>3.99644842328786</v>
      </c>
      <c r="E4" s="5"/>
      <c r="G4" s="9"/>
      <c r="H4" s="8" t="s">
        <v>22</v>
      </c>
      <c r="I4" s="23">
        <f>1*1.5+2</f>
        <v>3.5</v>
      </c>
      <c r="L4" s="2" t="s">
        <v>23</v>
      </c>
      <c r="M4" s="2">
        <v>1.5</v>
      </c>
      <c r="N4" s="2">
        <v>8</v>
      </c>
      <c r="O4" s="2">
        <f>3/1</f>
        <v>3</v>
      </c>
      <c r="P4" s="2">
        <f>3/3</f>
        <v>1</v>
      </c>
      <c r="Q4" s="2">
        <v>16</v>
      </c>
      <c r="R4" s="2"/>
      <c r="S4" s="2">
        <v>4.6</v>
      </c>
      <c r="T4" s="2">
        <v>6.2</v>
      </c>
    </row>
    <row r="5" spans="2:18">
      <c r="B5" s="5"/>
      <c r="C5" s="6"/>
      <c r="D5" s="6" t="s">
        <v>24</v>
      </c>
      <c r="E5" s="6" t="s">
        <v>25</v>
      </c>
      <c r="F5" s="2"/>
      <c r="G5" s="3" t="s">
        <v>26</v>
      </c>
      <c r="H5" s="4" t="s">
        <v>27</v>
      </c>
      <c r="I5" s="22">
        <v>0.5</v>
      </c>
      <c r="J5" s="2"/>
      <c r="L5" s="2" t="s">
        <v>28</v>
      </c>
      <c r="M5" s="2">
        <v>1.2</v>
      </c>
      <c r="N5" s="2">
        <v>8</v>
      </c>
      <c r="O5" s="2">
        <f>3/0.75</f>
        <v>4</v>
      </c>
      <c r="P5" s="2">
        <f>3/1</f>
        <v>3</v>
      </c>
      <c r="Q5" s="2">
        <v>20</v>
      </c>
      <c r="R5" s="2"/>
    </row>
    <row r="6" spans="2:18">
      <c r="B6" s="5" t="s">
        <v>29</v>
      </c>
      <c r="C6" s="6" t="s">
        <v>30</v>
      </c>
      <c r="D6" s="6">
        <v>0</v>
      </c>
      <c r="E6" s="6">
        <v>4</v>
      </c>
      <c r="F6" s="2"/>
      <c r="G6" s="10"/>
      <c r="H6" s="1" t="s">
        <v>31</v>
      </c>
      <c r="I6" s="24">
        <v>15</v>
      </c>
      <c r="J6" s="2"/>
      <c r="L6" s="2" t="s">
        <v>32</v>
      </c>
      <c r="M6" s="2">
        <v>1.1</v>
      </c>
      <c r="N6" s="2">
        <v>7</v>
      </c>
      <c r="O6" s="2">
        <f>3/1.25</f>
        <v>2.4</v>
      </c>
      <c r="P6" s="2">
        <f>3/2</f>
        <v>1.5</v>
      </c>
      <c r="Q6" s="2">
        <v>20</v>
      </c>
      <c r="R6" s="2"/>
    </row>
    <row r="7" spans="2:10">
      <c r="B7" s="5" t="s">
        <v>33</v>
      </c>
      <c r="C7" s="6" t="s">
        <v>29</v>
      </c>
      <c r="D7" s="6">
        <f>ROUND(D6*COS(C2/180*PI())-E6*SIN(C2/180*PI()),2)</f>
        <v>-3.46</v>
      </c>
      <c r="E7" s="6">
        <f>ROUND(D6*SIN(C2/180*PI())+E6*COS(C2/180*PI()),2)</f>
        <v>2</v>
      </c>
      <c r="F7" s="2"/>
      <c r="G7" s="10"/>
      <c r="H7" s="1" t="s">
        <v>34</v>
      </c>
      <c r="I7" s="24">
        <f>90-I6</f>
        <v>75</v>
      </c>
      <c r="J7" s="2"/>
    </row>
    <row r="8" spans="2:12">
      <c r="B8" s="5" t="s">
        <v>35</v>
      </c>
      <c r="C8" s="6" t="s">
        <v>36</v>
      </c>
      <c r="D8" s="6">
        <f>ROUND(D6*COS((-1)*C2/180*PI())-E6*SIN((-1)*C2/180*PI()),2)</f>
        <v>3.46</v>
      </c>
      <c r="E8" s="6">
        <f>ROUND(D6*SIN((-1)*C2/180*PI())+E6*COS((-1)*C2/180*PI()),2)</f>
        <v>2</v>
      </c>
      <c r="F8" s="2"/>
      <c r="G8" s="7"/>
      <c r="H8" s="8" t="s">
        <v>37</v>
      </c>
      <c r="I8" s="23">
        <v>90</v>
      </c>
      <c r="J8" s="2"/>
      <c r="L8" s="1"/>
    </row>
    <row r="9" hidden="1" spans="11:23">
      <c r="K9" s="2"/>
      <c r="Q9" s="2" t="s">
        <v>38</v>
      </c>
      <c r="R9" s="2" t="s">
        <v>39</v>
      </c>
      <c r="S9" s="2" t="s">
        <v>40</v>
      </c>
      <c r="T9" s="2" t="s">
        <v>41</v>
      </c>
      <c r="U9" s="2" t="s">
        <v>42</v>
      </c>
      <c r="W9" s="2"/>
    </row>
    <row r="10" hidden="1" spans="2:23">
      <c r="B10" s="2" t="s">
        <v>43</v>
      </c>
      <c r="C10" s="1" t="s">
        <v>44</v>
      </c>
      <c r="D10" s="1" t="s">
        <v>45</v>
      </c>
      <c r="E10" s="1" t="s">
        <v>46</v>
      </c>
      <c r="F10" s="2" t="s">
        <v>47</v>
      </c>
      <c r="H10" s="2"/>
      <c r="I10" s="2"/>
      <c r="K10" s="2"/>
      <c r="O10" s="12"/>
      <c r="Q10" s="2">
        <v>1</v>
      </c>
      <c r="R10" s="2">
        <v>5</v>
      </c>
      <c r="S10" s="2">
        <f>PI()*R10^2-PI()*$S$2^2</f>
        <v>50.2654824574367</v>
      </c>
      <c r="T10" s="2">
        <f>S10/(PI()*$R$2^2)</f>
        <v>64</v>
      </c>
      <c r="U10" s="12">
        <v>0.5</v>
      </c>
      <c r="W10" s="2"/>
    </row>
    <row r="11" hidden="1" spans="1:23">
      <c r="A11" s="1" t="s">
        <v>48</v>
      </c>
      <c r="B11" s="2">
        <v>7</v>
      </c>
      <c r="C11" s="1">
        <f>PI()*(C3+I2)^2</f>
        <v>32.1699087727595</v>
      </c>
      <c r="D11" s="1">
        <f>PI()*(N4^2-S2^2)</f>
        <v>172.787595947439</v>
      </c>
      <c r="E11" s="11">
        <f t="shared" ref="E11:E16" si="0">C11/D11</f>
        <v>0.186181818181818</v>
      </c>
      <c r="F11" s="2">
        <v>6</v>
      </c>
      <c r="G11" s="12"/>
      <c r="H11" s="12"/>
      <c r="I11" s="12"/>
      <c r="K11" s="2"/>
      <c r="O11" s="12"/>
      <c r="Q11" s="2">
        <v>2</v>
      </c>
      <c r="R11" s="2">
        <f t="shared" ref="R11:R18" si="1">R10+0.5</f>
        <v>5.5</v>
      </c>
      <c r="S11" s="2">
        <f>PI()*R11^2-PI()*$S$2^2</f>
        <v>66.7588438887831</v>
      </c>
      <c r="T11" s="2">
        <f>S11/(PI()*$R$2^2)</f>
        <v>85</v>
      </c>
      <c r="U11" s="12">
        <f t="shared" ref="U11:U18" si="2">U10+2%</f>
        <v>0.52</v>
      </c>
      <c r="W11" s="2"/>
    </row>
    <row r="12" hidden="1" spans="1:23">
      <c r="A12" s="1" t="s">
        <v>48</v>
      </c>
      <c r="B12" s="2">
        <v>11</v>
      </c>
      <c r="C12" s="1">
        <f>PI()*(C3+I2)^2</f>
        <v>32.1699087727595</v>
      </c>
      <c r="D12" s="1">
        <f>PI()*(N4^2-S2^2)</f>
        <v>172.787595947439</v>
      </c>
      <c r="E12" s="11">
        <f>C11/D11</f>
        <v>0.186181818181818</v>
      </c>
      <c r="K12" s="2"/>
      <c r="O12" s="12"/>
      <c r="Q12" s="2">
        <v>3</v>
      </c>
      <c r="R12" s="2">
        <f t="shared" si="1"/>
        <v>6</v>
      </c>
      <c r="S12" s="2">
        <f>PI()*R12^2-PI()*$S$2^2</f>
        <v>84.8230016469244</v>
      </c>
      <c r="T12" s="2">
        <f>S12/(PI()*$R$2^2)</f>
        <v>108</v>
      </c>
      <c r="U12" s="12">
        <f t="shared" si="2"/>
        <v>0.54</v>
      </c>
      <c r="W12" s="2"/>
    </row>
    <row r="13" hidden="1" spans="1:23">
      <c r="A13" s="1" t="s">
        <v>48</v>
      </c>
      <c r="B13" s="12">
        <v>0.5</v>
      </c>
      <c r="E13" s="13">
        <f>E12*(1+B13)^F11</f>
        <v>2.12072727272727</v>
      </c>
      <c r="K13" s="2"/>
      <c r="O13" s="12"/>
      <c r="Q13" s="2">
        <v>4</v>
      </c>
      <c r="R13" s="2">
        <f t="shared" si="1"/>
        <v>6.5</v>
      </c>
      <c r="S13" s="2">
        <f>PI()*R13^2-PI()*$S$2^2</f>
        <v>104.457955731861</v>
      </c>
      <c r="T13" s="2">
        <f>S13/(PI()*$R$2^2)</f>
        <v>133</v>
      </c>
      <c r="U13" s="12">
        <f t="shared" si="2"/>
        <v>0.56</v>
      </c>
      <c r="W13" s="2"/>
    </row>
    <row r="14" hidden="1" spans="2:23">
      <c r="B14" s="2" t="s">
        <v>49</v>
      </c>
      <c r="C14" s="1" t="s">
        <v>44</v>
      </c>
      <c r="D14" s="1" t="s">
        <v>45</v>
      </c>
      <c r="E14" s="1" t="s">
        <v>46</v>
      </c>
      <c r="F14" s="2" t="s">
        <v>47</v>
      </c>
      <c r="K14" s="2"/>
      <c r="O14" s="12"/>
      <c r="Q14" s="2">
        <v>5</v>
      </c>
      <c r="R14" s="2">
        <f t="shared" si="1"/>
        <v>7</v>
      </c>
      <c r="S14" s="2">
        <f>PI()*R14^2-PI()*$S$2^2</f>
        <v>125.663706143592</v>
      </c>
      <c r="T14" s="2">
        <f>S14/(PI()*$R$2^2)</f>
        <v>160</v>
      </c>
      <c r="U14" s="12">
        <f t="shared" si="2"/>
        <v>0.58</v>
      </c>
      <c r="W14" s="2"/>
    </row>
    <row r="15" hidden="1" spans="1:23">
      <c r="A15" s="1" t="s">
        <v>50</v>
      </c>
      <c r="B15" s="2">
        <v>7</v>
      </c>
      <c r="C15" s="1">
        <f>PI()*((C3+I4/2)^2+(I3/2)^2)</f>
        <v>60.0829594999048</v>
      </c>
      <c r="D15" s="1">
        <f>PI()*((N3*2)^2-S2^2)</f>
        <v>285.884931476671</v>
      </c>
      <c r="E15" s="11">
        <f t="shared" si="0"/>
        <v>0.210164835164835</v>
      </c>
      <c r="F15" s="2">
        <v>5</v>
      </c>
      <c r="K15" s="2"/>
      <c r="O15" s="12"/>
      <c r="Q15" s="2">
        <v>6</v>
      </c>
      <c r="R15" s="2">
        <f t="shared" si="1"/>
        <v>7.5</v>
      </c>
      <c r="S15" s="2">
        <f>PI()*R15^2-PI()*$S$2^2</f>
        <v>148.440252882118</v>
      </c>
      <c r="T15" s="2">
        <f>S15/(PI()*$R$2^2)</f>
        <v>189</v>
      </c>
      <c r="U15" s="12">
        <f t="shared" si="2"/>
        <v>0.6</v>
      </c>
      <c r="W15" s="2"/>
    </row>
    <row r="16" hidden="1" spans="1:23">
      <c r="A16" s="1" t="s">
        <v>50</v>
      </c>
      <c r="B16" s="2">
        <v>11</v>
      </c>
      <c r="C16" s="1">
        <f>PI()*((C3+I4/2)^2+(I3/2)^2)</f>
        <v>60.0829594999048</v>
      </c>
      <c r="D16" s="1">
        <f>PI()*((N3*2)^2-S2^2)</f>
        <v>285.884931476671</v>
      </c>
      <c r="E16" s="11">
        <f t="shared" si="0"/>
        <v>0.210164835164835</v>
      </c>
      <c r="K16" s="2"/>
      <c r="O16" s="12"/>
      <c r="Q16" s="2">
        <v>7</v>
      </c>
      <c r="R16" s="2">
        <f t="shared" si="1"/>
        <v>8</v>
      </c>
      <c r="S16" s="2">
        <f>PI()*R16^2-PI()*$S$2^2</f>
        <v>172.787595947439</v>
      </c>
      <c r="T16" s="2">
        <f>S16/(PI()*$R$2^2)</f>
        <v>220</v>
      </c>
      <c r="U16" s="12">
        <f t="shared" si="2"/>
        <v>0.62</v>
      </c>
      <c r="W16" s="2"/>
    </row>
    <row r="17" hidden="1" spans="1:23">
      <c r="A17" s="1" t="s">
        <v>50</v>
      </c>
      <c r="B17" s="12">
        <f>B13</f>
        <v>0.5</v>
      </c>
      <c r="E17" s="13">
        <f>E16*(1+B17)^F15</f>
        <v>1.59593921703297</v>
      </c>
      <c r="K17" s="2"/>
      <c r="O17" s="12"/>
      <c r="Q17" s="2">
        <v>8</v>
      </c>
      <c r="R17" s="2">
        <f t="shared" si="1"/>
        <v>8.5</v>
      </c>
      <c r="S17" s="2">
        <f>PI()*R17^2-PI()*$S$2^2</f>
        <v>198.705735339554</v>
      </c>
      <c r="T17" s="2">
        <f>S17/(PI()*$R$2^2)</f>
        <v>253</v>
      </c>
      <c r="U17" s="12">
        <f t="shared" si="2"/>
        <v>0.64</v>
      </c>
      <c r="W17" s="2"/>
    </row>
    <row r="18" hidden="1" spans="2:23">
      <c r="B18" s="2" t="s">
        <v>51</v>
      </c>
      <c r="C18" s="1" t="s">
        <v>52</v>
      </c>
      <c r="D18" s="1" t="s">
        <v>53</v>
      </c>
      <c r="E18" s="1" t="s">
        <v>54</v>
      </c>
      <c r="F18" s="1" t="s">
        <v>55</v>
      </c>
      <c r="G18" s="1" t="s">
        <v>56</v>
      </c>
      <c r="H18" s="1" t="s">
        <v>57</v>
      </c>
      <c r="I18" s="1" t="s">
        <v>58</v>
      </c>
      <c r="K18" s="2"/>
      <c r="O18" s="12"/>
      <c r="Q18" s="2">
        <v>9</v>
      </c>
      <c r="R18" s="2">
        <f t="shared" si="1"/>
        <v>9</v>
      </c>
      <c r="S18" s="2">
        <f>PI()*R18^2-PI()*$S$2^2</f>
        <v>226.194671058465</v>
      </c>
      <c r="T18" s="2">
        <f>S18/(PI()*$R$2^2)</f>
        <v>288</v>
      </c>
      <c r="U18" s="12">
        <f t="shared" si="2"/>
        <v>0.66</v>
      </c>
      <c r="W18" s="2"/>
    </row>
    <row r="19" hidden="1" spans="1:23">
      <c r="A19" s="1" t="s">
        <v>59</v>
      </c>
      <c r="B19" s="2">
        <v>7</v>
      </c>
      <c r="C19" s="1">
        <f>(2*C3^2/(1-COS(I6/180*PI())))^0.5</f>
        <v>15.3225951510808</v>
      </c>
      <c r="D19" s="1">
        <f>COS(I6/2/180*PI())*C19</f>
        <v>15.1915082254503</v>
      </c>
      <c r="E19" s="1">
        <f>2*D19*I5/C19</f>
        <v>0.99144486137381</v>
      </c>
      <c r="F19" s="13">
        <f>($S$2-E19)*TAN($I$6/2/180*PI())*($S$2-E19)</f>
        <v>0.531124847517513</v>
      </c>
      <c r="G19" s="1">
        <f>C3*D19</f>
        <v>30.3830164509006</v>
      </c>
      <c r="H19" s="1">
        <f>($N$2-E19)*TAN($I$6/2/180*PI())*($N$2-E19)</f>
        <v>4.75301521325293</v>
      </c>
      <c r="I19" s="1">
        <f>_xlfn.IFS((D19+E19)&lt;S$2,0,AND(E19&lt;S$2,(D19+E19)&lt;N$2),H19-F19,AND(E19&lt;S$2,(D19+E19)&gt;=N$2),G19-F19,AND(E19&lt;N$2,(D19+E19)&lt;N$2),G19,AND(E19&lt;N$2,(D19+E19)&gt;=N$2),H19,E19&gt;=7,0)</f>
        <v>29.8518916033831</v>
      </c>
      <c r="K19" s="2"/>
      <c r="O19" s="12"/>
      <c r="R19" s="2"/>
      <c r="S19" s="2"/>
      <c r="T19" s="2"/>
      <c r="U19" s="2"/>
      <c r="V19" s="12"/>
      <c r="W19" s="2"/>
    </row>
    <row r="20" hidden="1" spans="1:23">
      <c r="A20" s="1" t="s">
        <v>59</v>
      </c>
      <c r="B20" s="2">
        <v>11</v>
      </c>
      <c r="C20" s="1" t="s">
        <v>52</v>
      </c>
      <c r="D20" s="1" t="s">
        <v>53</v>
      </c>
      <c r="E20" s="1" t="s">
        <v>54</v>
      </c>
      <c r="F20" s="1" t="s">
        <v>55</v>
      </c>
      <c r="G20" s="1" t="s">
        <v>56</v>
      </c>
      <c r="H20" s="1" t="s">
        <v>57</v>
      </c>
      <c r="I20" s="1" t="s">
        <v>60</v>
      </c>
      <c r="K20" s="2"/>
      <c r="O20" s="12"/>
      <c r="Q20" s="1" t="s">
        <v>61</v>
      </c>
      <c r="R20" s="2" t="s">
        <v>62</v>
      </c>
      <c r="S20" s="2" t="s">
        <v>40</v>
      </c>
      <c r="T20" s="2" t="s">
        <v>42</v>
      </c>
      <c r="U20" s="2" t="s">
        <v>63</v>
      </c>
      <c r="V20" s="12"/>
      <c r="W20" s="2"/>
    </row>
    <row r="21" hidden="1" spans="1:23">
      <c r="A21" s="1" t="s">
        <v>59</v>
      </c>
      <c r="B21" s="12">
        <f>B13</f>
        <v>0.5</v>
      </c>
      <c r="C21" s="1">
        <f>(2*C3^2/(1-COS($I$7/180*PI())))^0.5</f>
        <v>3.28535926340916</v>
      </c>
      <c r="D21" s="1">
        <f>COS($I$7/2/180*PI())*C21</f>
        <v>2.60645074568241</v>
      </c>
      <c r="E21" s="1">
        <f>2*D21*I5/C21</f>
        <v>0.793353340291235</v>
      </c>
      <c r="F21" s="13">
        <f>(S2-E21)*TAN(I7/2/180*PI())*(S2-E21)</f>
        <v>3.73633723090285</v>
      </c>
      <c r="G21" s="1">
        <f>C3*D21</f>
        <v>5.21290149136482</v>
      </c>
      <c r="H21" s="1">
        <f>(N2-E21)*TAN(I7/2/180*PI())*(N2-E21)</f>
        <v>29.5593253179915</v>
      </c>
      <c r="I21" s="1">
        <f>_xlfn.IFS((D21+E21)&lt;S$2,0,AND(E21&lt;S$2,(D21+E21)&lt;N$2),H21-F21,AND(E21&lt;S$2,(D21+E21)&gt;=N$2),G21-F21,AND(E21&lt;N$2,(D21+E21)&lt;N$2),G21,AND(E21&lt;N$2,(D21+E21)&gt;=N$2),H21,E21&gt;=7,0)</f>
        <v>25.8229880870886</v>
      </c>
      <c r="K21" s="2"/>
      <c r="O21" s="12"/>
      <c r="R21" s="2">
        <v>1.2</v>
      </c>
      <c r="S21" s="2">
        <f>PI()*R21^2</f>
        <v>4.5238934211693</v>
      </c>
      <c r="T21" s="12">
        <v>0.88</v>
      </c>
      <c r="U21" s="2">
        <f>((R21+0.5)/$R$2)^2*T21</f>
        <v>10.1728</v>
      </c>
      <c r="V21" s="12"/>
      <c r="W21" s="2"/>
    </row>
    <row r="22" hidden="1" spans="2:23">
      <c r="B22" s="2"/>
      <c r="C22" s="1" t="s">
        <v>52</v>
      </c>
      <c r="D22" s="1" t="s">
        <v>53</v>
      </c>
      <c r="E22" s="1" t="s">
        <v>54</v>
      </c>
      <c r="F22" s="1" t="s">
        <v>55</v>
      </c>
      <c r="G22" s="1" t="s">
        <v>56</v>
      </c>
      <c r="H22" s="1" t="s">
        <v>57</v>
      </c>
      <c r="I22" s="1" t="s">
        <v>64</v>
      </c>
      <c r="K22" s="2"/>
      <c r="O22" s="12"/>
      <c r="R22" s="2"/>
      <c r="S22" s="2"/>
      <c r="T22" s="2"/>
      <c r="U22" s="2"/>
      <c r="V22" s="12"/>
      <c r="W22" s="2"/>
    </row>
    <row r="23" hidden="1" spans="2:23">
      <c r="B23" s="2"/>
      <c r="C23" s="1">
        <f>(2*C3^2/(1-COS($I$8/180*PI())))^0.5</f>
        <v>2.82842712474619</v>
      </c>
      <c r="D23" s="1">
        <f>COS($I$8/2/180*PI())*C23</f>
        <v>2</v>
      </c>
      <c r="E23" s="1">
        <f>2*D23*$I$5/C23</f>
        <v>0.707106781186548</v>
      </c>
      <c r="F23" s="13">
        <f>($S$2-E23)*TAN($I$8/2/180*PI())*($S$2-E23)</f>
        <v>5.25735931288071</v>
      </c>
      <c r="G23" s="1">
        <f>C3*D23</f>
        <v>4</v>
      </c>
      <c r="H23" s="1">
        <f>($N$2-E23)*TAN($I$8/2/180*PI())*($N$2-E23)</f>
        <v>39.6005050633883</v>
      </c>
      <c r="I23" s="1">
        <f>_xlfn.IFS((D23+E23)&lt;S$2,0,AND(E23&lt;S$2,(D23+E23)&lt;N$2),H23-F23,AND(E23&lt;S$2,(D23+E23)&gt;=N$2),G23-F23,AND(E23&lt;N$2,(D23+E23)&lt;N$2),G23,AND(E23&lt;N$2,(D23+E23)&gt;=N$2),H23,E23&gt;=7,0)</f>
        <v>0</v>
      </c>
      <c r="K23" s="2"/>
      <c r="O23" s="12"/>
      <c r="Q23" s="1" t="s">
        <v>65</v>
      </c>
      <c r="R23" s="2" t="s">
        <v>66</v>
      </c>
      <c r="S23" s="2" t="s">
        <v>40</v>
      </c>
      <c r="T23" s="2" t="s">
        <v>42</v>
      </c>
      <c r="U23" s="2" t="s">
        <v>63</v>
      </c>
      <c r="V23" s="12"/>
      <c r="W23" s="2"/>
    </row>
    <row r="24" hidden="1" spans="2:23">
      <c r="B24" s="2"/>
      <c r="C24" s="1" t="s">
        <v>67</v>
      </c>
      <c r="D24" s="1" t="s">
        <v>68</v>
      </c>
      <c r="E24" s="1" t="s">
        <v>69</v>
      </c>
      <c r="F24" s="14" t="s">
        <v>70</v>
      </c>
      <c r="G24" s="15" t="s">
        <v>71</v>
      </c>
      <c r="H24" s="2" t="s">
        <v>47</v>
      </c>
      <c r="I24" s="2" t="s">
        <v>72</v>
      </c>
      <c r="K24" s="2"/>
      <c r="O24" s="12"/>
      <c r="R24" s="2" t="s">
        <v>73</v>
      </c>
      <c r="S24" s="2">
        <f>4*2</f>
        <v>8</v>
      </c>
      <c r="T24" s="12">
        <v>0.88</v>
      </c>
      <c r="U24" s="2">
        <f>S24/(PI()*$R$2^2)*T24</f>
        <v>8.96360639493555</v>
      </c>
      <c r="V24" s="27">
        <f>U24/U21</f>
        <v>0.881134633034715</v>
      </c>
      <c r="W24" s="2"/>
    </row>
    <row r="25" hidden="1" spans="2:22">
      <c r="B25" s="2"/>
      <c r="C25" s="1">
        <f>($I$5+C3*2)*($N$2-$S$2)</f>
        <v>18</v>
      </c>
      <c r="D25" s="1">
        <f>PI()*($N$2^2-$S$2^2)</f>
        <v>125.663706143592</v>
      </c>
      <c r="E25" s="11">
        <f t="shared" ref="E25:E28" si="3">C25/D25</f>
        <v>0.143239448782706</v>
      </c>
      <c r="F25" s="16">
        <f>SUM(I19,I21,I23,C25*3)/D25</f>
        <v>0.872764961787375</v>
      </c>
      <c r="G25" s="16">
        <f>E25*3</f>
        <v>0.429718346348117</v>
      </c>
      <c r="H25" s="2">
        <v>6</v>
      </c>
      <c r="I25" s="1">
        <f>E25*(1+B21)^H25</f>
        <v>1.63158684629051</v>
      </c>
      <c r="R25" s="2"/>
      <c r="S25" s="2"/>
      <c r="T25" s="12"/>
      <c r="U25" s="2"/>
      <c r="V25" s="27"/>
    </row>
    <row r="26" hidden="1" spans="2:22">
      <c r="B26" s="2" t="s">
        <v>43</v>
      </c>
      <c r="C26" s="1" t="s">
        <v>44</v>
      </c>
      <c r="D26" s="1" t="s">
        <v>45</v>
      </c>
      <c r="E26" s="1" t="s">
        <v>46</v>
      </c>
      <c r="F26" s="2" t="s">
        <v>47</v>
      </c>
      <c r="K26" s="2"/>
      <c r="Q26" s="1" t="s">
        <v>74</v>
      </c>
      <c r="R26" s="2" t="s">
        <v>66</v>
      </c>
      <c r="S26" s="2" t="s">
        <v>40</v>
      </c>
      <c r="T26" s="2" t="s">
        <v>42</v>
      </c>
      <c r="U26" s="2" t="s">
        <v>63</v>
      </c>
      <c r="V26" s="2"/>
    </row>
    <row r="27" hidden="1" spans="1:22">
      <c r="A27" s="1" t="s">
        <v>75</v>
      </c>
      <c r="B27" s="2">
        <v>0.5</v>
      </c>
      <c r="C27" s="1">
        <f>PI()*(B27+I2)^2</f>
        <v>9.0792027688745</v>
      </c>
      <c r="D27" s="1">
        <f>PI()*(N4^2-S2^2)</f>
        <v>172.787595947439</v>
      </c>
      <c r="E27" s="11">
        <f t="shared" si="3"/>
        <v>0.0525454545454545</v>
      </c>
      <c r="F27" s="2">
        <v>4</v>
      </c>
      <c r="K27" s="2"/>
      <c r="P27" s="12"/>
      <c r="Q27" s="2"/>
      <c r="R27" s="2" t="s">
        <v>76</v>
      </c>
      <c r="S27" s="2">
        <f>6.5*1.5</f>
        <v>9.75</v>
      </c>
      <c r="T27" s="12">
        <v>0.85</v>
      </c>
      <c r="U27" s="2">
        <f>S27/(PI()*$R$2^2)*T27</f>
        <v>10.5519727269927</v>
      </c>
      <c r="V27" s="2">
        <f>U27/U21</f>
        <v>1.0372731919425</v>
      </c>
    </row>
    <row r="28" hidden="1" spans="1:19">
      <c r="A28" s="1" t="s">
        <v>75</v>
      </c>
      <c r="B28" s="2">
        <v>0.9</v>
      </c>
      <c r="C28" s="1">
        <f>PI()*(B28+I2)^2</f>
        <v>13.854423602331</v>
      </c>
      <c r="D28" s="1">
        <f>PI()*(N4^2-S2^2)</f>
        <v>172.787595947439</v>
      </c>
      <c r="E28" s="11">
        <f t="shared" si="3"/>
        <v>0.0801818181818182</v>
      </c>
      <c r="K28" s="2"/>
      <c r="P28" s="12"/>
      <c r="Q28" s="2"/>
      <c r="R28" s="2"/>
      <c r="S28" s="2"/>
    </row>
    <row r="29" hidden="1" spans="1:19">
      <c r="A29" s="1" t="s">
        <v>75</v>
      </c>
      <c r="B29" s="12">
        <f>B13</f>
        <v>0.5</v>
      </c>
      <c r="E29" s="13">
        <f>(1-(1-E28)^((1+B29)*0.5))*3</f>
        <v>0.18228056726074</v>
      </c>
      <c r="K29" s="2"/>
      <c r="P29" s="12"/>
      <c r="Q29" s="2"/>
      <c r="R29" s="2"/>
      <c r="S29" s="2"/>
    </row>
    <row r="30" hidden="1" spans="2:17">
      <c r="B30" s="2" t="s">
        <v>49</v>
      </c>
      <c r="C30" s="1" t="s">
        <v>44</v>
      </c>
      <c r="D30" s="1" t="s">
        <v>45</v>
      </c>
      <c r="E30" s="1" t="s">
        <v>46</v>
      </c>
      <c r="F30" s="2" t="s">
        <v>47</v>
      </c>
      <c r="K30" s="2"/>
      <c r="P30" s="12"/>
      <c r="Q30" s="2"/>
    </row>
    <row r="31" hidden="1" spans="1:17">
      <c r="A31" s="1" t="s">
        <v>77</v>
      </c>
      <c r="B31" s="2">
        <f t="shared" ref="B31:B33" si="4">B27</f>
        <v>0.5</v>
      </c>
      <c r="C31" s="1">
        <f>PI()*((B31+I4/2)^2+(I3/2)^2)</f>
        <v>31.8086256175967</v>
      </c>
      <c r="D31" s="1">
        <f>PI()*((N3*2)^2-S2^2)</f>
        <v>285.884931476671</v>
      </c>
      <c r="E31" s="11">
        <f>C31/D31</f>
        <v>0.111263736263736</v>
      </c>
      <c r="F31" s="2">
        <v>3</v>
      </c>
      <c r="K31" s="2"/>
      <c r="P31" s="12"/>
      <c r="Q31" s="2"/>
    </row>
    <row r="32" hidden="1" spans="1:17">
      <c r="A32" s="1" t="s">
        <v>77</v>
      </c>
      <c r="B32" s="2">
        <f t="shared" si="4"/>
        <v>0.9</v>
      </c>
      <c r="C32" s="1">
        <f>PI()*((B32+I4/2)^2+(I3/2)^2)</f>
        <v>37.9661472186326</v>
      </c>
      <c r="D32" s="1">
        <f>PI()*((N3*2)^2-S2^2)</f>
        <v>285.884931476671</v>
      </c>
      <c r="E32" s="11">
        <f>C32/D32</f>
        <v>0.132802197802198</v>
      </c>
      <c r="K32" s="2"/>
      <c r="P32" s="12"/>
      <c r="Q32" s="2"/>
    </row>
    <row r="33" hidden="1" spans="1:17">
      <c r="A33" s="1" t="s">
        <v>77</v>
      </c>
      <c r="B33" s="12">
        <f t="shared" si="4"/>
        <v>0.5</v>
      </c>
      <c r="E33" s="13">
        <f>(1-(1-E32)^((1+B33)*0.5))*3</f>
        <v>0.304062118848676</v>
      </c>
      <c r="K33" s="2"/>
      <c r="P33" s="12"/>
      <c r="Q33" s="2"/>
    </row>
    <row r="34" hidden="1" spans="2:17">
      <c r="B34" s="2" t="s">
        <v>78</v>
      </c>
      <c r="C34" s="1" t="s">
        <v>52</v>
      </c>
      <c r="D34" s="1" t="s">
        <v>53</v>
      </c>
      <c r="E34" s="1" t="s">
        <v>54</v>
      </c>
      <c r="F34" s="1" t="s">
        <v>55</v>
      </c>
      <c r="G34" s="1" t="s">
        <v>56</v>
      </c>
      <c r="H34" s="1" t="s">
        <v>57</v>
      </c>
      <c r="I34" s="1" t="s">
        <v>58</v>
      </c>
      <c r="K34" s="2"/>
      <c r="P34" s="12"/>
      <c r="Q34" s="2"/>
    </row>
    <row r="35" hidden="1" spans="1:17">
      <c r="A35" s="1" t="s">
        <v>79</v>
      </c>
      <c r="B35" s="2">
        <f t="shared" ref="B35:B37" si="5">B31</f>
        <v>0.5</v>
      </c>
      <c r="C35" s="1">
        <f>(2*B35^2/(1-COS($I$6/180*PI())))^0.5</f>
        <v>3.8306487877702</v>
      </c>
      <c r="D35" s="1">
        <f>COS($I$6/2/180*PI())*C35</f>
        <v>3.79787705636258</v>
      </c>
      <c r="E35" s="1">
        <f>2*D35*$I$5/C35</f>
        <v>0.99144486137381</v>
      </c>
      <c r="F35" s="13">
        <f>($S$2-E35)*TAN($I$6/2/180*PI())*($S$2-E35)</f>
        <v>0.531124847517513</v>
      </c>
      <c r="G35" s="1">
        <f>B35*D35</f>
        <v>1.89893852818129</v>
      </c>
      <c r="H35" s="1">
        <f>($N$2-E35)*TAN($I$6/2/180*PI())*($N$2-E35)</f>
        <v>4.75301521325293</v>
      </c>
      <c r="I35" s="1">
        <f>_xlfn.IFS((D35+E35)&lt;S$2,0,AND(E35&lt;S$2,(D35+E35)&lt;N$2),H35-F35,AND(E35&lt;S$2,(D35+E35)&gt;=N$2),G35-F35,AND(E35&lt;N$2,(D35+E35)&lt;N$2),G35,AND(E35&lt;N$2,(D35+E35)&gt;=N$2),H35,E35&gt;=7,0)</f>
        <v>4.22189036573542</v>
      </c>
      <c r="K35" s="2"/>
      <c r="P35" s="12"/>
      <c r="Q35" s="2"/>
    </row>
    <row r="36" hidden="1" spans="1:17">
      <c r="A36" s="1" t="s">
        <v>79</v>
      </c>
      <c r="B36" s="2">
        <f t="shared" si="5"/>
        <v>0.9</v>
      </c>
      <c r="C36" s="1" t="s">
        <v>52</v>
      </c>
      <c r="D36" s="1" t="s">
        <v>53</v>
      </c>
      <c r="E36" s="1" t="s">
        <v>54</v>
      </c>
      <c r="F36" s="1" t="s">
        <v>55</v>
      </c>
      <c r="G36" s="1" t="s">
        <v>56</v>
      </c>
      <c r="H36" s="1" t="s">
        <v>57</v>
      </c>
      <c r="I36" s="1" t="s">
        <v>60</v>
      </c>
      <c r="K36" s="2"/>
      <c r="P36" s="12"/>
      <c r="Q36" s="2"/>
    </row>
    <row r="37" hidden="1" spans="1:17">
      <c r="A37" s="1" t="s">
        <v>79</v>
      </c>
      <c r="B37" s="12">
        <f t="shared" si="5"/>
        <v>0.5</v>
      </c>
      <c r="C37" s="1">
        <f>(2*B35^2/(1-COS($I$7/180*PI())))^0.5</f>
        <v>0.821339815852291</v>
      </c>
      <c r="D37" s="1">
        <f>COS($I$7/2/180*PI())*C37</f>
        <v>0.651612686420603</v>
      </c>
      <c r="E37" s="1">
        <f>2*D37*$I$5/C37</f>
        <v>0.793353340291235</v>
      </c>
      <c r="F37" s="13">
        <f>($S$2-E37)*TAN($I$6/2/180*PI())*($S$2-E37)</f>
        <v>0.641054121623861</v>
      </c>
      <c r="G37" s="1">
        <f>B35*D37</f>
        <v>0.325806343210301</v>
      </c>
      <c r="H37" s="1">
        <f>($N$2-E37)*TAN($I$6/2/180*PI())*($N$2-E37)</f>
        <v>5.07157843537054</v>
      </c>
      <c r="I37" s="1">
        <f>_xlfn.IFS((D37+E37)&lt;S$2,0,AND(E37&lt;S$2,(D37+E37)&lt;N$2),H37-F37,AND(E37&lt;S$2,(D37+E37)&gt;=N$2),G37-F37,AND(E37&lt;N$2,(D37+E37)&lt;N$2),G37,AND(E37&lt;N$2,(D37+E37)&gt;=N$2),H37,E37&gt;=7,0)</f>
        <v>0</v>
      </c>
      <c r="K37" s="2"/>
      <c r="P37" s="12"/>
      <c r="Q37" s="2"/>
    </row>
    <row r="38" hidden="1" spans="2:17">
      <c r="B38" s="2"/>
      <c r="C38" s="1" t="s">
        <v>52</v>
      </c>
      <c r="D38" s="1" t="s">
        <v>53</v>
      </c>
      <c r="E38" s="1" t="s">
        <v>54</v>
      </c>
      <c r="F38" s="1" t="s">
        <v>55</v>
      </c>
      <c r="G38" s="1" t="s">
        <v>56</v>
      </c>
      <c r="H38" s="1" t="s">
        <v>57</v>
      </c>
      <c r="I38" s="1" t="s">
        <v>64</v>
      </c>
      <c r="K38" s="2"/>
      <c r="P38" s="12"/>
      <c r="Q38" s="2"/>
    </row>
    <row r="39" hidden="1" spans="2:17">
      <c r="B39" s="2"/>
      <c r="C39" s="1">
        <f>(2*B35^2/(1-COS($I$8/180*PI())))^0.5</f>
        <v>0.707106781186548</v>
      </c>
      <c r="D39" s="1">
        <f>COS($I$8/2/180*PI())*C39</f>
        <v>0.5</v>
      </c>
      <c r="E39" s="1">
        <f>2*D39*$I$5/C39</f>
        <v>0.707106781186548</v>
      </c>
      <c r="F39" s="13">
        <f>($S$2-E39)*TAN($I$8/2/180*PI())*($S$2-E39)</f>
        <v>5.25735931288071</v>
      </c>
      <c r="G39" s="1">
        <f>B35*D39</f>
        <v>0.25</v>
      </c>
      <c r="H39" s="1">
        <f>($N$2-E39)*TAN($I$8/2/180*PI())*($N$2-E39)</f>
        <v>39.6005050633883</v>
      </c>
      <c r="I39" s="1">
        <f>_xlfn.IFS((D39+E39)&lt;S$2,0,AND(E39&lt;S$2,(D39+E39)&lt;N$2),H39-F39,AND(E39&lt;S$2,(D39+E39)&gt;=N$2),G39-F39,AND(E39&lt;N$2,(D39+E39)&lt;N$2),G39,AND(E39&lt;N$2,(D39+E39)&gt;=N$2),H39,E39&gt;=7,0)</f>
        <v>0</v>
      </c>
      <c r="K39" s="2"/>
      <c r="P39" s="12"/>
      <c r="Q39" s="2"/>
    </row>
    <row r="40" hidden="1" spans="2:17">
      <c r="B40" s="2"/>
      <c r="C40" s="1" t="s">
        <v>67</v>
      </c>
      <c r="D40" s="1" t="s">
        <v>68</v>
      </c>
      <c r="E40" s="1" t="s">
        <v>69</v>
      </c>
      <c r="F40" s="17" t="s">
        <v>80</v>
      </c>
      <c r="G40" s="5" t="s">
        <v>81</v>
      </c>
      <c r="K40" s="2"/>
      <c r="P40" s="12"/>
      <c r="Q40" s="2"/>
    </row>
    <row r="41" hidden="1" spans="3:17">
      <c r="C41" s="1">
        <f>($I$5+B35*2)*($N$2-$S$2)</f>
        <v>6</v>
      </c>
      <c r="D41" s="1">
        <f>PI()*($N$5^2-$S$2^2)</f>
        <v>172.787595947439</v>
      </c>
      <c r="E41" s="11">
        <f>C41/D41</f>
        <v>0.0347247148564135</v>
      </c>
      <c r="F41" s="18">
        <f>SUM(I35,I37,I39,C41*6)/D41</f>
        <v>0.232782278989348</v>
      </c>
      <c r="G41" s="17">
        <f>9*F41</f>
        <v>2.09504051090413</v>
      </c>
      <c r="K41" s="2"/>
      <c r="P41" s="12"/>
      <c r="Q41" s="2"/>
    </row>
    <row r="42" hidden="1" spans="3:18">
      <c r="C42" s="1" t="s">
        <v>52</v>
      </c>
      <c r="D42" s="1" t="s">
        <v>53</v>
      </c>
      <c r="E42" s="1" t="s">
        <v>54</v>
      </c>
      <c r="F42" s="1" t="s">
        <v>55</v>
      </c>
      <c r="G42" s="1" t="s">
        <v>56</v>
      </c>
      <c r="H42" s="1" t="s">
        <v>57</v>
      </c>
      <c r="I42" s="1" t="s">
        <v>58</v>
      </c>
      <c r="M42" s="1"/>
      <c r="Q42" s="2"/>
      <c r="R42" s="2"/>
    </row>
    <row r="43" hidden="1" spans="3:17">
      <c r="C43" s="1">
        <f>(2*B36^2/(1-COS($I$6/180*PI())))^0.5</f>
        <v>6.89516781798635</v>
      </c>
      <c r="D43" s="1">
        <f>COS($I$6/2/180*PI())*C43</f>
        <v>6.83617870145264</v>
      </c>
      <c r="E43" s="1">
        <f>2*D43*$I$5/C43</f>
        <v>0.99144486137381</v>
      </c>
      <c r="F43" s="13">
        <f>($S$2-E43)*TAN($I$6/2/180*PI())*($S$2-E43)</f>
        <v>0.531124847517513</v>
      </c>
      <c r="G43" s="1">
        <f>B36*D43</f>
        <v>6.15256083130737</v>
      </c>
      <c r="H43" s="1">
        <f>($N$2-E43)*TAN($I$6/2/180*PI())*($N$2-E43)</f>
        <v>4.75301521325293</v>
      </c>
      <c r="I43" s="1">
        <f>_xlfn.IFS((D43+E43)&lt;S$2,0,AND(E43&lt;S$2,(D43+E43)&lt;N$2),H43-F43,AND(E43&lt;S$2,(D43+E43)&gt;=N$2),G43-F43,AND(E43&lt;N$2,(D43+E43)&lt;N$2),G43,AND(E43&lt;N$2,(D43+E43)&gt;=N$2),H43,E43&gt;=7,0)</f>
        <v>5.62143598378986</v>
      </c>
      <c r="M43" s="1"/>
      <c r="N43" s="1"/>
      <c r="O43" s="1"/>
      <c r="Q43" s="2"/>
    </row>
    <row r="44" hidden="1" spans="3:17">
      <c r="C44" s="1" t="s">
        <v>52</v>
      </c>
      <c r="D44" s="1" t="s">
        <v>53</v>
      </c>
      <c r="E44" s="1" t="s">
        <v>54</v>
      </c>
      <c r="F44" s="1" t="s">
        <v>55</v>
      </c>
      <c r="G44" s="1" t="s">
        <v>56</v>
      </c>
      <c r="H44" s="1" t="s">
        <v>57</v>
      </c>
      <c r="I44" s="1" t="s">
        <v>60</v>
      </c>
      <c r="M44" s="1"/>
      <c r="N44" s="1"/>
      <c r="O44" s="1"/>
      <c r="Q44" s="2"/>
    </row>
    <row r="45" hidden="1" spans="3:17">
      <c r="C45" s="1">
        <f>(2*B36^2/(1-COS($I$7/180*PI())))^0.5</f>
        <v>1.47841166853412</v>
      </c>
      <c r="D45" s="1">
        <f>COS($I$7/2/180*PI())*C45</f>
        <v>1.17290283555709</v>
      </c>
      <c r="E45" s="1">
        <f>2*D45*$I$5/C45</f>
        <v>0.793353340291235</v>
      </c>
      <c r="F45" s="13">
        <f>($S$2-E45)*TAN($I$6/2/180*PI())*($S$2-E45)</f>
        <v>0.641054121623861</v>
      </c>
      <c r="G45" s="1">
        <f>B36*D45</f>
        <v>1.05561255200138</v>
      </c>
      <c r="H45" s="1">
        <f>($N$2-E45)*TAN($I$6/2/180*PI())*($N$2-E45)</f>
        <v>5.07157843537054</v>
      </c>
      <c r="I45" s="1">
        <f>_xlfn.IFS((D45+E45)&lt;S$2,0,AND(E45&lt;S$2,(D45+E45)&lt;N$2),H45-F45,AND(E45&lt;S$2,(D45+E45)&gt;=N$2),G45-F45,AND(E45&lt;N$2,(D45+E45)&lt;N$2),G45,AND(E45&lt;N$2,(D45+E45)&gt;=N$2),H45,E45&gt;=7,0)</f>
        <v>0</v>
      </c>
      <c r="M45" s="1"/>
      <c r="N45" s="1"/>
      <c r="O45" s="1"/>
      <c r="Q45" s="2"/>
    </row>
    <row r="46" hidden="1" spans="3:17">
      <c r="C46" s="1" t="s">
        <v>52</v>
      </c>
      <c r="D46" s="1" t="s">
        <v>53</v>
      </c>
      <c r="E46" s="1" t="s">
        <v>54</v>
      </c>
      <c r="F46" s="1" t="s">
        <v>55</v>
      </c>
      <c r="G46" s="1" t="s">
        <v>56</v>
      </c>
      <c r="H46" s="1" t="s">
        <v>57</v>
      </c>
      <c r="I46" s="1" t="s">
        <v>64</v>
      </c>
      <c r="M46" s="1"/>
      <c r="N46" s="1"/>
      <c r="O46" s="1"/>
      <c r="Q46" s="2"/>
    </row>
    <row r="47" hidden="1" spans="3:17">
      <c r="C47" s="1">
        <f>(2*B36^2/(1-COS($I$8/180*PI())))^0.5</f>
        <v>1.27279220613579</v>
      </c>
      <c r="D47" s="1">
        <f>COS($I$8/2/180*PI())*C47</f>
        <v>0.9</v>
      </c>
      <c r="E47" s="1">
        <f>2*D47*$I$5/C47</f>
        <v>0.707106781186548</v>
      </c>
      <c r="F47" s="13">
        <f>($S$2-E47)*TAN($I$8/2/180*PI())*($S$2-E47)</f>
        <v>5.25735931288071</v>
      </c>
      <c r="G47" s="1">
        <f>B36*D47</f>
        <v>0.81</v>
      </c>
      <c r="H47" s="1">
        <f>($N$2-E47)*TAN($I$8/2/180*PI())*($N$2-E47)</f>
        <v>39.6005050633883</v>
      </c>
      <c r="I47" s="1">
        <f>_xlfn.IFS((D47+E47)&lt;S$2,0,AND(E47&lt;S$2,(D47+E47)&lt;N$2),H47-F47,AND(E47&lt;S$2,(D47+E47)&gt;=N$2),G47-F47,AND(E47&lt;N$2,(D47+E47)&lt;N$2),G47,AND(E47&lt;N$2,(D47+E47)&gt;=N$2),H47,E47&gt;=7,0)</f>
        <v>0</v>
      </c>
      <c r="M47" s="1"/>
      <c r="N47" s="1"/>
      <c r="O47" s="1"/>
      <c r="Q47" s="2"/>
    </row>
    <row r="48" hidden="1" spans="3:16">
      <c r="C48" s="1" t="s">
        <v>67</v>
      </c>
      <c r="D48" s="1" t="s">
        <v>68</v>
      </c>
      <c r="E48" s="1" t="s">
        <v>69</v>
      </c>
      <c r="F48" s="14" t="s">
        <v>80</v>
      </c>
      <c r="G48" s="15" t="s">
        <v>82</v>
      </c>
      <c r="H48" s="2" t="s">
        <v>47</v>
      </c>
      <c r="I48" s="2" t="s">
        <v>72</v>
      </c>
      <c r="M48" s="1"/>
      <c r="N48" s="1"/>
      <c r="O48" s="1"/>
      <c r="P48" s="1"/>
    </row>
    <row r="49" hidden="1" spans="3:18">
      <c r="C49" s="1">
        <f>($I$5+B36*2)*($N$2-$S$2)</f>
        <v>9.2</v>
      </c>
      <c r="D49" s="1">
        <f>PI()*($N$5^2-$S$2^2)</f>
        <v>172.787595947439</v>
      </c>
      <c r="E49" s="11">
        <f>C49/D49</f>
        <v>0.0532445627798341</v>
      </c>
      <c r="F49" s="16">
        <f>SUM(I43,I45,I47,C49*6)/D49</f>
        <v>0.352001170282452</v>
      </c>
      <c r="G49" s="16">
        <f>E49*3</f>
        <v>0.159733688339502</v>
      </c>
      <c r="H49" s="2">
        <v>6</v>
      </c>
      <c r="I49" s="13">
        <f>(1-(1-E49)^((1+B37)*0.5))*3</f>
        <v>0.120615843356463</v>
      </c>
      <c r="M49" s="1"/>
      <c r="N49" s="26"/>
      <c r="O49" s="26"/>
      <c r="P49" s="26"/>
      <c r="Q49" s="26"/>
      <c r="R49" s="26"/>
    </row>
    <row r="50" hidden="1" spans="11:18">
      <c r="K50" s="1">
        <f>K56/K65</f>
        <v>0.557407407407407</v>
      </c>
      <c r="L50" s="2">
        <f>L56/L65</f>
        <v>0.798057465388839</v>
      </c>
      <c r="M50" s="1"/>
      <c r="Q50" s="2"/>
      <c r="R50" s="2"/>
    </row>
    <row r="51" hidden="1" spans="1:18">
      <c r="A51" s="1" t="s">
        <v>83</v>
      </c>
      <c r="B51" s="1" t="s">
        <v>84</v>
      </c>
      <c r="C51" s="1" t="s">
        <v>85</v>
      </c>
      <c r="D51" s="1" t="s">
        <v>86</v>
      </c>
      <c r="E51" s="1" t="s">
        <v>87</v>
      </c>
      <c r="F51" s="2" t="s">
        <v>88</v>
      </c>
      <c r="G51" s="2" t="s">
        <v>89</v>
      </c>
      <c r="H51" s="1" t="s">
        <v>90</v>
      </c>
      <c r="I51" s="1" t="s">
        <v>91</v>
      </c>
      <c r="J51" s="1" t="s">
        <v>92</v>
      </c>
      <c r="K51" s="1" t="s">
        <v>93</v>
      </c>
      <c r="L51" s="1" t="s">
        <v>94</v>
      </c>
      <c r="M51" s="1"/>
      <c r="Q51" s="2"/>
      <c r="R51" s="2"/>
    </row>
    <row r="52" hidden="1" spans="1:17">
      <c r="A52" s="1" t="s">
        <v>95</v>
      </c>
      <c r="B52" s="1">
        <v>3</v>
      </c>
      <c r="C52" s="1">
        <v>13</v>
      </c>
      <c r="D52" s="1">
        <f>B52*F52/$M$4*(ROUNDDOWN($Q$4/$M$4,0)/(ROUNDDOWN($Q$4/$M$4,0)+1))</f>
        <v>0</v>
      </c>
      <c r="E52" s="1">
        <f>C52*G52/$M$4*(1/(ROUNDDOWN($Q$4/$M$4,0)+1))</f>
        <v>0</v>
      </c>
      <c r="F52" s="19">
        <v>0</v>
      </c>
      <c r="G52" s="19">
        <v>0</v>
      </c>
      <c r="H52" s="20">
        <f t="shared" ref="H52:H66" si="6">E52+D52</f>
        <v>0</v>
      </c>
      <c r="I52" s="1">
        <v>1</v>
      </c>
      <c r="J52" s="1">
        <f t="shared" ref="J52:J66" si="7">H52*$U$21*I52</f>
        <v>0</v>
      </c>
      <c r="K52" s="1">
        <f t="shared" ref="K52:K66" si="8">H52*$E$13*$B$12/20</f>
        <v>0</v>
      </c>
      <c r="L52" s="1">
        <f t="shared" ref="L52:L66" si="9">MIN(H52*$E$29*12/20*(1+$B$29)^$F$27,6*(1+$B$29)^4/20/4)</f>
        <v>0</v>
      </c>
      <c r="M52" s="1"/>
      <c r="N52" s="1"/>
      <c r="O52" s="1"/>
      <c r="Q52" s="2"/>
    </row>
    <row r="53" hidden="1" spans="1:17">
      <c r="A53" s="21" t="s">
        <v>96</v>
      </c>
      <c r="B53" s="1">
        <v>3</v>
      </c>
      <c r="C53" s="1">
        <v>13</v>
      </c>
      <c r="D53" s="1">
        <f>B53*F53/$M$4*(ROUNDDOWN($Q$4/$M$4,0)/(ROUNDDOWN($Q$4/$M$4,0)+1))</f>
        <v>0.381818181818182</v>
      </c>
      <c r="E53" s="1">
        <f>C53*G53/$M$4*(1/(ROUNDDOWN($Q$4/$M$4,0)+1))</f>
        <v>0</v>
      </c>
      <c r="F53" s="19">
        <v>0.21</v>
      </c>
      <c r="G53" s="19">
        <v>0</v>
      </c>
      <c r="H53" s="20">
        <f t="shared" si="6"/>
        <v>0.381818181818182</v>
      </c>
      <c r="I53" s="1">
        <f t="shared" ref="I53:I66" si="10">$I$52</f>
        <v>1</v>
      </c>
      <c r="J53" s="1">
        <f t="shared" si="7"/>
        <v>3.88416</v>
      </c>
      <c r="K53" s="1">
        <f t="shared" si="8"/>
        <v>0.445352727272727</v>
      </c>
      <c r="L53" s="1">
        <f t="shared" si="9"/>
        <v>0.211404030620808</v>
      </c>
      <c r="M53" s="1"/>
      <c r="N53" s="1"/>
      <c r="O53" s="1"/>
      <c r="Q53" s="2"/>
    </row>
    <row r="54" hidden="1" spans="1:17">
      <c r="A54" s="1" t="s">
        <v>97</v>
      </c>
      <c r="B54" s="1">
        <v>3</v>
      </c>
      <c r="C54" s="1">
        <v>13</v>
      </c>
      <c r="D54" s="1">
        <f>B54*F54/$M$4*(ROUNDDOWN($Q$4/$M$4,0)/(ROUNDDOWN($Q$4/$M$4,0)+1))</f>
        <v>0.381818181818182</v>
      </c>
      <c r="E54" s="1">
        <f>C54*G54/$M$4*(1/(ROUNDDOWN($Q$4/$M$4,0)+1))</f>
        <v>0</v>
      </c>
      <c r="F54" s="19">
        <v>0.21</v>
      </c>
      <c r="G54" s="19">
        <v>0</v>
      </c>
      <c r="H54" s="20">
        <f t="shared" si="6"/>
        <v>0.381818181818182</v>
      </c>
      <c r="I54" s="1">
        <f t="shared" si="10"/>
        <v>1</v>
      </c>
      <c r="J54" s="1">
        <f t="shared" si="7"/>
        <v>3.88416</v>
      </c>
      <c r="K54" s="1">
        <f t="shared" si="8"/>
        <v>0.445352727272727</v>
      </c>
      <c r="L54" s="1">
        <f t="shared" si="9"/>
        <v>0.211404030620808</v>
      </c>
      <c r="M54" s="1"/>
      <c r="N54" s="1"/>
      <c r="O54" s="1"/>
      <c r="Q54" s="2"/>
    </row>
    <row r="55" hidden="1" spans="1:18">
      <c r="A55" s="21" t="s">
        <v>98</v>
      </c>
      <c r="B55" s="1">
        <v>3</v>
      </c>
      <c r="C55" s="1">
        <v>13</v>
      </c>
      <c r="D55" s="1">
        <f>B55*F55/$M$4*(ROUNDDOWN($Q$4/$M$4,0)/(ROUNDDOWN($Q$4/$M$4,0)+1))</f>
        <v>0.381818181818182</v>
      </c>
      <c r="E55" s="1">
        <f>C55*G55/$M$4*(1/(ROUNDDOWN($Q$4/$M$4,0)+1))</f>
        <v>0.165454545454545</v>
      </c>
      <c r="F55" s="19">
        <v>0.21</v>
      </c>
      <c r="G55" s="19">
        <v>0.21</v>
      </c>
      <c r="H55" s="20">
        <f t="shared" si="6"/>
        <v>0.547272727272727</v>
      </c>
      <c r="I55" s="1">
        <f t="shared" si="10"/>
        <v>1</v>
      </c>
      <c r="J55" s="1">
        <f t="shared" si="7"/>
        <v>5.567296</v>
      </c>
      <c r="K55" s="1">
        <f t="shared" si="8"/>
        <v>0.638338909090909</v>
      </c>
      <c r="L55" s="1">
        <f t="shared" si="9"/>
        <v>0.303012443889825</v>
      </c>
      <c r="M55" s="1"/>
      <c r="Q55" s="2"/>
      <c r="R55" s="2"/>
    </row>
    <row r="56" hidden="1" spans="1:22">
      <c r="A56" s="1" t="s">
        <v>150</v>
      </c>
      <c r="B56" s="1">
        <v>3</v>
      </c>
      <c r="C56" s="1">
        <v>13</v>
      </c>
      <c r="D56" s="1">
        <f>B56*F56/$M$4*(ROUNDDOWN($Q$4/$M$4,0)/(ROUNDDOWN($Q$4/$M$4,0)+1))</f>
        <v>0.381818181818182</v>
      </c>
      <c r="E56" s="1">
        <f>C56*G56/$M$4*(1/(ROUNDDOWN($Q$4/$M$4,0)+1))</f>
        <v>0.165454545454545</v>
      </c>
      <c r="F56" s="19">
        <v>0.21</v>
      </c>
      <c r="G56" s="19">
        <v>0.21</v>
      </c>
      <c r="H56" s="20">
        <f t="shared" si="6"/>
        <v>0.547272727272727</v>
      </c>
      <c r="I56" s="1">
        <f t="shared" si="10"/>
        <v>1</v>
      </c>
      <c r="J56" s="1">
        <f t="shared" si="7"/>
        <v>5.567296</v>
      </c>
      <c r="K56" s="1">
        <f t="shared" si="8"/>
        <v>0.638338909090909</v>
      </c>
      <c r="L56" s="1">
        <f t="shared" si="9"/>
        <v>0.303012443889825</v>
      </c>
      <c r="O56" s="1"/>
      <c r="Q56" s="2"/>
      <c r="R56" s="2"/>
      <c r="S56" s="2"/>
      <c r="T56" s="2"/>
      <c r="U56" s="2"/>
      <c r="V56" s="2"/>
    </row>
    <row r="57" hidden="1" spans="1:20">
      <c r="A57" s="1" t="s">
        <v>151</v>
      </c>
      <c r="B57" s="1">
        <v>3</v>
      </c>
      <c r="C57" s="1">
        <v>13</v>
      </c>
      <c r="D57" s="1">
        <f>B57*F57/$M$4*(ROUNDDOWN($Q$4/$M$4,0)/(ROUNDDOWN($Q$4/$M$4,0)+1))</f>
        <v>0.381818181818182</v>
      </c>
      <c r="E57" s="1">
        <f>C57*G57/$M$4*(1/(ROUNDDOWN($Q$4/$M$4,0)+1))</f>
        <v>0.165454545454545</v>
      </c>
      <c r="F57" s="19">
        <v>0.21</v>
      </c>
      <c r="G57" s="19">
        <v>0.21</v>
      </c>
      <c r="H57" s="20">
        <f t="shared" si="6"/>
        <v>0.547272727272727</v>
      </c>
      <c r="I57" s="1">
        <f t="shared" si="10"/>
        <v>1</v>
      </c>
      <c r="J57" s="1">
        <f t="shared" si="7"/>
        <v>5.567296</v>
      </c>
      <c r="K57" s="1">
        <f t="shared" si="8"/>
        <v>0.638338909090909</v>
      </c>
      <c r="L57" s="1">
        <f t="shared" si="9"/>
        <v>0.303012443889825</v>
      </c>
      <c r="O57" s="1"/>
      <c r="Q57" s="2"/>
      <c r="R57" s="2"/>
      <c r="S57" s="2"/>
      <c r="T57" s="2"/>
    </row>
    <row r="58" hidden="1" spans="1:20">
      <c r="A58" s="21" t="s">
        <v>99</v>
      </c>
      <c r="B58" s="1">
        <v>3</v>
      </c>
      <c r="C58" s="1">
        <v>26</v>
      </c>
      <c r="D58" s="1">
        <f>B58*F58/$M$4*(ROUNDDOWN($Q$4/$M$4,0)/(ROUNDDOWN($Q$4/$M$4,0)+1))</f>
        <v>0.381818181818182</v>
      </c>
      <c r="E58" s="1">
        <f>C58*G58/$M$4*(1/(ROUNDDOWN($Q$4/$M$4,0)+1))</f>
        <v>0.330909090909091</v>
      </c>
      <c r="F58" s="19">
        <v>0.21</v>
      </c>
      <c r="G58" s="19">
        <v>0.21</v>
      </c>
      <c r="H58" s="20">
        <f t="shared" si="6"/>
        <v>0.712727272727273</v>
      </c>
      <c r="I58" s="1">
        <f t="shared" si="10"/>
        <v>1</v>
      </c>
      <c r="J58" s="1">
        <f t="shared" si="7"/>
        <v>7.250432</v>
      </c>
      <c r="K58" s="1">
        <f t="shared" si="8"/>
        <v>0.831325090909091</v>
      </c>
      <c r="L58" s="1">
        <f t="shared" si="9"/>
        <v>0.3796875</v>
      </c>
      <c r="O58" s="1"/>
      <c r="Q58" s="2"/>
      <c r="R58" s="2"/>
      <c r="S58" s="2"/>
      <c r="T58" s="2"/>
    </row>
    <row r="59" hidden="1" spans="1:20">
      <c r="A59" s="21" t="s">
        <v>152</v>
      </c>
      <c r="B59" s="1">
        <v>3</v>
      </c>
      <c r="C59" s="1">
        <v>26</v>
      </c>
      <c r="D59" s="1">
        <f>B59*F59/$M$4*(ROUNDDOWN($Q$4/$M$4,0)/(ROUNDDOWN($Q$4/$M$4,0)+1))</f>
        <v>0.490909090909091</v>
      </c>
      <c r="E59" s="1">
        <f>C59*G59/$M$4*(1/(ROUNDDOWN($Q$4/$M$4,0)+1))</f>
        <v>0.425454545454546</v>
      </c>
      <c r="F59" s="19">
        <v>0.27</v>
      </c>
      <c r="G59" s="19">
        <v>0.27</v>
      </c>
      <c r="H59" s="20">
        <f t="shared" si="6"/>
        <v>0.916363636363636</v>
      </c>
      <c r="I59" s="1">
        <f t="shared" si="10"/>
        <v>1</v>
      </c>
      <c r="J59" s="1">
        <f t="shared" si="7"/>
        <v>9.321984</v>
      </c>
      <c r="K59" s="1">
        <f t="shared" si="8"/>
        <v>1.06884654545455</v>
      </c>
      <c r="L59" s="1">
        <f t="shared" si="9"/>
        <v>0.3796875</v>
      </c>
      <c r="O59" s="1"/>
      <c r="Q59" s="2"/>
      <c r="R59" s="2"/>
      <c r="S59" s="2"/>
      <c r="T59" s="2"/>
    </row>
    <row r="60" hidden="1" spans="1:20">
      <c r="A60" s="1" t="s">
        <v>153</v>
      </c>
      <c r="B60" s="1">
        <v>3</v>
      </c>
      <c r="C60" s="1">
        <v>26</v>
      </c>
      <c r="D60" s="1">
        <f>B60*F60/$M$4*(ROUNDDOWN($Q$4/$M$4,0)/(ROUNDDOWN($Q$4/$M$4,0)+1))</f>
        <v>0.490909090909091</v>
      </c>
      <c r="E60" s="1">
        <f>C60*G60/$M$4*(1/(ROUNDDOWN($Q$4/$M$4,0)+1))</f>
        <v>0.425454545454546</v>
      </c>
      <c r="F60" s="19">
        <v>0.27</v>
      </c>
      <c r="G60" s="19">
        <v>0.27</v>
      </c>
      <c r="H60" s="20">
        <f t="shared" si="6"/>
        <v>0.916363636363636</v>
      </c>
      <c r="I60" s="1">
        <f t="shared" si="10"/>
        <v>1</v>
      </c>
      <c r="J60" s="1">
        <f t="shared" si="7"/>
        <v>9.321984</v>
      </c>
      <c r="K60" s="1">
        <f t="shared" si="8"/>
        <v>1.06884654545455</v>
      </c>
      <c r="L60" s="1">
        <f t="shared" si="9"/>
        <v>0.3796875</v>
      </c>
      <c r="O60" s="1"/>
      <c r="Q60" s="2"/>
      <c r="R60" s="2"/>
      <c r="S60" s="2"/>
      <c r="T60" s="2"/>
    </row>
    <row r="61" hidden="1" spans="1:20">
      <c r="A61" s="1" t="s">
        <v>154</v>
      </c>
      <c r="B61" s="1">
        <v>3</v>
      </c>
      <c r="C61" s="1">
        <v>30</v>
      </c>
      <c r="D61" s="1">
        <f>B61*F61/$M$4*(ROUNDDOWN($Q$4/$M$4,0)/(ROUNDDOWN($Q$4/$M$4,0)+1))</f>
        <v>0.490909090909091</v>
      </c>
      <c r="E61" s="1">
        <f>C61*G61/$M$4*(1/(ROUNDDOWN($Q$4/$M$4,0)+1))</f>
        <v>0.490909090909091</v>
      </c>
      <c r="F61" s="19">
        <v>0.27</v>
      </c>
      <c r="G61" s="19">
        <v>0.27</v>
      </c>
      <c r="H61" s="20">
        <f t="shared" si="6"/>
        <v>0.981818181818182</v>
      </c>
      <c r="I61" s="1">
        <f t="shared" si="10"/>
        <v>1</v>
      </c>
      <c r="J61" s="1">
        <f t="shared" si="7"/>
        <v>9.98784</v>
      </c>
      <c r="K61" s="1">
        <f t="shared" si="8"/>
        <v>1.14519272727273</v>
      </c>
      <c r="L61" s="1">
        <f t="shared" si="9"/>
        <v>0.3796875</v>
      </c>
      <c r="O61" s="1"/>
      <c r="Q61" s="2"/>
      <c r="R61" s="2"/>
      <c r="S61" s="2"/>
      <c r="T61" s="2"/>
    </row>
    <row r="62" hidden="1" spans="1:20">
      <c r="A62" s="1" t="s">
        <v>100</v>
      </c>
      <c r="B62" s="1">
        <v>3</v>
      </c>
      <c r="C62" s="1">
        <v>30</v>
      </c>
      <c r="D62" s="1">
        <f>B62*F62/$M$4*(ROUNDDOWN($Q$4/$M$4,0)/(ROUNDDOWN($Q$4/$M$4,0)+1))</f>
        <v>0.490909090909091</v>
      </c>
      <c r="E62" s="1">
        <f>C62*G62/$M$4*(1/(ROUNDDOWN($Q$4/$M$4,0)+1))</f>
        <v>0.490909090909091</v>
      </c>
      <c r="F62" s="19">
        <v>0.27</v>
      </c>
      <c r="G62" s="19">
        <v>0.27</v>
      </c>
      <c r="H62" s="20">
        <f t="shared" si="6"/>
        <v>0.981818181818182</v>
      </c>
      <c r="I62" s="1">
        <f t="shared" si="10"/>
        <v>1</v>
      </c>
      <c r="J62" s="1">
        <f t="shared" si="7"/>
        <v>9.98784</v>
      </c>
      <c r="K62" s="1">
        <f t="shared" si="8"/>
        <v>1.14519272727273</v>
      </c>
      <c r="L62" s="1">
        <f t="shared" si="9"/>
        <v>0.3796875</v>
      </c>
      <c r="O62" s="1"/>
      <c r="Q62" s="2"/>
      <c r="R62" s="2"/>
      <c r="S62" s="2"/>
      <c r="T62" s="2"/>
    </row>
    <row r="63" hidden="1" spans="1:20">
      <c r="A63" s="21" t="s">
        <v>155</v>
      </c>
      <c r="B63" s="1">
        <v>3</v>
      </c>
      <c r="C63" s="1">
        <v>30</v>
      </c>
      <c r="D63" s="1">
        <f>B63*F63/$M$4*(ROUNDDOWN($Q$4/$M$4,0)/(ROUNDDOWN($Q$4/$M$4,0)+1))</f>
        <v>0.490909090909091</v>
      </c>
      <c r="E63" s="1">
        <f>C63*G63/$M$4*(1/(ROUNDDOWN($Q$4/$M$4,0)+1))</f>
        <v>0.490909090909091</v>
      </c>
      <c r="F63" s="19">
        <v>0.27</v>
      </c>
      <c r="G63" s="19">
        <v>0.27</v>
      </c>
      <c r="H63" s="20">
        <f t="shared" si="6"/>
        <v>0.981818181818182</v>
      </c>
      <c r="I63" s="1">
        <f t="shared" si="10"/>
        <v>1</v>
      </c>
      <c r="J63" s="1">
        <f t="shared" si="7"/>
        <v>9.98784</v>
      </c>
      <c r="K63" s="1">
        <f t="shared" si="8"/>
        <v>1.14519272727273</v>
      </c>
      <c r="L63" s="1">
        <f t="shared" si="9"/>
        <v>0.3796875</v>
      </c>
      <c r="O63" s="1"/>
      <c r="Q63" s="2"/>
      <c r="R63" s="2"/>
      <c r="S63" s="2"/>
      <c r="T63" s="2"/>
    </row>
    <row r="64" hidden="1" spans="1:20">
      <c r="A64" s="1" t="s">
        <v>156</v>
      </c>
      <c r="B64" s="1">
        <v>3</v>
      </c>
      <c r="C64" s="1">
        <v>30</v>
      </c>
      <c r="D64" s="1">
        <f>B64*F64/$M$4*(ROUNDDOWN($Q$4/$M$4,0)/(ROUNDDOWN($Q$4/$M$4,0)+1))</f>
        <v>0.490909090909091</v>
      </c>
      <c r="E64" s="1">
        <f>C64*G64/$M$4*(1/(ROUNDDOWN($Q$4/$M$4,0)+1))</f>
        <v>0.490909090909091</v>
      </c>
      <c r="F64" s="19">
        <v>0.27</v>
      </c>
      <c r="G64" s="19">
        <v>0.27</v>
      </c>
      <c r="H64" s="20">
        <f t="shared" si="6"/>
        <v>0.981818181818182</v>
      </c>
      <c r="I64" s="1">
        <f t="shared" si="10"/>
        <v>1</v>
      </c>
      <c r="J64" s="1">
        <f t="shared" si="7"/>
        <v>9.98784</v>
      </c>
      <c r="K64" s="1">
        <f t="shared" si="8"/>
        <v>1.14519272727273</v>
      </c>
      <c r="L64" s="1">
        <f t="shared" si="9"/>
        <v>0.3796875</v>
      </c>
      <c r="O64" s="1"/>
      <c r="Q64" s="2"/>
      <c r="R64" s="2"/>
      <c r="S64" s="2"/>
      <c r="T64" s="2"/>
    </row>
    <row r="65" hidden="1" spans="1:20">
      <c r="A65" s="1" t="s">
        <v>157</v>
      </c>
      <c r="B65" s="1">
        <v>3</v>
      </c>
      <c r="C65" s="1">
        <v>30</v>
      </c>
      <c r="D65" s="1">
        <f>B65*F65/$M$4*(ROUNDDOWN($Q$4/$M$4,0)/(ROUNDDOWN($Q$4/$M$4,0)+1))</f>
        <v>0.490909090909091</v>
      </c>
      <c r="E65" s="1">
        <f>C65*G65/$M$4*(1/(ROUNDDOWN($Q$4/$M$4,0)+1))</f>
        <v>0.490909090909091</v>
      </c>
      <c r="F65" s="19">
        <v>0.27</v>
      </c>
      <c r="G65" s="19">
        <v>0.27</v>
      </c>
      <c r="H65" s="20">
        <f t="shared" si="6"/>
        <v>0.981818181818182</v>
      </c>
      <c r="I65" s="1">
        <f t="shared" si="10"/>
        <v>1</v>
      </c>
      <c r="J65" s="1">
        <f t="shared" si="7"/>
        <v>9.98784</v>
      </c>
      <c r="K65" s="1">
        <f t="shared" si="8"/>
        <v>1.14519272727273</v>
      </c>
      <c r="L65" s="1">
        <f t="shared" si="9"/>
        <v>0.3796875</v>
      </c>
      <c r="O65" s="1"/>
      <c r="Q65" s="2"/>
      <c r="R65" s="2"/>
      <c r="S65" s="2"/>
      <c r="T65" s="2"/>
    </row>
    <row r="66" hidden="1" spans="1:20">
      <c r="A66" s="1" t="s">
        <v>101</v>
      </c>
      <c r="B66" s="1">
        <v>3</v>
      </c>
      <c r="C66" s="1">
        <v>30</v>
      </c>
      <c r="D66" s="1">
        <f>B66*F66/$M$4*(ROUNDDOWN($Q$4/$M$4,0)/(ROUNDDOWN($Q$4/$M$4,0)+1))</f>
        <v>0.490909090909091</v>
      </c>
      <c r="E66" s="1">
        <f>C66*G66/$M$4*(1/(ROUNDDOWN($Q$4/$M$4,0)+1))</f>
        <v>0.490909090909091</v>
      </c>
      <c r="F66" s="19">
        <v>0.27</v>
      </c>
      <c r="G66" s="19">
        <v>0.27</v>
      </c>
      <c r="H66" s="20">
        <f t="shared" si="6"/>
        <v>0.981818181818182</v>
      </c>
      <c r="I66" s="1">
        <f t="shared" si="10"/>
        <v>1</v>
      </c>
      <c r="J66" s="1">
        <f t="shared" si="7"/>
        <v>9.98784</v>
      </c>
      <c r="K66" s="1">
        <f t="shared" si="8"/>
        <v>1.14519272727273</v>
      </c>
      <c r="L66" s="1">
        <f t="shared" si="9"/>
        <v>0.3796875</v>
      </c>
      <c r="O66" s="1"/>
      <c r="Q66" s="2"/>
      <c r="R66" s="2"/>
      <c r="S66" s="2"/>
      <c r="T66" s="2"/>
    </row>
    <row r="67" spans="12:20">
      <c r="L67" s="2">
        <f>L73/L82</f>
        <v>0.554918152403094</v>
      </c>
      <c r="M67" s="2">
        <f>M73/M83</f>
        <v>0.802824096515681</v>
      </c>
      <c r="O67" s="1"/>
      <c r="Q67" s="2"/>
      <c r="R67" s="2"/>
      <c r="S67" s="2"/>
      <c r="T67" s="2"/>
    </row>
    <row r="68" spans="1:20">
      <c r="A68" s="1" t="s">
        <v>65</v>
      </c>
      <c r="B68" s="1" t="s">
        <v>110</v>
      </c>
      <c r="C68" s="1" t="s">
        <v>85</v>
      </c>
      <c r="D68" s="1" t="s">
        <v>86</v>
      </c>
      <c r="E68" s="1" t="s">
        <v>87</v>
      </c>
      <c r="F68" s="2" t="s">
        <v>88</v>
      </c>
      <c r="G68" s="2" t="s">
        <v>89</v>
      </c>
      <c r="H68" s="1" t="s">
        <v>111</v>
      </c>
      <c r="I68" s="1" t="s">
        <v>112</v>
      </c>
      <c r="J68" s="1" t="s">
        <v>91</v>
      </c>
      <c r="K68" s="1" t="s">
        <v>92</v>
      </c>
      <c r="L68" s="1" t="s">
        <v>93</v>
      </c>
      <c r="M68" s="1" t="s">
        <v>94</v>
      </c>
      <c r="O68" s="1"/>
      <c r="Q68" s="2"/>
      <c r="R68" s="2"/>
      <c r="S68" s="2"/>
      <c r="T68" s="2"/>
    </row>
    <row r="69" spans="1:20">
      <c r="A69" s="1" t="s">
        <v>113</v>
      </c>
      <c r="B69" s="28">
        <v>3</v>
      </c>
      <c r="C69" s="28">
        <v>14</v>
      </c>
      <c r="D69" s="1">
        <f>(B69*F69/$M$3*(ROUNDDOWN($Q$3/$M$3,0)/(ROUNDDOWN($Q$3/$M$3,0)+1)))</f>
        <v>0</v>
      </c>
      <c r="E69" s="1">
        <f>C69*G69/$M$4*(1/(ROUNDDOWN($Q$4/$M$4,0)+1))</f>
        <v>0</v>
      </c>
      <c r="F69" s="29">
        <v>0</v>
      </c>
      <c r="G69" s="29">
        <v>0</v>
      </c>
      <c r="H69" s="1" t="e">
        <f t="shared" ref="H69:H83" si="11">H52/SUM(D69,E69)</f>
        <v>#DIV/0!</v>
      </c>
      <c r="I69" s="1" t="e">
        <f t="shared" ref="I69:I83" si="12">H69/$V$24</f>
        <v>#DIV/0!</v>
      </c>
      <c r="J69" s="1">
        <v>1.25</v>
      </c>
      <c r="K69" s="1">
        <f t="shared" ref="K69:K83" si="13">SUM(D69,E69)*$U$24*J69</f>
        <v>0</v>
      </c>
      <c r="L69" s="31">
        <f t="shared" ref="L69:L83" si="14">SUM(D69,E69)*$E$17*$B$16/20</f>
        <v>0</v>
      </c>
      <c r="M69" s="31">
        <f t="shared" ref="M69:M83" si="15">MIN(SUM(D69:E69)*$E$33*12/20*(1+$B$33)^$F$31,6*(1+$B$33)^4/20/4)</f>
        <v>0</v>
      </c>
      <c r="O69" s="1"/>
      <c r="Q69" s="2"/>
      <c r="R69" s="2"/>
      <c r="S69" s="2"/>
      <c r="T69" s="2"/>
    </row>
    <row r="70" spans="1:20">
      <c r="A70" s="1" t="s">
        <v>114</v>
      </c>
      <c r="B70" s="28">
        <v>3</v>
      </c>
      <c r="C70" s="28">
        <v>14</v>
      </c>
      <c r="D70" s="1">
        <f>(B70*F70/$M$3*(ROUNDDOWN($Q$3/$M$3,0)/(ROUNDDOWN($Q$3/$M$3,0)+1)))</f>
        <v>0.261728395061728</v>
      </c>
      <c r="E70" s="1">
        <f>C70*G70/$M$4*(1/(ROUNDDOWN($Q$4/$M$4,0)+1))</f>
        <v>0</v>
      </c>
      <c r="F70" s="29">
        <v>0.265</v>
      </c>
      <c r="G70" s="29">
        <v>0</v>
      </c>
      <c r="H70" s="1">
        <f t="shared" si="11"/>
        <v>1.45883361921098</v>
      </c>
      <c r="I70" s="1">
        <f t="shared" si="12"/>
        <v>1.65563077935844</v>
      </c>
      <c r="J70" s="1">
        <f t="shared" ref="J70:J83" si="16">$J$69</f>
        <v>1.25</v>
      </c>
      <c r="K70" s="1">
        <f t="shared" si="13"/>
        <v>2.93253789463941</v>
      </c>
      <c r="L70" s="31">
        <f t="shared" si="14"/>
        <v>0.229736435439561</v>
      </c>
      <c r="M70" s="31">
        <f t="shared" si="15"/>
        <v>0.161152922989798</v>
      </c>
      <c r="O70" s="1"/>
      <c r="Q70" s="2"/>
      <c r="R70" s="2"/>
      <c r="S70" s="2"/>
      <c r="T70" s="2"/>
    </row>
    <row r="71" spans="1:20">
      <c r="A71" s="1" t="s">
        <v>115</v>
      </c>
      <c r="B71" s="28">
        <v>3</v>
      </c>
      <c r="C71" s="28">
        <v>14</v>
      </c>
      <c r="D71" s="1">
        <f>(B71*F71/$M$3*(ROUNDDOWN($Q$3/$M$3,0)/(ROUNDDOWN($Q$3/$M$3,0)+1)))</f>
        <v>0.261728395061728</v>
      </c>
      <c r="E71" s="1">
        <f>C71*G71/$M$4*(1/(ROUNDDOWN($Q$4/$M$4,0)+1))</f>
        <v>0</v>
      </c>
      <c r="F71" s="29">
        <v>0.265</v>
      </c>
      <c r="G71" s="29">
        <v>0</v>
      </c>
      <c r="H71" s="1">
        <f t="shared" si="11"/>
        <v>1.45883361921098</v>
      </c>
      <c r="I71" s="1">
        <f t="shared" si="12"/>
        <v>1.65563077935844</v>
      </c>
      <c r="J71" s="1">
        <f t="shared" si="16"/>
        <v>1.25</v>
      </c>
      <c r="K71" s="1">
        <f t="shared" si="13"/>
        <v>2.93253789463941</v>
      </c>
      <c r="L71" s="31">
        <f t="shared" si="14"/>
        <v>0.229736435439561</v>
      </c>
      <c r="M71" s="31">
        <f t="shared" si="15"/>
        <v>0.161152922989798</v>
      </c>
      <c r="O71" s="1"/>
      <c r="Q71" s="2"/>
      <c r="R71" s="2"/>
      <c r="S71" s="2"/>
      <c r="T71" s="2"/>
    </row>
    <row r="72" spans="1:20">
      <c r="A72" s="1" t="s">
        <v>116</v>
      </c>
      <c r="B72" s="28">
        <v>3</v>
      </c>
      <c r="C72" s="28">
        <v>14</v>
      </c>
      <c r="D72" s="1">
        <f>(B72*F72/$M$3*(ROUNDDOWN($Q$3/$M$3,0)/(ROUNDDOWN($Q$3/$M$3,0)+1)))</f>
        <v>0.261728395061728</v>
      </c>
      <c r="E72" s="1">
        <f>C72*G72/$M$4*(1/(ROUNDDOWN($Q$4/$M$4,0)+1))</f>
        <v>0.233333333333333</v>
      </c>
      <c r="F72" s="29">
        <v>0.265</v>
      </c>
      <c r="G72" s="29">
        <v>0.275</v>
      </c>
      <c r="H72" s="1">
        <f t="shared" si="11"/>
        <v>1.10546361369304</v>
      </c>
      <c r="I72" s="1">
        <f t="shared" si="12"/>
        <v>1.25459103779148</v>
      </c>
      <c r="J72" s="1">
        <f t="shared" si="16"/>
        <v>1.25</v>
      </c>
      <c r="K72" s="1">
        <f t="shared" si="13"/>
        <v>5.54692309316228</v>
      </c>
      <c r="L72" s="31">
        <f t="shared" si="14"/>
        <v>0.434548634958792</v>
      </c>
      <c r="M72" s="31">
        <f t="shared" si="15"/>
        <v>0.304822274145798</v>
      </c>
      <c r="O72" s="1"/>
      <c r="Q72" s="2"/>
      <c r="R72" s="2"/>
      <c r="S72" s="2"/>
      <c r="T72" s="2"/>
    </row>
    <row r="73" spans="1:22">
      <c r="A73" s="1" t="s">
        <v>158</v>
      </c>
      <c r="B73" s="28">
        <v>3</v>
      </c>
      <c r="C73" s="28">
        <v>14</v>
      </c>
      <c r="D73" s="1">
        <f>(B73*F73/$M$3*(ROUNDDOWN($Q$3/$M$3,0)/(ROUNDDOWN($Q$3/$M$3,0)+1)))</f>
        <v>0.261728395061728</v>
      </c>
      <c r="E73" s="1">
        <f>C73*G73/$M$4*(1/(ROUNDDOWN($Q$4/$M$4,0)+1))</f>
        <v>0.233333333333333</v>
      </c>
      <c r="F73" s="29">
        <v>0.265</v>
      </c>
      <c r="G73" s="29">
        <v>0.275</v>
      </c>
      <c r="H73" s="1">
        <f t="shared" si="11"/>
        <v>1.10546361369304</v>
      </c>
      <c r="I73" s="1">
        <f t="shared" si="12"/>
        <v>1.25459103779148</v>
      </c>
      <c r="J73" s="1">
        <f t="shared" si="16"/>
        <v>1.25</v>
      </c>
      <c r="K73" s="1">
        <f t="shared" si="13"/>
        <v>5.54692309316228</v>
      </c>
      <c r="L73" s="31">
        <f t="shared" si="14"/>
        <v>0.434548634958792</v>
      </c>
      <c r="M73" s="31">
        <f t="shared" si="15"/>
        <v>0.304822274145798</v>
      </c>
      <c r="Q73" s="2"/>
      <c r="R73" s="2"/>
      <c r="S73" s="30"/>
      <c r="T73" s="2"/>
      <c r="V73" s="2"/>
    </row>
    <row r="74" spans="1:22">
      <c r="A74" s="1" t="s">
        <v>159</v>
      </c>
      <c r="B74" s="28">
        <v>3</v>
      </c>
      <c r="C74" s="28">
        <v>14</v>
      </c>
      <c r="D74" s="1">
        <f>(B74*F74/$M$3*(ROUNDDOWN($Q$3/$M$3,0)/(ROUNDDOWN($Q$3/$M$3,0)+1)))</f>
        <v>0.261728395061728</v>
      </c>
      <c r="E74" s="1">
        <f>C74*G74/$M$4*(1/(ROUNDDOWN($Q$4/$M$4,0)+1))</f>
        <v>0.233333333333333</v>
      </c>
      <c r="F74" s="29">
        <v>0.265</v>
      </c>
      <c r="G74" s="29">
        <v>0.275</v>
      </c>
      <c r="H74" s="1">
        <f t="shared" si="11"/>
        <v>1.10546361369304</v>
      </c>
      <c r="I74" s="1">
        <f t="shared" si="12"/>
        <v>1.25459103779148</v>
      </c>
      <c r="J74" s="1">
        <f t="shared" si="16"/>
        <v>1.25</v>
      </c>
      <c r="K74" s="1">
        <f t="shared" si="13"/>
        <v>5.54692309316228</v>
      </c>
      <c r="L74" s="31">
        <f t="shared" si="14"/>
        <v>0.434548634958792</v>
      </c>
      <c r="M74" s="31">
        <f t="shared" si="15"/>
        <v>0.304822274145798</v>
      </c>
      <c r="O74" s="1"/>
      <c r="Q74" s="2"/>
      <c r="R74" s="2"/>
      <c r="S74" s="2"/>
      <c r="T74" s="2"/>
      <c r="U74" s="2"/>
      <c r="V74" s="2"/>
    </row>
    <row r="75" spans="1:22">
      <c r="A75" s="1" t="s">
        <v>117</v>
      </c>
      <c r="B75" s="28">
        <v>4</v>
      </c>
      <c r="C75" s="28">
        <v>14</v>
      </c>
      <c r="D75" s="1">
        <f>(B75*F75/$M$3*(ROUNDDOWN($Q$3/$M$3,0)/(ROUNDDOWN($Q$3/$M$3,0)+1)))</f>
        <v>0.348971193415638</v>
      </c>
      <c r="E75" s="1">
        <f>C75*G75/$M$4*(1/(ROUNDDOWN($Q$4/$M$4,0)+1))</f>
        <v>0.233333333333333</v>
      </c>
      <c r="F75" s="29">
        <v>0.265</v>
      </c>
      <c r="G75" s="29">
        <v>0.275</v>
      </c>
      <c r="H75" s="1">
        <f t="shared" si="11"/>
        <v>1.22397687118535</v>
      </c>
      <c r="I75" s="1">
        <f t="shared" si="12"/>
        <v>1.38909177473805</v>
      </c>
      <c r="J75" s="1">
        <f t="shared" si="16"/>
        <v>1.25</v>
      </c>
      <c r="K75" s="1">
        <f t="shared" si="13"/>
        <v>6.52443572470875</v>
      </c>
      <c r="L75" s="31">
        <f t="shared" si="14"/>
        <v>0.511127446771979</v>
      </c>
      <c r="M75" s="31">
        <f t="shared" si="15"/>
        <v>0.358539915142397</v>
      </c>
      <c r="O75" s="1"/>
      <c r="Q75" s="2"/>
      <c r="R75" s="2"/>
      <c r="S75" s="2"/>
      <c r="T75" s="2"/>
      <c r="V75" s="2"/>
    </row>
    <row r="76" spans="1:22">
      <c r="A76" s="1" t="s">
        <v>160</v>
      </c>
      <c r="B76" s="28">
        <v>4</v>
      </c>
      <c r="C76" s="28">
        <v>14</v>
      </c>
      <c r="D76" s="1">
        <f>(B76*F76/$M$3*(ROUNDDOWN($Q$3/$M$3,0)/(ROUNDDOWN($Q$3/$M$3,0)+1)))</f>
        <v>0.580740740740741</v>
      </c>
      <c r="E76" s="1">
        <f>C76*G76/$M$4*(1/(ROUNDDOWN($Q$4/$M$4,0)+1))</f>
        <v>0.311393939393939</v>
      </c>
      <c r="F76" s="29">
        <v>0.441</v>
      </c>
      <c r="G76" s="29">
        <v>0.367</v>
      </c>
      <c r="H76" s="1">
        <f t="shared" si="11"/>
        <v>1.02715840642502</v>
      </c>
      <c r="I76" s="1">
        <f t="shared" si="12"/>
        <v>1.16572243096085</v>
      </c>
      <c r="J76" s="1">
        <f t="shared" si="16"/>
        <v>1.25</v>
      </c>
      <c r="K76" s="1">
        <f t="shared" si="13"/>
        <v>9.99593015499875</v>
      </c>
      <c r="L76" s="31">
        <f t="shared" si="14"/>
        <v>0.783085997596155</v>
      </c>
      <c r="M76" s="31">
        <f t="shared" si="15"/>
        <v>0.3796875</v>
      </c>
      <c r="O76" s="1"/>
      <c r="Q76" s="2"/>
      <c r="R76" s="2"/>
      <c r="S76" s="2"/>
      <c r="T76" s="2"/>
      <c r="V76" s="2"/>
    </row>
    <row r="77" spans="1:22">
      <c r="A77" s="1" t="s">
        <v>161</v>
      </c>
      <c r="B77" s="28">
        <v>4</v>
      </c>
      <c r="C77" s="28">
        <v>14</v>
      </c>
      <c r="D77" s="1">
        <f>(B77*F77/$M$3*(ROUNDDOWN($Q$3/$M$3,0)/(ROUNDDOWN($Q$3/$M$3,0)+1)))</f>
        <v>0.580740740740741</v>
      </c>
      <c r="E77" s="1">
        <f>C77*G77/$M$4*(1/(ROUNDDOWN($Q$4/$M$4,0)+1))</f>
        <v>0.311393939393939</v>
      </c>
      <c r="F77" s="29">
        <v>0.441</v>
      </c>
      <c r="G77" s="29">
        <v>0.367</v>
      </c>
      <c r="H77" s="1">
        <f t="shared" si="11"/>
        <v>1.02715840642502</v>
      </c>
      <c r="I77" s="1">
        <f t="shared" si="12"/>
        <v>1.16572243096085</v>
      </c>
      <c r="J77" s="1">
        <f t="shared" si="16"/>
        <v>1.25</v>
      </c>
      <c r="K77" s="1">
        <f t="shared" si="13"/>
        <v>9.99593015499875</v>
      </c>
      <c r="L77" s="31">
        <f t="shared" si="14"/>
        <v>0.783085997596155</v>
      </c>
      <c r="M77" s="31">
        <f t="shared" si="15"/>
        <v>0.3796875</v>
      </c>
      <c r="O77" s="1"/>
      <c r="Q77" s="2"/>
      <c r="R77" s="2"/>
      <c r="S77" s="2"/>
      <c r="T77" s="2"/>
      <c r="V77" s="2"/>
    </row>
    <row r="78" spans="1:22">
      <c r="A78" s="1" t="s">
        <v>162</v>
      </c>
      <c r="B78" s="28">
        <v>4</v>
      </c>
      <c r="C78" s="28">
        <v>14</v>
      </c>
      <c r="D78" s="1">
        <f>(B78*F78/$M$3*(ROUNDDOWN($Q$3/$M$3,0)/(ROUNDDOWN($Q$3/$M$3,0)+1)))</f>
        <v>0.580740740740741</v>
      </c>
      <c r="E78" s="1">
        <f>C78*G78/$M$4*(1/(ROUNDDOWN($Q$4/$M$4,0)+1))</f>
        <v>0.311393939393939</v>
      </c>
      <c r="F78" s="29">
        <v>0.441</v>
      </c>
      <c r="G78" s="29">
        <v>0.367</v>
      </c>
      <c r="H78" s="1">
        <f t="shared" si="11"/>
        <v>1.10052686402681</v>
      </c>
      <c r="I78" s="1">
        <f t="shared" si="12"/>
        <v>1.24898831888662</v>
      </c>
      <c r="J78" s="1">
        <f t="shared" si="16"/>
        <v>1.25</v>
      </c>
      <c r="K78" s="1">
        <f t="shared" si="13"/>
        <v>9.99593015499875</v>
      </c>
      <c r="L78" s="31">
        <f t="shared" si="14"/>
        <v>0.783085997596155</v>
      </c>
      <c r="M78" s="31">
        <f t="shared" si="15"/>
        <v>0.3796875</v>
      </c>
      <c r="O78" s="1"/>
      <c r="Q78" s="2"/>
      <c r="R78" s="2"/>
      <c r="S78" s="2"/>
      <c r="T78" s="2"/>
      <c r="V78" s="2"/>
    </row>
    <row r="79" spans="1:22">
      <c r="A79" s="1" t="s">
        <v>118</v>
      </c>
      <c r="B79" s="28">
        <v>4</v>
      </c>
      <c r="C79" s="28">
        <v>14</v>
      </c>
      <c r="D79" s="1">
        <f>(B79*F79/$M$3*(ROUNDDOWN($Q$3/$M$3,0)/(ROUNDDOWN($Q$3/$M$3,0)+1)))</f>
        <v>0.580740740740741</v>
      </c>
      <c r="E79" s="1">
        <f>C79*G79/$M$4*(1/(ROUNDDOWN($Q$4/$M$4,0)+1))</f>
        <v>0.311393939393939</v>
      </c>
      <c r="F79" s="29">
        <v>0.441</v>
      </c>
      <c r="G79" s="29">
        <v>0.367</v>
      </c>
      <c r="H79" s="1">
        <f t="shared" si="11"/>
        <v>1.10052686402681</v>
      </c>
      <c r="I79" s="1">
        <f t="shared" si="12"/>
        <v>1.24898831888662</v>
      </c>
      <c r="J79" s="1">
        <f t="shared" si="16"/>
        <v>1.25</v>
      </c>
      <c r="K79" s="1">
        <f t="shared" si="13"/>
        <v>9.99593015499875</v>
      </c>
      <c r="L79" s="31">
        <f t="shared" si="14"/>
        <v>0.783085997596155</v>
      </c>
      <c r="M79" s="31">
        <f t="shared" si="15"/>
        <v>0.3796875</v>
      </c>
      <c r="O79" s="1"/>
      <c r="Q79" s="2"/>
      <c r="R79" s="2"/>
      <c r="S79" s="2"/>
      <c r="T79" s="2"/>
      <c r="V79" s="2"/>
    </row>
    <row r="80" spans="1:22">
      <c r="A80" s="1" t="s">
        <v>163</v>
      </c>
      <c r="B80" s="28">
        <v>4</v>
      </c>
      <c r="C80" s="28">
        <v>14</v>
      </c>
      <c r="D80" s="1">
        <f>(B80*F80/$M$3*(ROUNDDOWN($Q$3/$M$3,0)/(ROUNDDOWN($Q$3/$M$3,0)+1)))</f>
        <v>0.580740740740741</v>
      </c>
      <c r="E80" s="1">
        <f>C80*G80/$M$4*(1/(ROUNDDOWN($Q$4/$M$4,0)+1))</f>
        <v>0.311393939393939</v>
      </c>
      <c r="F80" s="29">
        <v>0.441</v>
      </c>
      <c r="G80" s="29">
        <v>0.367</v>
      </c>
      <c r="H80" s="1">
        <f t="shared" si="11"/>
        <v>1.10052686402681</v>
      </c>
      <c r="I80" s="1">
        <f t="shared" si="12"/>
        <v>1.24898831888662</v>
      </c>
      <c r="J80" s="1">
        <f t="shared" si="16"/>
        <v>1.25</v>
      </c>
      <c r="K80" s="1">
        <f t="shared" si="13"/>
        <v>9.99593015499875</v>
      </c>
      <c r="L80" s="31">
        <f t="shared" si="14"/>
        <v>0.783085997596155</v>
      </c>
      <c r="M80" s="31">
        <f t="shared" si="15"/>
        <v>0.3796875</v>
      </c>
      <c r="O80" s="1"/>
      <c r="Q80" s="2"/>
      <c r="R80" s="2"/>
      <c r="S80" s="2"/>
      <c r="T80" s="2"/>
      <c r="V80" s="2"/>
    </row>
    <row r="81" spans="1:22">
      <c r="A81" s="1" t="s">
        <v>164</v>
      </c>
      <c r="B81" s="28">
        <v>4</v>
      </c>
      <c r="C81" s="28">
        <v>14</v>
      </c>
      <c r="D81" s="1">
        <f>(B81*F81/$M$3*(ROUNDDOWN($Q$3/$M$3,0)/(ROUNDDOWN($Q$3/$M$3,0)+1)))</f>
        <v>0.580740740740741</v>
      </c>
      <c r="E81" s="1">
        <f>C81*G81/$M$4*(1/(ROUNDDOWN($Q$4/$M$4,0)+1))</f>
        <v>0.311393939393939</v>
      </c>
      <c r="F81" s="29">
        <v>0.441</v>
      </c>
      <c r="G81" s="29">
        <v>0.367</v>
      </c>
      <c r="H81" s="1">
        <f t="shared" si="11"/>
        <v>1.10052686402681</v>
      </c>
      <c r="I81" s="1">
        <f t="shared" si="12"/>
        <v>1.24898831888662</v>
      </c>
      <c r="J81" s="1">
        <f t="shared" si="16"/>
        <v>1.25</v>
      </c>
      <c r="K81" s="1">
        <f t="shared" si="13"/>
        <v>9.99593015499875</v>
      </c>
      <c r="L81" s="31">
        <f t="shared" si="14"/>
        <v>0.783085997596155</v>
      </c>
      <c r="M81" s="31">
        <f t="shared" si="15"/>
        <v>0.3796875</v>
      </c>
      <c r="O81" s="1"/>
      <c r="Q81" s="2"/>
      <c r="R81" s="2"/>
      <c r="S81" s="2"/>
      <c r="T81" s="2"/>
      <c r="V81" s="2"/>
    </row>
    <row r="82" spans="1:22">
      <c r="A82" s="1" t="s">
        <v>165</v>
      </c>
      <c r="B82" s="28">
        <v>4</v>
      </c>
      <c r="C82" s="28">
        <v>14</v>
      </c>
      <c r="D82" s="1">
        <f>(B82*F82/$M$3*(ROUNDDOWN($Q$3/$M$3,0)/(ROUNDDOWN($Q$3/$M$3,0)+1)))</f>
        <v>0.580740740740741</v>
      </c>
      <c r="E82" s="1">
        <f>C82*G82/$M$4*(1/(ROUNDDOWN($Q$4/$M$4,0)+1))</f>
        <v>0.311393939393939</v>
      </c>
      <c r="F82" s="29">
        <v>0.441</v>
      </c>
      <c r="G82" s="29">
        <v>0.367</v>
      </c>
      <c r="H82" s="1">
        <f t="shared" si="11"/>
        <v>1.10052686402681</v>
      </c>
      <c r="I82" s="1">
        <f t="shared" si="12"/>
        <v>1.24898831888662</v>
      </c>
      <c r="J82" s="1">
        <f t="shared" si="16"/>
        <v>1.25</v>
      </c>
      <c r="K82" s="1">
        <f t="shared" si="13"/>
        <v>9.99593015499875</v>
      </c>
      <c r="L82" s="31">
        <f t="shared" si="14"/>
        <v>0.783085997596155</v>
      </c>
      <c r="M82" s="31">
        <f t="shared" si="15"/>
        <v>0.3796875</v>
      </c>
      <c r="O82" s="1"/>
      <c r="Q82" s="2"/>
      <c r="R82" s="2"/>
      <c r="S82" s="2"/>
      <c r="T82" s="2"/>
      <c r="V82" s="2"/>
    </row>
    <row r="83" spans="1:22">
      <c r="A83" s="1" t="s">
        <v>119</v>
      </c>
      <c r="B83" s="28">
        <v>4</v>
      </c>
      <c r="C83" s="28">
        <v>14</v>
      </c>
      <c r="D83" s="1">
        <f>(B83*F83/$M$3*(ROUNDDOWN($Q$3/$M$3,0)/(ROUNDDOWN($Q$3/$M$3,0)+1)))</f>
        <v>0.580740740740741</v>
      </c>
      <c r="E83" s="1">
        <f>C83*G83/$M$4*(1/(ROUNDDOWN($Q$4/$M$4,0)+1))</f>
        <v>0.311393939393939</v>
      </c>
      <c r="F83" s="29">
        <v>0.441</v>
      </c>
      <c r="G83" s="29">
        <v>0.367</v>
      </c>
      <c r="H83" s="1">
        <f t="shared" si="11"/>
        <v>1.10052686402681</v>
      </c>
      <c r="I83" s="1">
        <f t="shared" si="12"/>
        <v>1.24898831888662</v>
      </c>
      <c r="J83" s="1">
        <f t="shared" si="16"/>
        <v>1.25</v>
      </c>
      <c r="K83" s="1">
        <f t="shared" si="13"/>
        <v>9.99593015499875</v>
      </c>
      <c r="L83" s="31">
        <f t="shared" si="14"/>
        <v>0.783085997596155</v>
      </c>
      <c r="M83" s="31">
        <f t="shared" si="15"/>
        <v>0.3796875</v>
      </c>
      <c r="O83" s="1"/>
      <c r="Q83" s="2"/>
      <c r="R83" s="2"/>
      <c r="S83" s="2"/>
      <c r="T83" s="2"/>
      <c r="V83" s="2"/>
    </row>
    <row r="84" hidden="1" spans="13:22">
      <c r="M84" s="2">
        <f>M90/M99</f>
        <v>0.5</v>
      </c>
      <c r="N84" s="2">
        <f>N90/N99</f>
        <v>1</v>
      </c>
      <c r="O84" s="1"/>
      <c r="Q84" s="2"/>
      <c r="R84" s="2"/>
      <c r="S84" s="2"/>
      <c r="T84" s="2"/>
      <c r="V84" s="2"/>
    </row>
    <row r="85" hidden="1" spans="1:22">
      <c r="A85" s="1" t="s">
        <v>74</v>
      </c>
      <c r="B85" s="1" t="s">
        <v>84</v>
      </c>
      <c r="C85" s="1" t="s">
        <v>85</v>
      </c>
      <c r="D85" s="1" t="s">
        <v>86</v>
      </c>
      <c r="E85" s="1" t="s">
        <v>87</v>
      </c>
      <c r="F85" s="2" t="s">
        <v>88</v>
      </c>
      <c r="G85" s="2" t="s">
        <v>89</v>
      </c>
      <c r="H85" s="1" t="s">
        <v>90</v>
      </c>
      <c r="I85" s="1" t="s">
        <v>111</v>
      </c>
      <c r="J85" s="1" t="s">
        <v>112</v>
      </c>
      <c r="K85" s="1" t="s">
        <v>91</v>
      </c>
      <c r="L85" s="1" t="s">
        <v>92</v>
      </c>
      <c r="M85" s="1" t="s">
        <v>93</v>
      </c>
      <c r="N85" s="1" t="s">
        <v>94</v>
      </c>
      <c r="O85" s="1"/>
      <c r="Q85" s="2"/>
      <c r="R85" s="2"/>
      <c r="S85" s="2"/>
      <c r="T85" s="2"/>
      <c r="V85" s="2"/>
    </row>
    <row r="86" hidden="1" spans="1:22">
      <c r="A86" s="1" t="s">
        <v>128</v>
      </c>
      <c r="B86" s="1">
        <v>5</v>
      </c>
      <c r="C86" s="1">
        <v>5</v>
      </c>
      <c r="D86" s="1">
        <f t="shared" ref="D86:D100" si="17">B86*F86/$M$6*0.5*3</f>
        <v>0</v>
      </c>
      <c r="E86" s="1">
        <f t="shared" ref="E86:E100" si="18">C86*G86/$M$6*0.5*3</f>
        <v>0</v>
      </c>
      <c r="F86" s="19">
        <v>0</v>
      </c>
      <c r="G86" s="19">
        <v>0</v>
      </c>
      <c r="H86" s="20">
        <f t="shared" ref="H86:H100" si="19">SUM(D86:E86)</f>
        <v>0</v>
      </c>
      <c r="I86" s="1" t="e">
        <f t="shared" ref="I86:I100" si="20">H52/H86</f>
        <v>#DIV/0!</v>
      </c>
      <c r="J86" s="1" t="e">
        <f t="shared" ref="J86:J100" si="21">I86/$V$27</f>
        <v>#DIV/0!</v>
      </c>
      <c r="K86" s="1">
        <v>0.7</v>
      </c>
      <c r="L86" s="1">
        <f t="shared" ref="L86:L100" si="22">H86*$U$27*K86</f>
        <v>0</v>
      </c>
      <c r="M86" s="1">
        <f t="shared" ref="M86:M100" si="23">H86*$I$25*$B$20/20</f>
        <v>0</v>
      </c>
      <c r="N86" s="1">
        <f t="shared" ref="N86:N100" si="24">MIN(H86*$I$49*12/20*(1+$B$37)^$H$49,6*(1+$B$37)^4/20/4)</f>
        <v>0</v>
      </c>
      <c r="O86" s="1"/>
      <c r="Q86" s="2"/>
      <c r="R86" s="2"/>
      <c r="S86" s="2"/>
      <c r="T86" s="2"/>
      <c r="V86" s="2"/>
    </row>
    <row r="87" hidden="1" spans="1:22">
      <c r="A87" s="1" t="s">
        <v>129</v>
      </c>
      <c r="B87" s="1">
        <v>5</v>
      </c>
      <c r="C87" s="1">
        <v>5</v>
      </c>
      <c r="D87" s="1">
        <f t="shared" si="17"/>
        <v>0.227272727272727</v>
      </c>
      <c r="E87" s="1">
        <f t="shared" si="18"/>
        <v>0</v>
      </c>
      <c r="F87" s="19">
        <f t="shared" ref="F87:F92" si="25">1/30</f>
        <v>0.0333333333333333</v>
      </c>
      <c r="G87" s="19">
        <v>0</v>
      </c>
      <c r="H87" s="20">
        <f t="shared" si="19"/>
        <v>0.227272727272727</v>
      </c>
      <c r="I87" s="1">
        <f t="shared" si="20"/>
        <v>1.68</v>
      </c>
      <c r="J87" s="1">
        <f t="shared" si="21"/>
        <v>1.61963117629008</v>
      </c>
      <c r="K87" s="1">
        <f t="shared" ref="K87:K100" si="26">$K$86</f>
        <v>0.7</v>
      </c>
      <c r="L87" s="1">
        <f t="shared" si="22"/>
        <v>1.67872293383974</v>
      </c>
      <c r="M87" s="1">
        <f t="shared" si="23"/>
        <v>0.203948355786313</v>
      </c>
      <c r="N87" s="1">
        <f t="shared" si="24"/>
        <v>0.187348614645301</v>
      </c>
      <c r="O87" s="1"/>
      <c r="Q87" s="2"/>
      <c r="R87" s="2"/>
      <c r="S87" s="2"/>
      <c r="T87" s="2"/>
      <c r="V87" s="2"/>
    </row>
    <row r="88" hidden="1" spans="1:22">
      <c r="A88" s="1" t="s">
        <v>130</v>
      </c>
      <c r="B88" s="1">
        <v>5</v>
      </c>
      <c r="C88" s="1">
        <v>5</v>
      </c>
      <c r="D88" s="1">
        <f t="shared" si="17"/>
        <v>0.227272727272727</v>
      </c>
      <c r="E88" s="1">
        <f t="shared" si="18"/>
        <v>0</v>
      </c>
      <c r="F88" s="19">
        <f t="shared" si="25"/>
        <v>0.0333333333333333</v>
      </c>
      <c r="G88" s="19">
        <v>0</v>
      </c>
      <c r="H88" s="20">
        <f t="shared" si="19"/>
        <v>0.227272727272727</v>
      </c>
      <c r="I88" s="1">
        <f t="shared" si="20"/>
        <v>1.68</v>
      </c>
      <c r="J88" s="1">
        <f t="shared" si="21"/>
        <v>1.61963117629008</v>
      </c>
      <c r="K88" s="1">
        <f t="shared" si="26"/>
        <v>0.7</v>
      </c>
      <c r="L88" s="1">
        <f t="shared" si="22"/>
        <v>1.67872293383974</v>
      </c>
      <c r="M88" s="1">
        <f t="shared" si="23"/>
        <v>0.203948355786313</v>
      </c>
      <c r="N88" s="1">
        <f t="shared" si="24"/>
        <v>0.187348614645301</v>
      </c>
      <c r="O88" s="1"/>
      <c r="Q88" s="2"/>
      <c r="R88" s="2"/>
      <c r="S88" s="2"/>
      <c r="T88" s="2"/>
      <c r="V88" s="2"/>
    </row>
    <row r="89" hidden="1" spans="1:22">
      <c r="A89" s="1" t="s">
        <v>131</v>
      </c>
      <c r="B89" s="1">
        <v>5</v>
      </c>
      <c r="C89" s="1">
        <v>5</v>
      </c>
      <c r="D89" s="1">
        <f t="shared" si="17"/>
        <v>0.227272727272727</v>
      </c>
      <c r="E89" s="1">
        <f t="shared" si="18"/>
        <v>0.454545454545454</v>
      </c>
      <c r="F89" s="19">
        <f t="shared" si="25"/>
        <v>0.0333333333333333</v>
      </c>
      <c r="G89" s="19">
        <f t="shared" ref="G89:G92" si="27">2/30</f>
        <v>0.0666666666666667</v>
      </c>
      <c r="H89" s="20">
        <f t="shared" si="19"/>
        <v>0.681818181818182</v>
      </c>
      <c r="I89" s="1">
        <f t="shared" si="20"/>
        <v>0.802666666666667</v>
      </c>
      <c r="J89" s="1">
        <f t="shared" si="21"/>
        <v>0.773823784227484</v>
      </c>
      <c r="K89" s="1">
        <f t="shared" si="26"/>
        <v>0.7</v>
      </c>
      <c r="L89" s="1">
        <f t="shared" si="22"/>
        <v>5.03616880151922</v>
      </c>
      <c r="M89" s="1">
        <f t="shared" si="23"/>
        <v>0.61184506735894</v>
      </c>
      <c r="N89" s="1">
        <f t="shared" si="24"/>
        <v>0.3796875</v>
      </c>
      <c r="O89" s="1"/>
      <c r="Q89" s="2"/>
      <c r="R89" s="2"/>
      <c r="S89" s="2"/>
      <c r="T89" s="2"/>
      <c r="V89" s="2"/>
    </row>
    <row r="90" hidden="1" spans="1:14">
      <c r="A90" s="1" t="s">
        <v>166</v>
      </c>
      <c r="B90" s="1">
        <v>5</v>
      </c>
      <c r="C90" s="1">
        <v>5</v>
      </c>
      <c r="D90" s="1">
        <f t="shared" si="17"/>
        <v>0.227272727272727</v>
      </c>
      <c r="E90" s="1">
        <f t="shared" si="18"/>
        <v>0.454545454545454</v>
      </c>
      <c r="F90" s="19">
        <f t="shared" si="25"/>
        <v>0.0333333333333333</v>
      </c>
      <c r="G90" s="19">
        <f t="shared" si="27"/>
        <v>0.0666666666666667</v>
      </c>
      <c r="H90" s="20">
        <f t="shared" si="19"/>
        <v>0.681818181818182</v>
      </c>
      <c r="I90" s="1">
        <f t="shared" si="20"/>
        <v>0.802666666666667</v>
      </c>
      <c r="J90" s="1">
        <f t="shared" si="21"/>
        <v>0.773823784227484</v>
      </c>
      <c r="K90" s="1">
        <f t="shared" si="26"/>
        <v>0.7</v>
      </c>
      <c r="L90" s="1">
        <f t="shared" si="22"/>
        <v>5.03616880151922</v>
      </c>
      <c r="M90" s="1">
        <f t="shared" si="23"/>
        <v>0.61184506735894</v>
      </c>
      <c r="N90" s="1">
        <f t="shared" si="24"/>
        <v>0.3796875</v>
      </c>
    </row>
    <row r="91" hidden="1" spans="1:14">
      <c r="A91" s="1" t="s">
        <v>167</v>
      </c>
      <c r="B91" s="1">
        <v>5</v>
      </c>
      <c r="C91" s="1">
        <v>5</v>
      </c>
      <c r="D91" s="1">
        <f t="shared" si="17"/>
        <v>0.227272727272727</v>
      </c>
      <c r="E91" s="1">
        <f t="shared" si="18"/>
        <v>0.454545454545454</v>
      </c>
      <c r="F91" s="19">
        <f t="shared" si="25"/>
        <v>0.0333333333333333</v>
      </c>
      <c r="G91" s="19">
        <f t="shared" si="27"/>
        <v>0.0666666666666667</v>
      </c>
      <c r="H91" s="20">
        <f t="shared" si="19"/>
        <v>0.681818181818182</v>
      </c>
      <c r="I91" s="1">
        <f t="shared" si="20"/>
        <v>0.802666666666667</v>
      </c>
      <c r="J91" s="1">
        <f t="shared" si="21"/>
        <v>0.773823784227484</v>
      </c>
      <c r="K91" s="1">
        <f t="shared" si="26"/>
        <v>0.7</v>
      </c>
      <c r="L91" s="1">
        <f t="shared" si="22"/>
        <v>5.03616880151922</v>
      </c>
      <c r="M91" s="1">
        <f t="shared" si="23"/>
        <v>0.61184506735894</v>
      </c>
      <c r="N91" s="1">
        <f t="shared" si="24"/>
        <v>0.3796875</v>
      </c>
    </row>
    <row r="92" hidden="1" spans="1:18">
      <c r="A92" s="1" t="s">
        <v>132</v>
      </c>
      <c r="B92" s="1">
        <v>5</v>
      </c>
      <c r="C92" s="1">
        <v>5</v>
      </c>
      <c r="D92" s="1">
        <f t="shared" si="17"/>
        <v>0.227272727272727</v>
      </c>
      <c r="E92" s="1">
        <f t="shared" si="18"/>
        <v>0.454545454545454</v>
      </c>
      <c r="F92" s="19">
        <f t="shared" si="25"/>
        <v>0.0333333333333333</v>
      </c>
      <c r="G92" s="19">
        <f t="shared" si="27"/>
        <v>0.0666666666666667</v>
      </c>
      <c r="H92" s="20">
        <f t="shared" si="19"/>
        <v>0.681818181818182</v>
      </c>
      <c r="I92" s="1">
        <f t="shared" si="20"/>
        <v>1.04533333333333</v>
      </c>
      <c r="J92" s="1">
        <f t="shared" si="21"/>
        <v>1.00777050969161</v>
      </c>
      <c r="K92" s="1">
        <f t="shared" si="26"/>
        <v>0.7</v>
      </c>
      <c r="L92" s="1">
        <f t="shared" si="22"/>
        <v>5.03616880151922</v>
      </c>
      <c r="M92" s="1">
        <f t="shared" si="23"/>
        <v>0.61184506735894</v>
      </c>
      <c r="N92" s="1">
        <f t="shared" si="24"/>
        <v>0.3796875</v>
      </c>
      <c r="Q92" s="2"/>
      <c r="R92" s="2"/>
    </row>
    <row r="93" hidden="1" spans="1:18">
      <c r="A93" s="1" t="s">
        <v>168</v>
      </c>
      <c r="B93" s="1">
        <v>5</v>
      </c>
      <c r="C93" s="1">
        <v>5</v>
      </c>
      <c r="D93" s="1">
        <f t="shared" si="17"/>
        <v>0.454545454545454</v>
      </c>
      <c r="E93" s="1">
        <f t="shared" si="18"/>
        <v>0.909090909090909</v>
      </c>
      <c r="F93" s="19">
        <f t="shared" ref="F93:F100" si="28">2/30</f>
        <v>0.0666666666666667</v>
      </c>
      <c r="G93" s="19">
        <f t="shared" ref="G93:G100" si="29">4/30</f>
        <v>0.133333333333333</v>
      </c>
      <c r="H93" s="20">
        <f t="shared" si="19"/>
        <v>1.36363636363636</v>
      </c>
      <c r="I93" s="1">
        <f t="shared" si="20"/>
        <v>0.672</v>
      </c>
      <c r="J93" s="1">
        <f t="shared" si="21"/>
        <v>0.647852470516033</v>
      </c>
      <c r="K93" s="1">
        <f t="shared" si="26"/>
        <v>0.7</v>
      </c>
      <c r="L93" s="1">
        <f t="shared" si="22"/>
        <v>10.0723376030384</v>
      </c>
      <c r="M93" s="1">
        <f t="shared" si="23"/>
        <v>1.22369013471788</v>
      </c>
      <c r="N93" s="1">
        <f t="shared" si="24"/>
        <v>0.3796875</v>
      </c>
      <c r="Q93" s="2"/>
      <c r="R93" s="2"/>
    </row>
    <row r="94" hidden="1" spans="1:18">
      <c r="A94" s="1" t="s">
        <v>169</v>
      </c>
      <c r="B94" s="1">
        <v>5</v>
      </c>
      <c r="C94" s="1">
        <v>5</v>
      </c>
      <c r="D94" s="1">
        <f t="shared" si="17"/>
        <v>0.454545454545454</v>
      </c>
      <c r="E94" s="1">
        <f t="shared" si="18"/>
        <v>0.909090909090909</v>
      </c>
      <c r="F94" s="19">
        <f t="shared" si="28"/>
        <v>0.0666666666666667</v>
      </c>
      <c r="G94" s="19">
        <f t="shared" si="29"/>
        <v>0.133333333333333</v>
      </c>
      <c r="H94" s="20">
        <f t="shared" si="19"/>
        <v>1.36363636363636</v>
      </c>
      <c r="I94" s="1">
        <f t="shared" si="20"/>
        <v>0.672</v>
      </c>
      <c r="J94" s="1">
        <f t="shared" si="21"/>
        <v>0.647852470516033</v>
      </c>
      <c r="K94" s="1">
        <f t="shared" si="26"/>
        <v>0.7</v>
      </c>
      <c r="L94" s="1">
        <f t="shared" si="22"/>
        <v>10.0723376030384</v>
      </c>
      <c r="M94" s="1">
        <f t="shared" si="23"/>
        <v>1.22369013471788</v>
      </c>
      <c r="N94" s="1">
        <f t="shared" si="24"/>
        <v>0.3796875</v>
      </c>
      <c r="Q94" s="2"/>
      <c r="R94" s="2"/>
    </row>
    <row r="95" hidden="1" spans="1:18">
      <c r="A95" s="1" t="s">
        <v>170</v>
      </c>
      <c r="B95" s="1">
        <v>5</v>
      </c>
      <c r="C95" s="1">
        <v>5</v>
      </c>
      <c r="D95" s="1">
        <f t="shared" si="17"/>
        <v>0.454545454545454</v>
      </c>
      <c r="E95" s="1">
        <f t="shared" si="18"/>
        <v>0.909090909090909</v>
      </c>
      <c r="F95" s="19">
        <f t="shared" si="28"/>
        <v>0.0666666666666667</v>
      </c>
      <c r="G95" s="19">
        <f t="shared" si="29"/>
        <v>0.133333333333333</v>
      </c>
      <c r="H95" s="20">
        <f t="shared" si="19"/>
        <v>1.36363636363636</v>
      </c>
      <c r="I95" s="1">
        <f t="shared" si="20"/>
        <v>0.72</v>
      </c>
      <c r="J95" s="1">
        <f t="shared" si="21"/>
        <v>0.694127646981464</v>
      </c>
      <c r="K95" s="1">
        <f t="shared" si="26"/>
        <v>0.7</v>
      </c>
      <c r="L95" s="1">
        <f t="shared" si="22"/>
        <v>10.0723376030384</v>
      </c>
      <c r="M95" s="1">
        <f t="shared" si="23"/>
        <v>1.22369013471788</v>
      </c>
      <c r="N95" s="1">
        <f t="shared" si="24"/>
        <v>0.3796875</v>
      </c>
      <c r="Q95" s="2"/>
      <c r="R95" s="2"/>
    </row>
    <row r="96" hidden="1" spans="1:14">
      <c r="A96" s="1" t="s">
        <v>133</v>
      </c>
      <c r="B96" s="1">
        <v>5</v>
      </c>
      <c r="C96" s="1">
        <v>5</v>
      </c>
      <c r="D96" s="1">
        <f t="shared" si="17"/>
        <v>0.454545454545454</v>
      </c>
      <c r="E96" s="1">
        <f t="shared" si="18"/>
        <v>0.909090909090909</v>
      </c>
      <c r="F96" s="19">
        <f t="shared" si="28"/>
        <v>0.0666666666666667</v>
      </c>
      <c r="G96" s="19">
        <f t="shared" si="29"/>
        <v>0.133333333333333</v>
      </c>
      <c r="H96" s="20">
        <f t="shared" si="19"/>
        <v>1.36363636363636</v>
      </c>
      <c r="I96" s="1">
        <f t="shared" si="20"/>
        <v>0.72</v>
      </c>
      <c r="J96" s="1">
        <f t="shared" si="21"/>
        <v>0.694127646981464</v>
      </c>
      <c r="K96" s="1">
        <f t="shared" si="26"/>
        <v>0.7</v>
      </c>
      <c r="L96" s="1">
        <f t="shared" si="22"/>
        <v>10.0723376030384</v>
      </c>
      <c r="M96" s="1">
        <f t="shared" si="23"/>
        <v>1.22369013471788</v>
      </c>
      <c r="N96" s="1">
        <f t="shared" si="24"/>
        <v>0.3796875</v>
      </c>
    </row>
    <row r="97" hidden="1" spans="1:14">
      <c r="A97" s="1" t="s">
        <v>171</v>
      </c>
      <c r="B97" s="1">
        <v>5</v>
      </c>
      <c r="C97" s="1">
        <v>5</v>
      </c>
      <c r="D97" s="1">
        <f t="shared" si="17"/>
        <v>0.454545454545454</v>
      </c>
      <c r="E97" s="1">
        <f t="shared" si="18"/>
        <v>0.909090909090909</v>
      </c>
      <c r="F97" s="19">
        <f t="shared" si="28"/>
        <v>0.0666666666666667</v>
      </c>
      <c r="G97" s="19">
        <f t="shared" si="29"/>
        <v>0.133333333333333</v>
      </c>
      <c r="H97" s="20">
        <f t="shared" si="19"/>
        <v>1.36363636363636</v>
      </c>
      <c r="I97" s="1">
        <f t="shared" si="20"/>
        <v>0.72</v>
      </c>
      <c r="J97" s="1">
        <f t="shared" si="21"/>
        <v>0.694127646981464</v>
      </c>
      <c r="K97" s="1">
        <f t="shared" si="26"/>
        <v>0.7</v>
      </c>
      <c r="L97" s="1">
        <f t="shared" si="22"/>
        <v>10.0723376030384</v>
      </c>
      <c r="M97" s="1">
        <f t="shared" si="23"/>
        <v>1.22369013471788</v>
      </c>
      <c r="N97" s="1">
        <f t="shared" si="24"/>
        <v>0.3796875</v>
      </c>
    </row>
    <row r="98" hidden="1" spans="1:14">
      <c r="A98" s="1" t="s">
        <v>172</v>
      </c>
      <c r="B98" s="1">
        <v>5</v>
      </c>
      <c r="C98" s="1">
        <v>5</v>
      </c>
      <c r="D98" s="1">
        <f t="shared" si="17"/>
        <v>0.454545454545454</v>
      </c>
      <c r="E98" s="1">
        <f t="shared" si="18"/>
        <v>0.909090909090909</v>
      </c>
      <c r="F98" s="19">
        <f t="shared" si="28"/>
        <v>0.0666666666666667</v>
      </c>
      <c r="G98" s="19">
        <f t="shared" si="29"/>
        <v>0.133333333333333</v>
      </c>
      <c r="H98" s="20">
        <f t="shared" si="19"/>
        <v>1.36363636363636</v>
      </c>
      <c r="I98" s="1">
        <f t="shared" si="20"/>
        <v>0.72</v>
      </c>
      <c r="J98" s="1">
        <f t="shared" si="21"/>
        <v>0.694127646981464</v>
      </c>
      <c r="K98" s="1">
        <f t="shared" si="26"/>
        <v>0.7</v>
      </c>
      <c r="L98" s="1">
        <f t="shared" si="22"/>
        <v>10.0723376030384</v>
      </c>
      <c r="M98" s="1">
        <f t="shared" si="23"/>
        <v>1.22369013471788</v>
      </c>
      <c r="N98" s="1">
        <f t="shared" si="24"/>
        <v>0.3796875</v>
      </c>
    </row>
    <row r="99" hidden="1" spans="1:14">
      <c r="A99" s="1" t="s">
        <v>173</v>
      </c>
      <c r="B99" s="1">
        <v>5</v>
      </c>
      <c r="C99" s="1">
        <v>5</v>
      </c>
      <c r="D99" s="1">
        <f t="shared" si="17"/>
        <v>0.454545454545454</v>
      </c>
      <c r="E99" s="1">
        <f t="shared" si="18"/>
        <v>0.909090909090909</v>
      </c>
      <c r="F99" s="19">
        <f t="shared" si="28"/>
        <v>0.0666666666666667</v>
      </c>
      <c r="G99" s="19">
        <f t="shared" si="29"/>
        <v>0.133333333333333</v>
      </c>
      <c r="H99" s="20">
        <f t="shared" si="19"/>
        <v>1.36363636363636</v>
      </c>
      <c r="I99" s="1">
        <f t="shared" si="20"/>
        <v>0.72</v>
      </c>
      <c r="J99" s="1">
        <f t="shared" si="21"/>
        <v>0.694127646981464</v>
      </c>
      <c r="K99" s="1">
        <f t="shared" si="26"/>
        <v>0.7</v>
      </c>
      <c r="L99" s="1">
        <f t="shared" si="22"/>
        <v>10.0723376030384</v>
      </c>
      <c r="M99" s="1">
        <f t="shared" si="23"/>
        <v>1.22369013471788</v>
      </c>
      <c r="N99" s="1">
        <f t="shared" si="24"/>
        <v>0.3796875</v>
      </c>
    </row>
    <row r="100" hidden="1" spans="1:14">
      <c r="A100" s="1" t="s">
        <v>134</v>
      </c>
      <c r="B100" s="1">
        <v>5</v>
      </c>
      <c r="C100" s="1">
        <v>5</v>
      </c>
      <c r="D100" s="1">
        <f t="shared" si="17"/>
        <v>0.454545454545454</v>
      </c>
      <c r="E100" s="1">
        <f t="shared" si="18"/>
        <v>0.909090909090909</v>
      </c>
      <c r="F100" s="19">
        <f t="shared" si="28"/>
        <v>0.0666666666666667</v>
      </c>
      <c r="G100" s="19">
        <f t="shared" si="29"/>
        <v>0.133333333333333</v>
      </c>
      <c r="H100" s="20">
        <f t="shared" si="19"/>
        <v>1.36363636363636</v>
      </c>
      <c r="I100" s="1">
        <f t="shared" si="20"/>
        <v>0.72</v>
      </c>
      <c r="J100" s="1">
        <f t="shared" si="21"/>
        <v>0.694127646981464</v>
      </c>
      <c r="K100" s="1">
        <f t="shared" si="26"/>
        <v>0.7</v>
      </c>
      <c r="L100" s="1">
        <f t="shared" si="22"/>
        <v>10.0723376030384</v>
      </c>
      <c r="M100" s="1">
        <f t="shared" si="23"/>
        <v>1.22369013471788</v>
      </c>
      <c r="N100" s="1">
        <f t="shared" si="24"/>
        <v>0.3796875</v>
      </c>
    </row>
    <row r="101" hidden="1"/>
    <row r="102" hidden="1"/>
    <row r="105" spans="6:7">
      <c r="F105" s="1">
        <f>F83-F73</f>
        <v>0.176</v>
      </c>
      <c r="G105" s="1">
        <f>G83-G73</f>
        <v>0.092</v>
      </c>
    </row>
    <row r="106" spans="6:7">
      <c r="F106" s="1">
        <f>F76-F74</f>
        <v>0.176</v>
      </c>
      <c r="G106" s="1">
        <f>G76-G74</f>
        <v>0.092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爱因斯坦</vt:lpstr>
      <vt:lpstr>火箭</vt:lpstr>
      <vt:lpstr>船长</vt:lpstr>
      <vt:lpstr>风暴女</vt:lpstr>
      <vt:lpstr>布欧</vt:lpstr>
      <vt:lpstr>佐助</vt:lpstr>
      <vt:lpstr>闪电侠</vt:lpstr>
      <vt:lpstr>金刚狼</vt:lpstr>
      <vt:lpstr>冰人</vt:lpstr>
      <vt:lpstr>明日香</vt:lpstr>
      <vt:lpstr>死侍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Y</cp:lastModifiedBy>
  <dcterms:created xsi:type="dcterms:W3CDTF">2006-09-16T00:00:00Z</dcterms:created>
  <dcterms:modified xsi:type="dcterms:W3CDTF">2024-08-22T10:11:48Z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0C55A992F69E42A9B65BE39F990C61CE_13</vt:lpwstr>
  </property>
  <property fmtid="{D5CDD505-2E9C-101B-9397-08002B2CF9AE}" pid="3" name="KSOProductBuildVer">
    <vt:lpwstr>2052-12.1.0.17827</vt:lpwstr>
  </property>
</Properties>
</file>