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drawings/drawing10.xml" ContentType="application/vnd.openxmlformats-officedocument.drawing+xml"/>
  <Override PartName="/xl/charts/chart11.xml" ContentType="application/vnd.openxmlformats-officedocument.drawingml.chart+xml"/>
  <Override PartName="/xl/drawings/drawing11.xml" ContentType="application/vnd.openxmlformats-officedocument.drawing+xml"/>
  <Override PartName="/xl/charts/chart12.xml" ContentType="application/vnd.openxmlformats-officedocument.drawingml.chart+xml"/>
  <Override PartName="/xl/drawings/drawing1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13.xml" ContentType="application/vnd.openxmlformats-officedocument.drawing+xml"/>
  <Override PartName="/xl/charts/chart15.xml" ContentType="application/vnd.openxmlformats-officedocument.drawingml.chart+xml"/>
  <Override PartName="/xl/drawings/drawing14.xml" ContentType="application/vnd.openxmlformats-officedocument.drawing+xml"/>
  <Override PartName="/xl/charts/chart16.xml" ContentType="application/vnd.openxmlformats-officedocument.drawingml.chart+xml"/>
  <Override PartName="/xl/drawings/drawing15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16.xml" ContentType="application/vnd.openxmlformats-officedocument.drawing+xml"/>
  <Override PartName="/xl/charts/chart19.xml" ContentType="application/vnd.openxmlformats-officedocument.drawingml.chart+xml"/>
  <Override PartName="/xl/drawings/drawing17.xml" ContentType="application/vnd.openxmlformats-officedocument.drawing+xml"/>
  <Override PartName="/xl/charts/chart20.xml" ContentType="application/vnd.openxmlformats-officedocument.drawingml.chart+xml"/>
  <Override PartName="/xl/drawings/drawing18.xml" ContentType="application/vnd.openxmlformats-officedocument.drawing+xml"/>
  <Override PartName="/xl/charts/chart21.xml" ContentType="application/vnd.openxmlformats-officedocument.drawingml.chart+xml"/>
  <Override PartName="/xl/drawings/drawing19.xml" ContentType="application/vnd.openxmlformats-officedocument.drawing+xml"/>
  <Override PartName="/xl/charts/chart22.xml" ContentType="application/vnd.openxmlformats-officedocument.drawingml.chart+xml"/>
  <Override PartName="/xl/drawings/drawing20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21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22.xml" ContentType="application/vnd.openxmlformats-officedocument.drawing+xml"/>
  <Override PartName="/xl/charts/chart27.xml" ContentType="application/vnd.openxmlformats-officedocument.drawingml.chart+xml"/>
  <Override PartName="/xl/drawings/drawing23.xml" ContentType="application/vnd.openxmlformats-officedocument.drawing+xml"/>
  <Override PartName="/xl/charts/chart28.xml" ContentType="application/vnd.openxmlformats-officedocument.drawingml.chart+xml"/>
  <Override PartName="/xl/drawings/drawing24.xml" ContentType="application/vnd.openxmlformats-officedocument.drawingml.chartshapes+xml"/>
  <Override PartName="/xl/drawings/drawing25.xml" ContentType="application/vnd.openxmlformats-officedocument.drawing+xml"/>
  <Override PartName="/xl/charts/chart29.xml" ContentType="application/vnd.openxmlformats-officedocument.drawingml.chart+xml"/>
  <Override PartName="/xl/drawings/drawing26.xml" ContentType="application/vnd.openxmlformats-officedocument.drawing+xml"/>
  <Override PartName="/xl/charts/chart3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192.168.1.111\2019830\"/>
    </mc:Choice>
  </mc:AlternateContent>
  <bookViews>
    <workbookView xWindow="0" yWindow="90" windowWidth="15480" windowHeight="9165" tabRatio="884" firstSheet="101" activeTab="108"/>
  </bookViews>
  <sheets>
    <sheet name="Pz-01" sheetId="101" r:id="rId1"/>
    <sheet name="Pz-02" sheetId="102" r:id="rId2"/>
    <sheet name="Pz-03" sheetId="92" r:id="rId3"/>
    <sheet name="Pz-04" sheetId="93" r:id="rId4"/>
    <sheet name="Pz-05" sheetId="1" r:id="rId5"/>
    <sheet name="Pz-06" sheetId="2" r:id="rId6"/>
    <sheet name="P1-01" sheetId="109" r:id="rId7"/>
    <sheet name="P1-02" sheetId="100" r:id="rId8"/>
    <sheet name="P1-03" sheetId="3" r:id="rId9"/>
    <sheet name="P1-04" sheetId="4" r:id="rId10"/>
    <sheet name="P1-05" sheetId="5" r:id="rId11"/>
    <sheet name="P1-06" sheetId="6" r:id="rId12"/>
    <sheet name="P1-07" sheetId="7" r:id="rId13"/>
    <sheet name="P1-08" sheetId="8" r:id="rId14"/>
    <sheet name="P1-09" sheetId="9" r:id="rId15"/>
    <sheet name="P1-10" sheetId="10" r:id="rId16"/>
    <sheet name="P1-11" sheetId="11" r:id="rId17"/>
    <sheet name="P1-12" sheetId="12" r:id="rId18"/>
    <sheet name="P2-01" sheetId="110" r:id="rId19"/>
    <sheet name="P2-02 " sheetId="13" r:id="rId20"/>
    <sheet name="P2-03" sheetId="14" r:id="rId21"/>
    <sheet name="P2-04" sheetId="15" r:id="rId22"/>
    <sheet name="P2-05" sheetId="16" r:id="rId23"/>
    <sheet name="P2-06" sheetId="17" r:id="rId24"/>
    <sheet name="P2-07" sheetId="18" r:id="rId25"/>
    <sheet name="P2-08" sheetId="19" r:id="rId26"/>
    <sheet name="P2-09" sheetId="20" r:id="rId27"/>
    <sheet name="P2-10" sheetId="21" r:id="rId28"/>
    <sheet name="P2-11" sheetId="22" r:id="rId29"/>
    <sheet name="P2-12" sheetId="23" r:id="rId30"/>
    <sheet name="P2-13" sheetId="24" r:id="rId31"/>
    <sheet name="P2-14" sheetId="25" r:id="rId32"/>
    <sheet name="P3-01" sheetId="115" r:id="rId33"/>
    <sheet name="P3-02" sheetId="26" r:id="rId34"/>
    <sheet name="P3-03" sheetId="27" r:id="rId35"/>
    <sheet name="P3-04" sheetId="28" r:id="rId36"/>
    <sheet name="P3-05" sheetId="29" r:id="rId37"/>
    <sheet name="P3-06" sheetId="30" r:id="rId38"/>
    <sheet name="P3-07" sheetId="31" r:id="rId39"/>
    <sheet name="P3-08" sheetId="32" r:id="rId40"/>
    <sheet name="P3-09" sheetId="33" r:id="rId41"/>
    <sheet name="P3-10" sheetId="34" r:id="rId42"/>
    <sheet name="P4-01" sheetId="113" r:id="rId43"/>
    <sheet name="P4-02" sheetId="108" r:id="rId44"/>
    <sheet name="P4-03" sheetId="105" r:id="rId45"/>
    <sheet name="P4-04" sheetId="103" r:id="rId46"/>
    <sheet name="P4-05" sheetId="104" r:id="rId47"/>
    <sheet name="P4-06" sheetId="35" r:id="rId48"/>
    <sheet name="P4-07" sheetId="36" r:id="rId49"/>
    <sheet name="P4-08" sheetId="37" r:id="rId50"/>
    <sheet name="P4-09" sheetId="38" r:id="rId51"/>
    <sheet name="P4-10" sheetId="39" r:id="rId52"/>
    <sheet name="P4-11" sheetId="40" r:id="rId53"/>
    <sheet name="P4-12" sheetId="41" r:id="rId54"/>
    <sheet name="P4-13" sheetId="42" r:id="rId55"/>
    <sheet name="P4-14" sheetId="43" r:id="rId56"/>
    <sheet name="P4-15" sheetId="44" r:id="rId57"/>
    <sheet name="P4-16" sheetId="45" r:id="rId58"/>
    <sheet name="P4-17" sheetId="46" r:id="rId59"/>
    <sheet name="P4-18" sheetId="47" r:id="rId60"/>
    <sheet name="P4-19" sheetId="48" r:id="rId61"/>
    <sheet name="P5-01" sheetId="114" r:id="rId62"/>
    <sheet name="P5-02" sheetId="107" r:id="rId63"/>
    <sheet name="P5-03" sheetId="49" r:id="rId64"/>
    <sheet name="P5-04" sheetId="50" r:id="rId65"/>
    <sheet name="P5-05" sheetId="51" r:id="rId66"/>
    <sheet name="P5-06" sheetId="52" r:id="rId67"/>
    <sheet name="P5-07" sheetId="53" r:id="rId68"/>
    <sheet name="P5-08" sheetId="54" r:id="rId69"/>
    <sheet name="P5-09" sheetId="55" r:id="rId70"/>
    <sheet name="P5-10" sheetId="56" r:id="rId71"/>
    <sheet name="P5-11" sheetId="57" r:id="rId72"/>
    <sheet name="P5-12" sheetId="58" r:id="rId73"/>
    <sheet name="P5-13" sheetId="59" r:id="rId74"/>
    <sheet name="P5-14" sheetId="60" r:id="rId75"/>
    <sheet name="P5-15" sheetId="61" r:id="rId76"/>
    <sheet name="P5-16" sheetId="62" r:id="rId77"/>
    <sheet name="P5-17" sheetId="63" r:id="rId78"/>
    <sheet name="P6-01" sheetId="64" r:id="rId79"/>
    <sheet name="P6-02" sheetId="65" r:id="rId80"/>
    <sheet name="P6-03" sheetId="66" r:id="rId81"/>
    <sheet name="P6-04" sheetId="67" r:id="rId82"/>
    <sheet name="P6-05" sheetId="68" r:id="rId83"/>
    <sheet name="P6-06" sheetId="69" r:id="rId84"/>
    <sheet name="P6-07" sheetId="70" r:id="rId85"/>
    <sheet name="P7-01" sheetId="71" r:id="rId86"/>
    <sheet name="P7-02" sheetId="72" r:id="rId87"/>
    <sheet name="P7-03" sheetId="73" r:id="rId88"/>
    <sheet name="P7-04" sheetId="74" r:id="rId89"/>
    <sheet name="P7-05" sheetId="96" r:id="rId90"/>
    <sheet name="P7-06" sheetId="97" r:id="rId91"/>
    <sheet name="P7-07" sheetId="75" r:id="rId92"/>
    <sheet name="P7-08" sheetId="76" r:id="rId93"/>
    <sheet name="P7-09" sheetId="77" r:id="rId94"/>
    <sheet name="P7-10" sheetId="78" r:id="rId95"/>
    <sheet name="P7-11" sheetId="79" r:id="rId96"/>
    <sheet name="P7-12" sheetId="80" r:id="rId97"/>
    <sheet name="P7-13" sheetId="81" r:id="rId98"/>
    <sheet name="P7-14" sheetId="82" r:id="rId99"/>
    <sheet name="P7-15" sheetId="83" r:id="rId100"/>
    <sheet name="P7-16" sheetId="98" r:id="rId101"/>
    <sheet name="P7-17" sheetId="99" r:id="rId102"/>
    <sheet name="P8-01" sheetId="84" r:id="rId103"/>
    <sheet name="P8-02" sheetId="85" r:id="rId104"/>
    <sheet name="P8-03" sheetId="86" r:id="rId105"/>
    <sheet name="P8-04" sheetId="87" r:id="rId106"/>
    <sheet name="P8-05" sheetId="88" r:id="rId107"/>
    <sheet name="P8-06" sheetId="94" r:id="rId108"/>
    <sheet name="P8-07" sheetId="95" r:id="rId109"/>
    <sheet name="Py-01" sheetId="112" r:id="rId110"/>
    <sheet name="Py-02" sheetId="111" r:id="rId111"/>
    <sheet name="Py-03" sheetId="106" r:id="rId112"/>
    <sheet name="Py-04" sheetId="89" r:id="rId113"/>
    <sheet name="Py-05" sheetId="90" r:id="rId114"/>
    <sheet name="Py-06" sheetId="91" r:id="rId115"/>
  </sheets>
  <calcPr calcId="152511"/>
</workbook>
</file>

<file path=xl/calcChain.xml><?xml version="1.0" encoding="utf-8"?>
<calcChain xmlns="http://schemas.openxmlformats.org/spreadsheetml/2006/main">
  <c r="E7" i="112" l="1"/>
  <c r="E7" i="115"/>
  <c r="E7" i="114"/>
  <c r="E10" i="114" s="1"/>
  <c r="F10" i="114" s="1"/>
  <c r="E7" i="113"/>
  <c r="E15" i="113" s="1"/>
  <c r="F15" i="113" s="1"/>
  <c r="E7" i="111"/>
  <c r="E25" i="111" s="1"/>
  <c r="F25" i="111" s="1"/>
  <c r="E7" i="110"/>
  <c r="E9" i="110" s="1"/>
  <c r="F9" i="110" s="1"/>
  <c r="E7" i="109"/>
  <c r="E10" i="109"/>
  <c r="F10" i="109" s="1"/>
  <c r="E14" i="110"/>
  <c r="F14" i="110" s="1"/>
  <c r="E9" i="109"/>
  <c r="F9" i="109" s="1"/>
  <c r="E11" i="109"/>
  <c r="F11" i="109" s="1"/>
  <c r="E13" i="109"/>
  <c r="F13" i="109" s="1"/>
  <c r="E15" i="109"/>
  <c r="F15" i="109" s="1"/>
  <c r="E17" i="109"/>
  <c r="F17" i="109" s="1"/>
  <c r="E8" i="109"/>
  <c r="F8" i="109" s="1"/>
  <c r="E12" i="109"/>
  <c r="F12" i="109" s="1"/>
  <c r="E14" i="109"/>
  <c r="F14" i="109" s="1"/>
  <c r="E16" i="109"/>
  <c r="F16" i="109" s="1"/>
  <c r="E18" i="109"/>
  <c r="F18" i="109" s="1"/>
  <c r="E7" i="108"/>
  <c r="E12" i="108" s="1"/>
  <c r="F12" i="108" s="1"/>
  <c r="E7" i="107"/>
  <c r="E20" i="108"/>
  <c r="F20" i="108" s="1"/>
  <c r="E17" i="108"/>
  <c r="F17" i="108" s="1"/>
  <c r="E25" i="108"/>
  <c r="F25" i="108" s="1"/>
  <c r="E7" i="43"/>
  <c r="E7" i="106"/>
  <c r="E24" i="106" s="1"/>
  <c r="F24" i="106" s="1"/>
  <c r="E7" i="105"/>
  <c r="E7" i="104"/>
  <c r="E8" i="106"/>
  <c r="F8" i="106" s="1"/>
  <c r="E21" i="106"/>
  <c r="F21" i="106" s="1"/>
  <c r="E28" i="105"/>
  <c r="F28" i="105" s="1"/>
  <c r="E7" i="103"/>
  <c r="E7" i="102"/>
  <c r="E33" i="102" s="1"/>
  <c r="F33" i="102" s="1"/>
  <c r="E7" i="101"/>
  <c r="E7" i="100"/>
  <c r="E7" i="99"/>
  <c r="E12" i="99" s="1"/>
  <c r="F12" i="99" s="1"/>
  <c r="E7" i="98"/>
  <c r="E22" i="98"/>
  <c r="F22" i="98" s="1"/>
  <c r="E7" i="97"/>
  <c r="E7" i="96"/>
  <c r="E7" i="95"/>
  <c r="E13" i="95" s="1"/>
  <c r="F13" i="95" s="1"/>
  <c r="E7" i="94"/>
  <c r="E8" i="99"/>
  <c r="F8" i="99" s="1"/>
  <c r="E11" i="98"/>
  <c r="F11" i="98" s="1"/>
  <c r="E15" i="98"/>
  <c r="F15" i="98" s="1"/>
  <c r="E12" i="98"/>
  <c r="F12" i="98" s="1"/>
  <c r="E16" i="98"/>
  <c r="F16" i="98" s="1"/>
  <c r="E18" i="98"/>
  <c r="F18" i="98" s="1"/>
  <c r="E14" i="95"/>
  <c r="F14" i="95" s="1"/>
  <c r="E22" i="95"/>
  <c r="F22" i="95" s="1"/>
  <c r="E9" i="95"/>
  <c r="F9" i="95" s="1"/>
  <c r="E21" i="95"/>
  <c r="F21" i="95" s="1"/>
  <c r="E7" i="93"/>
  <c r="E7" i="92"/>
  <c r="E14" i="93"/>
  <c r="F14" i="93" s="1"/>
  <c r="B5" i="91"/>
  <c r="B4" i="91"/>
  <c r="B3" i="91"/>
  <c r="B2" i="91"/>
  <c r="B5" i="90"/>
  <c r="B4" i="90"/>
  <c r="B3" i="90"/>
  <c r="B2" i="90"/>
  <c r="B5" i="89"/>
  <c r="B4" i="89"/>
  <c r="B3" i="89"/>
  <c r="B2" i="89"/>
  <c r="B2" i="88"/>
  <c r="B5" i="87"/>
  <c r="B4" i="87"/>
  <c r="B3" i="87"/>
  <c r="B2" i="87"/>
  <c r="B5" i="86"/>
  <c r="B4" i="86"/>
  <c r="B3" i="86"/>
  <c r="B2" i="86"/>
  <c r="B5" i="85"/>
  <c r="B4" i="85"/>
  <c r="B3" i="85"/>
  <c r="B2" i="85"/>
  <c r="B5" i="84"/>
  <c r="B4" i="84"/>
  <c r="B3" i="84"/>
  <c r="B2" i="84"/>
  <c r="B2" i="83"/>
  <c r="B2" i="82"/>
  <c r="B2" i="81"/>
  <c r="B2" i="80"/>
  <c r="E7" i="80" s="1"/>
  <c r="B2" i="79"/>
  <c r="B2" i="78"/>
  <c r="B2" i="77"/>
  <c r="B2" i="76"/>
  <c r="E7" i="75"/>
  <c r="B2" i="74"/>
  <c r="B2" i="73"/>
  <c r="B2" i="72"/>
  <c r="B2" i="71"/>
  <c r="B2" i="70"/>
  <c r="B2" i="69"/>
  <c r="E61" i="69" s="1"/>
  <c r="F61" i="69" s="1"/>
  <c r="B2" i="68"/>
  <c r="E61" i="68" s="1"/>
  <c r="F61" i="68" s="1"/>
  <c r="E7" i="67"/>
  <c r="E9" i="67" s="1"/>
  <c r="F9" i="67" s="1"/>
  <c r="E7" i="66"/>
  <c r="E22" i="66" s="1"/>
  <c r="E7" i="65"/>
  <c r="E21" i="65" s="1"/>
  <c r="B2" i="64"/>
  <c r="E7" i="63"/>
  <c r="E7" i="62"/>
  <c r="E7" i="61"/>
  <c r="E7" i="60"/>
  <c r="E7" i="59"/>
  <c r="E7" i="58"/>
  <c r="B2" i="57"/>
  <c r="E27" i="57" s="1"/>
  <c r="F27" i="57" s="1"/>
  <c r="B2" i="56"/>
  <c r="B5" i="55"/>
  <c r="B4" i="55"/>
  <c r="B3" i="55"/>
  <c r="B2" i="55"/>
  <c r="B5" i="54"/>
  <c r="B4" i="54"/>
  <c r="B3" i="54"/>
  <c r="B2" i="54"/>
  <c r="B5" i="53"/>
  <c r="E7" i="53" s="1"/>
  <c r="B4" i="53"/>
  <c r="B3" i="53"/>
  <c r="B2" i="53"/>
  <c r="E7" i="52"/>
  <c r="E7" i="51"/>
  <c r="E12" i="50"/>
  <c r="F12" i="50" s="1"/>
  <c r="E8" i="50"/>
  <c r="F8" i="50" s="1"/>
  <c r="E7" i="50"/>
  <c r="E7" i="49"/>
  <c r="E7" i="48"/>
  <c r="E7" i="47"/>
  <c r="E7" i="46"/>
  <c r="E14" i="46" s="1"/>
  <c r="F14" i="46" s="1"/>
  <c r="E7" i="45"/>
  <c r="E7" i="44"/>
  <c r="E31" i="44" s="1"/>
  <c r="F31" i="44" s="1"/>
  <c r="E15" i="43"/>
  <c r="F15" i="43" s="1"/>
  <c r="E14" i="43"/>
  <c r="F14" i="43" s="1"/>
  <c r="E13" i="43"/>
  <c r="F13" i="43" s="1"/>
  <c r="E12" i="43"/>
  <c r="F12" i="43" s="1"/>
  <c r="E11" i="43"/>
  <c r="F11" i="43" s="1"/>
  <c r="E10" i="43"/>
  <c r="F10" i="43" s="1"/>
  <c r="E9" i="43"/>
  <c r="F9" i="43" s="1"/>
  <c r="E8" i="43"/>
  <c r="F8" i="43" s="1"/>
  <c r="E7" i="42"/>
  <c r="E18" i="42" s="1"/>
  <c r="F18" i="42" s="1"/>
  <c r="E7" i="41"/>
  <c r="E22" i="41"/>
  <c r="F22" i="41" s="1"/>
  <c r="E7" i="40"/>
  <c r="E13" i="39"/>
  <c r="F13" i="39" s="1"/>
  <c r="E7" i="39"/>
  <c r="B5" i="38"/>
  <c r="B4" i="38"/>
  <c r="B3" i="38"/>
  <c r="B2" i="38"/>
  <c r="B5" i="37"/>
  <c r="B4" i="37"/>
  <c r="B3" i="37"/>
  <c r="B2" i="37"/>
  <c r="B5" i="36"/>
  <c r="B4" i="36"/>
  <c r="B3" i="36"/>
  <c r="B2" i="36"/>
  <c r="B5" i="35"/>
  <c r="B4" i="35"/>
  <c r="B3" i="35"/>
  <c r="B2" i="35"/>
  <c r="B2" i="34"/>
  <c r="B2" i="33"/>
  <c r="E7" i="33"/>
  <c r="E38" i="33" s="1"/>
  <c r="F38" i="33" s="1"/>
  <c r="B2" i="32"/>
  <c r="B2" i="31"/>
  <c r="B2" i="30"/>
  <c r="B2" i="29"/>
  <c r="E35" i="29" s="1"/>
  <c r="F35" i="29" s="1"/>
  <c r="E7" i="28"/>
  <c r="B2" i="28"/>
  <c r="B2" i="27"/>
  <c r="E7" i="26"/>
  <c r="B2" i="25"/>
  <c r="B2" i="24"/>
  <c r="B2" i="23"/>
  <c r="B2" i="22"/>
  <c r="E7" i="22" s="1"/>
  <c r="B2" i="21"/>
  <c r="B2" i="20"/>
  <c r="B2" i="19"/>
  <c r="B2" i="18"/>
  <c r="B2" i="17"/>
  <c r="B2" i="16"/>
  <c r="B2" i="15"/>
  <c r="B2" i="14"/>
  <c r="E7" i="14" s="1"/>
  <c r="E7" i="13"/>
  <c r="E13" i="12"/>
  <c r="F13" i="12" s="1"/>
  <c r="E7" i="12"/>
  <c r="E7" i="11"/>
  <c r="E8" i="11" s="1"/>
  <c r="F8" i="11" s="1"/>
  <c r="E7" i="10"/>
  <c r="E30" i="10" s="1"/>
  <c r="F30" i="10" s="1"/>
  <c r="E7" i="9"/>
  <c r="E17" i="9" s="1"/>
  <c r="F17" i="9" s="1"/>
  <c r="E7" i="8"/>
  <c r="B2" i="7"/>
  <c r="E7" i="6"/>
  <c r="E7" i="5"/>
  <c r="E25" i="5" s="1"/>
  <c r="F25" i="5" s="1"/>
  <c r="E7" i="4"/>
  <c r="E21" i="4" s="1"/>
  <c r="F21" i="4" s="1"/>
  <c r="E7" i="3"/>
  <c r="E18" i="3" s="1"/>
  <c r="F18" i="3" s="1"/>
  <c r="E7" i="2"/>
  <c r="E7" i="1"/>
  <c r="E30" i="2"/>
  <c r="F30" i="2" s="1"/>
  <c r="E29" i="2"/>
  <c r="F29" i="2" s="1"/>
  <c r="E27" i="2"/>
  <c r="F27" i="2" s="1"/>
  <c r="E26" i="2"/>
  <c r="F26" i="2" s="1"/>
  <c r="E24" i="2"/>
  <c r="F24" i="2" s="1"/>
  <c r="E23" i="2"/>
  <c r="F23" i="2" s="1"/>
  <c r="E22" i="2"/>
  <c r="F22" i="2" s="1"/>
  <c r="E21" i="2"/>
  <c r="F21" i="2" s="1"/>
  <c r="E19" i="2"/>
  <c r="F19" i="2" s="1"/>
  <c r="E18" i="2"/>
  <c r="F18" i="2" s="1"/>
  <c r="E16" i="2"/>
  <c r="F16" i="2" s="1"/>
  <c r="E12" i="2"/>
  <c r="F12" i="2" s="1"/>
  <c r="E15" i="2"/>
  <c r="F15" i="2" s="1"/>
  <c r="E14" i="2"/>
  <c r="F14" i="2" s="1"/>
  <c r="E9" i="2"/>
  <c r="F9" i="2" s="1"/>
  <c r="E11" i="2"/>
  <c r="F11" i="2" s="1"/>
  <c r="E14" i="9"/>
  <c r="F14" i="9" s="1"/>
  <c r="E10" i="13"/>
  <c r="F10" i="13" s="1"/>
  <c r="E14" i="13"/>
  <c r="F14" i="13" s="1"/>
  <c r="E11" i="26"/>
  <c r="F11" i="26" s="1"/>
  <c r="E9" i="26"/>
  <c r="F9" i="26" s="1"/>
  <c r="E12" i="26"/>
  <c r="F12" i="26" s="1"/>
  <c r="E10" i="26"/>
  <c r="F10" i="26" s="1"/>
  <c r="E8" i="26"/>
  <c r="F8" i="26" s="1"/>
  <c r="E8" i="2"/>
  <c r="F8" i="2" s="1"/>
  <c r="E8" i="6"/>
  <c r="F8" i="6" s="1"/>
  <c r="E12" i="6"/>
  <c r="F12" i="6" s="1"/>
  <c r="E9" i="13"/>
  <c r="F9" i="13" s="1"/>
  <c r="E13" i="13"/>
  <c r="F13" i="13" s="1"/>
  <c r="E7" i="18"/>
  <c r="E9" i="18" s="1"/>
  <c r="F9" i="18" s="1"/>
  <c r="E19" i="18"/>
  <c r="F19" i="18" s="1"/>
  <c r="E7" i="20"/>
  <c r="E15" i="28"/>
  <c r="F15" i="28" s="1"/>
  <c r="E17" i="33"/>
  <c r="F17" i="33" s="1"/>
  <c r="E11" i="59"/>
  <c r="F11" i="59" s="1"/>
  <c r="E15" i="42"/>
  <c r="F15" i="42" s="1"/>
  <c r="E13" i="42"/>
  <c r="F13" i="42" s="1"/>
  <c r="E11" i="42"/>
  <c r="F11" i="42" s="1"/>
  <c r="E9" i="42"/>
  <c r="F9" i="42" s="1"/>
  <c r="E14" i="42"/>
  <c r="F14" i="42" s="1"/>
  <c r="E12" i="42"/>
  <c r="F12" i="42" s="1"/>
  <c r="E10" i="42"/>
  <c r="F10" i="42" s="1"/>
  <c r="E8" i="42"/>
  <c r="F8" i="42" s="1"/>
  <c r="E16" i="33"/>
  <c r="F16" i="33" s="1"/>
  <c r="E13" i="40"/>
  <c r="F13" i="40" s="1"/>
  <c r="E14" i="40"/>
  <c r="F14" i="40" s="1"/>
  <c r="E10" i="49"/>
  <c r="F10" i="49" s="1"/>
  <c r="E14" i="51"/>
  <c r="F14" i="51" s="1"/>
  <c r="E12" i="51"/>
  <c r="F12" i="51" s="1"/>
  <c r="E10" i="51"/>
  <c r="F10" i="51" s="1"/>
  <c r="E8" i="51"/>
  <c r="F8" i="51" s="1"/>
  <c r="E13" i="51"/>
  <c r="F13" i="51" s="1"/>
  <c r="E11" i="51"/>
  <c r="F11" i="51" s="1"/>
  <c r="E9" i="51"/>
  <c r="F9" i="51" s="1"/>
  <c r="E13" i="67"/>
  <c r="F13" i="67" s="1"/>
  <c r="E12" i="67"/>
  <c r="F12" i="67" s="1"/>
  <c r="E8" i="67"/>
  <c r="F8" i="67" s="1"/>
  <c r="E11" i="62"/>
  <c r="F11" i="62" s="1"/>
  <c r="E16" i="65"/>
  <c r="F16" i="65" s="1"/>
  <c r="E14" i="65"/>
  <c r="F14" i="65" s="1"/>
  <c r="E12" i="65"/>
  <c r="F12" i="65" s="1"/>
  <c r="E10" i="65"/>
  <c r="F10" i="65" s="1"/>
  <c r="E8" i="65"/>
  <c r="F8" i="65" s="1"/>
  <c r="E17" i="65"/>
  <c r="F17" i="65" s="1"/>
  <c r="E15" i="65"/>
  <c r="F15" i="65" s="1"/>
  <c r="E13" i="65"/>
  <c r="F13" i="65" s="1"/>
  <c r="E11" i="65"/>
  <c r="F11" i="65" s="1"/>
  <c r="E9" i="65"/>
  <c r="F9" i="65" s="1"/>
  <c r="E7" i="83"/>
  <c r="E22" i="83" s="1"/>
  <c r="F22" i="83" s="1"/>
  <c r="E7" i="90"/>
  <c r="E15" i="90" s="1"/>
  <c r="F15" i="90" s="1"/>
  <c r="E19" i="20"/>
  <c r="F19" i="20" s="1"/>
  <c r="E18" i="83"/>
  <c r="F18" i="83" s="1"/>
  <c r="E16" i="83"/>
  <c r="F16" i="83" s="1"/>
  <c r="E14" i="83"/>
  <c r="F14" i="83" s="1"/>
  <c r="E30" i="18"/>
  <c r="F30" i="18" s="1"/>
  <c r="E22" i="18"/>
  <c r="F22" i="18" s="1"/>
  <c r="E28" i="18"/>
  <c r="F28" i="18" s="1"/>
  <c r="E12" i="18"/>
  <c r="F12" i="18" s="1"/>
  <c r="E25" i="18"/>
  <c r="F25" i="18" s="1"/>
  <c r="E17" i="18"/>
  <c r="F17" i="18" s="1"/>
  <c r="E20" i="18"/>
  <c r="F20" i="18" s="1"/>
  <c r="E23" i="20"/>
  <c r="F23" i="20" s="1"/>
  <c r="E18" i="20"/>
  <c r="F18" i="20" s="1"/>
  <c r="E12" i="63"/>
  <c r="F12" i="63" s="1"/>
  <c r="E10" i="63"/>
  <c r="F10" i="63" s="1"/>
  <c r="E14" i="63"/>
  <c r="F14" i="63" s="1"/>
  <c r="E27" i="18"/>
  <c r="F27" i="18" s="1"/>
  <c r="E11" i="18"/>
  <c r="F11" i="18" s="1"/>
  <c r="E19" i="4"/>
  <c r="F19" i="4" s="1"/>
  <c r="E25" i="4"/>
  <c r="F25" i="4" s="1"/>
  <c r="E36" i="9"/>
  <c r="F36" i="9" s="1"/>
  <c r="E35" i="9"/>
  <c r="F35" i="9" s="1"/>
  <c r="E31" i="9"/>
  <c r="F31" i="9" s="1"/>
  <c r="E34" i="9"/>
  <c r="F34" i="9" s="1"/>
  <c r="E32" i="9"/>
  <c r="F32" i="9" s="1"/>
  <c r="E28" i="9"/>
  <c r="F28" i="9" s="1"/>
  <c r="E29" i="9"/>
  <c r="F29" i="9" s="1"/>
  <c r="E22" i="9"/>
  <c r="F22" i="9" s="1"/>
  <c r="E24" i="9"/>
  <c r="F24" i="9" s="1"/>
  <c r="E26" i="9"/>
  <c r="F26" i="9" s="1"/>
  <c r="E23" i="9"/>
  <c r="F23" i="9" s="1"/>
  <c r="E20" i="9"/>
  <c r="F20" i="9" s="1"/>
  <c r="E11" i="9"/>
  <c r="F11" i="9" s="1"/>
  <c r="E15" i="9"/>
  <c r="F15" i="9" s="1"/>
  <c r="E12" i="9"/>
  <c r="F12" i="9" s="1"/>
  <c r="E16" i="9"/>
  <c r="F16" i="9" s="1"/>
  <c r="E21" i="9"/>
  <c r="F21" i="9" s="1"/>
  <c r="E55" i="18"/>
  <c r="F55" i="18" s="1"/>
  <c r="E53" i="18"/>
  <c r="F53" i="18" s="1"/>
  <c r="E52" i="18"/>
  <c r="F52" i="18" s="1"/>
  <c r="E54" i="18"/>
  <c r="F54" i="18" s="1"/>
  <c r="E50" i="18"/>
  <c r="F50" i="18" s="1"/>
  <c r="E49" i="18"/>
  <c r="F49" i="18" s="1"/>
  <c r="E48" i="18"/>
  <c r="F48" i="18" s="1"/>
  <c r="E47" i="18"/>
  <c r="F47" i="18" s="1"/>
  <c r="E51" i="18"/>
  <c r="F51" i="18" s="1"/>
  <c r="E46" i="18"/>
  <c r="F46" i="18" s="1"/>
  <c r="E45" i="18"/>
  <c r="F45" i="18" s="1"/>
  <c r="E41" i="18"/>
  <c r="F41" i="18" s="1"/>
  <c r="E44" i="18"/>
  <c r="F44" i="18" s="1"/>
  <c r="E42" i="18"/>
  <c r="F42" i="18" s="1"/>
  <c r="E43" i="18"/>
  <c r="F43" i="18" s="1"/>
  <c r="E40" i="18"/>
  <c r="F40" i="18" s="1"/>
  <c r="E35" i="18"/>
  <c r="F35" i="18" s="1"/>
  <c r="E37" i="18"/>
  <c r="F37" i="18" s="1"/>
  <c r="E39" i="18"/>
  <c r="F39" i="18" s="1"/>
  <c r="E38" i="18"/>
  <c r="F38" i="18" s="1"/>
  <c r="E34" i="18"/>
  <c r="F34" i="18" s="1"/>
  <c r="E36" i="18"/>
  <c r="F36" i="18" s="1"/>
  <c r="E24" i="18"/>
  <c r="F24" i="18" s="1"/>
  <c r="E26" i="18"/>
  <c r="F26" i="18" s="1"/>
  <c r="E18" i="18"/>
  <c r="F18" i="18" s="1"/>
  <c r="E10" i="18"/>
  <c r="F10" i="18" s="1"/>
  <c r="E16" i="18"/>
  <c r="F16" i="18" s="1"/>
  <c r="E29" i="18"/>
  <c r="F29" i="18" s="1"/>
  <c r="E21" i="18"/>
  <c r="F21" i="18" s="1"/>
  <c r="E13" i="18"/>
  <c r="F13" i="18" s="1"/>
  <c r="E33" i="18"/>
  <c r="F33" i="18" s="1"/>
  <c r="E8" i="18"/>
  <c r="F8" i="18" s="1"/>
  <c r="E32" i="18"/>
  <c r="F32" i="18" s="1"/>
  <c r="E15" i="18"/>
  <c r="F15" i="18" s="1"/>
  <c r="E23" i="18"/>
  <c r="F23" i="18" s="1"/>
  <c r="E31" i="18"/>
  <c r="F31" i="18" s="1"/>
  <c r="E35" i="52"/>
  <c r="F35" i="52" s="1"/>
  <c r="E30" i="52"/>
  <c r="F30" i="52" s="1"/>
  <c r="E27" i="52"/>
  <c r="F27" i="52" s="1"/>
  <c r="E17" i="52"/>
  <c r="F17" i="52" s="1"/>
  <c r="E12" i="52"/>
  <c r="F12" i="52" s="1"/>
  <c r="E31" i="1"/>
  <c r="F31" i="1" s="1"/>
  <c r="E29" i="1"/>
  <c r="F29" i="1" s="1"/>
  <c r="E32" i="1"/>
  <c r="F32" i="1" s="1"/>
  <c r="E26" i="1"/>
  <c r="F26" i="1" s="1"/>
  <c r="E24" i="1"/>
  <c r="F24" i="1" s="1"/>
  <c r="E23" i="1"/>
  <c r="F23" i="1" s="1"/>
  <c r="E20" i="1"/>
  <c r="F20" i="1" s="1"/>
  <c r="E25" i="1"/>
  <c r="F25" i="1" s="1"/>
  <c r="E21" i="1"/>
  <c r="F21" i="1" s="1"/>
  <c r="E16" i="1"/>
  <c r="F16" i="1" s="1"/>
  <c r="E14" i="1"/>
  <c r="F14" i="1" s="1"/>
  <c r="E10" i="1"/>
  <c r="F10" i="1" s="1"/>
  <c r="E15" i="1"/>
  <c r="F15" i="1" s="1"/>
  <c r="E7" i="73"/>
  <c r="E18" i="73" s="1"/>
  <c r="F18" i="73" s="1"/>
  <c r="E23" i="83"/>
  <c r="F23" i="83" s="1"/>
  <c r="E13" i="83"/>
  <c r="F13" i="83" s="1"/>
  <c r="E24" i="83"/>
  <c r="F24" i="83" s="1"/>
  <c r="E12" i="83"/>
  <c r="F12" i="83" s="1"/>
  <c r="E10" i="83"/>
  <c r="F10" i="83" s="1"/>
  <c r="E8" i="83"/>
  <c r="F8" i="83" s="1"/>
  <c r="E11" i="83"/>
  <c r="F11" i="83" s="1"/>
  <c r="E17" i="83"/>
  <c r="F17" i="83" s="1"/>
  <c r="E13" i="1"/>
  <c r="F13" i="1" s="1"/>
  <c r="E33" i="5"/>
  <c r="F33" i="5" s="1"/>
  <c r="E32" i="5"/>
  <c r="F32" i="5" s="1"/>
  <c r="E24" i="5"/>
  <c r="F24" i="5" s="1"/>
  <c r="E19" i="5"/>
  <c r="F19" i="5" s="1"/>
  <c r="E10" i="5"/>
  <c r="F10" i="5" s="1"/>
  <c r="E8" i="5"/>
  <c r="F8" i="5" s="1"/>
  <c r="E36" i="8"/>
  <c r="F36" i="8" s="1"/>
  <c r="E35" i="8"/>
  <c r="F35" i="8" s="1"/>
  <c r="E34" i="8"/>
  <c r="F34" i="8" s="1"/>
  <c r="E32" i="8"/>
  <c r="F32" i="8" s="1"/>
  <c r="E33" i="8"/>
  <c r="F33" i="8" s="1"/>
  <c r="E30" i="8"/>
  <c r="F30" i="8" s="1"/>
  <c r="E29" i="8"/>
  <c r="F29" i="8" s="1"/>
  <c r="E27" i="8"/>
  <c r="F27" i="8" s="1"/>
  <c r="E31" i="8"/>
  <c r="F31" i="8" s="1"/>
  <c r="E26" i="8"/>
  <c r="F26" i="8" s="1"/>
  <c r="E22" i="8"/>
  <c r="F22" i="8" s="1"/>
  <c r="E25" i="8"/>
  <c r="F25" i="8" s="1"/>
  <c r="E23" i="8"/>
  <c r="F23" i="8" s="1"/>
  <c r="E28" i="8"/>
  <c r="F28" i="8" s="1"/>
  <c r="E21" i="8"/>
  <c r="F21" i="8" s="1"/>
  <c r="E24" i="8"/>
  <c r="F24" i="8" s="1"/>
  <c r="E20" i="8"/>
  <c r="F20" i="8" s="1"/>
  <c r="E19" i="8"/>
  <c r="F19" i="8" s="1"/>
  <c r="E18" i="8"/>
  <c r="F18" i="8" s="1"/>
  <c r="E16" i="8"/>
  <c r="F16" i="8" s="1"/>
  <c r="E14" i="8"/>
  <c r="F14" i="8" s="1"/>
  <c r="E12" i="8"/>
  <c r="F12" i="8" s="1"/>
  <c r="E10" i="8"/>
  <c r="F10" i="8" s="1"/>
  <c r="E8" i="8"/>
  <c r="F8" i="8" s="1"/>
  <c r="E11" i="8"/>
  <c r="F11" i="8" s="1"/>
  <c r="E15" i="8"/>
  <c r="F15" i="8" s="1"/>
  <c r="E35" i="10"/>
  <c r="F35" i="10" s="1"/>
  <c r="E33" i="10"/>
  <c r="F33" i="10" s="1"/>
  <c r="E32" i="10"/>
  <c r="F32" i="10" s="1"/>
  <c r="E21" i="10"/>
  <c r="F21" i="10" s="1"/>
  <c r="E20" i="10"/>
  <c r="F20" i="10" s="1"/>
  <c r="E16" i="10"/>
  <c r="F16" i="10" s="1"/>
  <c r="E33" i="12"/>
  <c r="F33" i="12" s="1"/>
  <c r="E32" i="12"/>
  <c r="F32" i="12" s="1"/>
  <c r="E30" i="12"/>
  <c r="F30" i="12" s="1"/>
  <c r="E28" i="12"/>
  <c r="F28" i="12" s="1"/>
  <c r="E29" i="12"/>
  <c r="F29" i="12" s="1"/>
  <c r="E27" i="12"/>
  <c r="F27" i="12" s="1"/>
  <c r="E24" i="12"/>
  <c r="F24" i="12" s="1"/>
  <c r="E20" i="12"/>
  <c r="F20" i="12" s="1"/>
  <c r="E23" i="12"/>
  <c r="F23" i="12" s="1"/>
  <c r="E19" i="12"/>
  <c r="F19" i="12" s="1"/>
  <c r="E18" i="12"/>
  <c r="F18" i="12" s="1"/>
  <c r="E17" i="12"/>
  <c r="F17" i="12" s="1"/>
  <c r="E22" i="12"/>
  <c r="F22" i="12" s="1"/>
  <c r="E16" i="12"/>
  <c r="F16" i="12" s="1"/>
  <c r="E14" i="12"/>
  <c r="F14" i="12" s="1"/>
  <c r="E10" i="12"/>
  <c r="F10" i="12" s="1"/>
  <c r="E8" i="12"/>
  <c r="F8" i="12" s="1"/>
  <c r="E11" i="12"/>
  <c r="F11" i="12" s="1"/>
  <c r="E10" i="28"/>
  <c r="F10" i="28" s="1"/>
  <c r="E14" i="28"/>
  <c r="F14" i="28" s="1"/>
  <c r="E9" i="28"/>
  <c r="F9" i="28" s="1"/>
  <c r="E37" i="39"/>
  <c r="F37" i="39" s="1"/>
  <c r="E38" i="39"/>
  <c r="F38" i="39" s="1"/>
  <c r="E32" i="39"/>
  <c r="F32" i="39" s="1"/>
  <c r="E36" i="39"/>
  <c r="F36" i="39" s="1"/>
  <c r="E34" i="39"/>
  <c r="F34" i="39" s="1"/>
  <c r="E33" i="39"/>
  <c r="F33" i="39" s="1"/>
  <c r="E35" i="39"/>
  <c r="F35" i="39" s="1"/>
  <c r="E31" i="39"/>
  <c r="F31" i="39" s="1"/>
  <c r="E30" i="39"/>
  <c r="F30" i="39" s="1"/>
  <c r="E28" i="39"/>
  <c r="F28" i="39" s="1"/>
  <c r="E26" i="39"/>
  <c r="F26" i="39" s="1"/>
  <c r="E24" i="39"/>
  <c r="F24" i="39" s="1"/>
  <c r="E29" i="39"/>
  <c r="F29" i="39" s="1"/>
  <c r="E25" i="39"/>
  <c r="F25" i="39" s="1"/>
  <c r="E20" i="39"/>
  <c r="F20" i="39" s="1"/>
  <c r="E18" i="39"/>
  <c r="F18" i="39" s="1"/>
  <c r="E17" i="39"/>
  <c r="F17" i="39" s="1"/>
  <c r="E23" i="39"/>
  <c r="F23" i="39" s="1"/>
  <c r="E21" i="39"/>
  <c r="F21" i="39" s="1"/>
  <c r="E27" i="39"/>
  <c r="F27" i="39" s="1"/>
  <c r="E22" i="39"/>
  <c r="F22" i="39" s="1"/>
  <c r="E19" i="39"/>
  <c r="F19" i="39" s="1"/>
  <c r="E14" i="39"/>
  <c r="F14" i="39" s="1"/>
  <c r="E12" i="39"/>
  <c r="F12" i="39" s="1"/>
  <c r="E10" i="39"/>
  <c r="F10" i="39" s="1"/>
  <c r="E8" i="39"/>
  <c r="F8" i="39" s="1"/>
  <c r="E16" i="39"/>
  <c r="F16" i="39" s="1"/>
  <c r="E15" i="39"/>
  <c r="F15" i="39" s="1"/>
  <c r="E36" i="44"/>
  <c r="F36" i="44" s="1"/>
  <c r="E32" i="44"/>
  <c r="F32" i="44" s="1"/>
  <c r="E23" i="44"/>
  <c r="F23" i="44" s="1"/>
  <c r="E11" i="44"/>
  <c r="F11" i="44" s="1"/>
  <c r="E8" i="44"/>
  <c r="F8" i="44" s="1"/>
  <c r="E37" i="48"/>
  <c r="F37" i="48" s="1"/>
  <c r="E36" i="48"/>
  <c r="F36" i="48" s="1"/>
  <c r="E34" i="48"/>
  <c r="F34" i="48" s="1"/>
  <c r="E35" i="48"/>
  <c r="F35" i="48" s="1"/>
  <c r="E33" i="48"/>
  <c r="F33" i="48" s="1"/>
  <c r="E32" i="48"/>
  <c r="F32" i="48" s="1"/>
  <c r="E31" i="48"/>
  <c r="F31" i="48" s="1"/>
  <c r="E29" i="48"/>
  <c r="F29" i="48" s="1"/>
  <c r="E27" i="48"/>
  <c r="F27" i="48" s="1"/>
  <c r="E23" i="48"/>
  <c r="F23" i="48" s="1"/>
  <c r="E30" i="48"/>
  <c r="F30" i="48" s="1"/>
  <c r="E25" i="48"/>
  <c r="F25" i="48" s="1"/>
  <c r="E26" i="48"/>
  <c r="F26" i="48" s="1"/>
  <c r="E20" i="48"/>
  <c r="F20" i="48" s="1"/>
  <c r="E18" i="48"/>
  <c r="F18" i="48" s="1"/>
  <c r="E17" i="48"/>
  <c r="F17" i="48" s="1"/>
  <c r="E22" i="48"/>
  <c r="F22" i="48" s="1"/>
  <c r="E24" i="48"/>
  <c r="F24" i="48" s="1"/>
  <c r="E19" i="48"/>
  <c r="F19" i="48" s="1"/>
  <c r="E21" i="48"/>
  <c r="F21" i="48" s="1"/>
  <c r="E16" i="48"/>
  <c r="F16" i="48" s="1"/>
  <c r="E28" i="48"/>
  <c r="F28" i="48" s="1"/>
  <c r="E14" i="48"/>
  <c r="F14" i="48" s="1"/>
  <c r="E12" i="48"/>
  <c r="F12" i="48" s="1"/>
  <c r="E10" i="48"/>
  <c r="F10" i="48" s="1"/>
  <c r="E8" i="48"/>
  <c r="F8" i="48" s="1"/>
  <c r="E15" i="48"/>
  <c r="F15" i="48" s="1"/>
  <c r="E7" i="56"/>
  <c r="E7" i="79"/>
  <c r="E27" i="79" s="1"/>
  <c r="F27" i="79" s="1"/>
  <c r="E11" i="73"/>
  <c r="F11" i="73" s="1"/>
  <c r="E21" i="20"/>
  <c r="F21" i="20" s="1"/>
  <c r="E17" i="20"/>
  <c r="F17" i="20" s="1"/>
  <c r="E11" i="20"/>
  <c r="F11" i="20" s="1"/>
  <c r="E8" i="20"/>
  <c r="F8" i="20" s="1"/>
  <c r="E10" i="20"/>
  <c r="F10" i="20" s="1"/>
  <c r="E12" i="20"/>
  <c r="F12" i="20" s="1"/>
  <c r="E32" i="13"/>
  <c r="F32" i="13" s="1"/>
  <c r="E31" i="13"/>
  <c r="F31" i="13" s="1"/>
  <c r="E30" i="13"/>
  <c r="F30" i="13" s="1"/>
  <c r="E28" i="13"/>
  <c r="F28" i="13" s="1"/>
  <c r="E26" i="13"/>
  <c r="F26" i="13" s="1"/>
  <c r="E23" i="13"/>
  <c r="F23" i="13" s="1"/>
  <c r="E29" i="13"/>
  <c r="F29" i="13" s="1"/>
  <c r="E25" i="13"/>
  <c r="F25" i="13" s="1"/>
  <c r="E27" i="13"/>
  <c r="F27" i="13" s="1"/>
  <c r="E24" i="13"/>
  <c r="F24" i="13" s="1"/>
  <c r="E18" i="13"/>
  <c r="F18" i="13" s="1"/>
  <c r="E20" i="13"/>
  <c r="F20" i="13" s="1"/>
  <c r="E22" i="13"/>
  <c r="F22" i="13" s="1"/>
  <c r="E19" i="13"/>
  <c r="F19" i="13" s="1"/>
  <c r="E21" i="13"/>
  <c r="F21" i="13" s="1"/>
  <c r="E11" i="13"/>
  <c r="F11" i="13" s="1"/>
  <c r="E17" i="13"/>
  <c r="F17" i="13" s="1"/>
  <c r="E15" i="13"/>
  <c r="F15" i="13" s="1"/>
  <c r="E8" i="13"/>
  <c r="F8" i="13" s="1"/>
  <c r="E12" i="13"/>
  <c r="F12" i="13" s="1"/>
  <c r="E16" i="13"/>
  <c r="F16" i="13" s="1"/>
  <c r="E7" i="17"/>
  <c r="E8" i="17" s="1"/>
  <c r="F8" i="17" s="1"/>
  <c r="E9" i="39"/>
  <c r="F9" i="39" s="1"/>
  <c r="E9" i="48"/>
  <c r="F9" i="48" s="1"/>
  <c r="E11" i="52"/>
  <c r="F11" i="52" s="1"/>
  <c r="E7" i="57"/>
  <c r="E17" i="57" s="1"/>
  <c r="F17" i="57" s="1"/>
  <c r="E41" i="57"/>
  <c r="F41" i="57" s="1"/>
  <c r="E15" i="67"/>
  <c r="F15" i="67" s="1"/>
  <c r="E11" i="67"/>
  <c r="F11" i="67" s="1"/>
  <c r="E14" i="67"/>
  <c r="F14" i="67" s="1"/>
  <c r="E10" i="67"/>
  <c r="F10" i="67" s="1"/>
  <c r="E31" i="93"/>
  <c r="F31" i="93" s="1"/>
  <c r="E30" i="93"/>
  <c r="F30" i="93" s="1"/>
  <c r="E28" i="93"/>
  <c r="F28" i="93" s="1"/>
  <c r="E29" i="93"/>
  <c r="F29" i="93" s="1"/>
  <c r="E26" i="93"/>
  <c r="F26" i="93" s="1"/>
  <c r="E27" i="93"/>
  <c r="F27" i="93" s="1"/>
  <c r="E23" i="93"/>
  <c r="F23" i="93" s="1"/>
  <c r="E25" i="93"/>
  <c r="F25" i="93" s="1"/>
  <c r="E24" i="93"/>
  <c r="F24" i="93" s="1"/>
  <c r="E17" i="93"/>
  <c r="F17" i="93" s="1"/>
  <c r="E19" i="93"/>
  <c r="F19" i="93" s="1"/>
  <c r="E22" i="93"/>
  <c r="F22" i="93" s="1"/>
  <c r="E21" i="93"/>
  <c r="F21" i="93" s="1"/>
  <c r="E18" i="93"/>
  <c r="F18" i="93" s="1"/>
  <c r="E15" i="93"/>
  <c r="F15" i="93" s="1"/>
  <c r="E8" i="93"/>
  <c r="F8" i="93" s="1"/>
  <c r="E12" i="93"/>
  <c r="F12" i="93" s="1"/>
  <c r="E9" i="93"/>
  <c r="F9" i="93" s="1"/>
  <c r="E13" i="93"/>
  <c r="F13" i="93" s="1"/>
  <c r="E20" i="93"/>
  <c r="F20" i="93" s="1"/>
  <c r="E16" i="93"/>
  <c r="F16" i="93" s="1"/>
  <c r="E11" i="93"/>
  <c r="F11" i="93" s="1"/>
  <c r="E10" i="93"/>
  <c r="F10" i="93" s="1"/>
  <c r="E37" i="40"/>
  <c r="F37" i="40" s="1"/>
  <c r="E36" i="40"/>
  <c r="F36" i="40" s="1"/>
  <c r="E38" i="40"/>
  <c r="F38" i="40" s="1"/>
  <c r="E34" i="40"/>
  <c r="F34" i="40" s="1"/>
  <c r="E35" i="40"/>
  <c r="F35" i="40" s="1"/>
  <c r="E32" i="40"/>
  <c r="F32" i="40" s="1"/>
  <c r="E33" i="40"/>
  <c r="F33" i="40" s="1"/>
  <c r="E31" i="40"/>
  <c r="F31" i="40" s="1"/>
  <c r="E29" i="40"/>
  <c r="F29" i="40" s="1"/>
  <c r="E27" i="40"/>
  <c r="F27" i="40" s="1"/>
  <c r="E23" i="40"/>
  <c r="F23" i="40" s="1"/>
  <c r="E25" i="40"/>
  <c r="F25" i="40" s="1"/>
  <c r="E26" i="40"/>
  <c r="F26" i="40" s="1"/>
  <c r="E21" i="40"/>
  <c r="F21" i="40" s="1"/>
  <c r="E19" i="40"/>
  <c r="F19" i="40" s="1"/>
  <c r="E22" i="40"/>
  <c r="F22" i="40" s="1"/>
  <c r="E24" i="40"/>
  <c r="F24" i="40" s="1"/>
  <c r="E30" i="40"/>
  <c r="F30" i="40" s="1"/>
  <c r="E28" i="40"/>
  <c r="F28" i="40" s="1"/>
  <c r="E18" i="40"/>
  <c r="F18" i="40" s="1"/>
  <c r="E16" i="40"/>
  <c r="F16" i="40" s="1"/>
  <c r="E20" i="40"/>
  <c r="F20" i="40" s="1"/>
  <c r="E37" i="45"/>
  <c r="F37" i="45" s="1"/>
  <c r="E38" i="45"/>
  <c r="F38" i="45" s="1"/>
  <c r="E36" i="45"/>
  <c r="F36" i="45" s="1"/>
  <c r="E35" i="45"/>
  <c r="F35" i="45" s="1"/>
  <c r="E34" i="45"/>
  <c r="F34" i="45" s="1"/>
  <c r="E33" i="45"/>
  <c r="F33" i="45" s="1"/>
  <c r="E32" i="45"/>
  <c r="F32" i="45" s="1"/>
  <c r="E31" i="45"/>
  <c r="F31" i="45" s="1"/>
  <c r="E28" i="45"/>
  <c r="F28" i="45" s="1"/>
  <c r="E30" i="45"/>
  <c r="F30" i="45" s="1"/>
  <c r="E29" i="45"/>
  <c r="F29" i="45" s="1"/>
  <c r="E22" i="45"/>
  <c r="F22" i="45" s="1"/>
  <c r="E26" i="45"/>
  <c r="F26" i="45" s="1"/>
  <c r="E24" i="45"/>
  <c r="F24" i="45" s="1"/>
  <c r="E27" i="45"/>
  <c r="F27" i="45" s="1"/>
  <c r="E21" i="45"/>
  <c r="F21" i="45" s="1"/>
  <c r="E19" i="45"/>
  <c r="F19" i="45" s="1"/>
  <c r="E20" i="45"/>
  <c r="F20" i="45" s="1"/>
  <c r="E16" i="45"/>
  <c r="F16" i="45" s="1"/>
  <c r="E23" i="45"/>
  <c r="F23" i="45" s="1"/>
  <c r="E18" i="45"/>
  <c r="F18" i="45" s="1"/>
  <c r="E25" i="45"/>
  <c r="F25" i="45" s="1"/>
  <c r="E9" i="45"/>
  <c r="F9" i="45" s="1"/>
  <c r="E11" i="45"/>
  <c r="F11" i="45" s="1"/>
  <c r="E13" i="45"/>
  <c r="F13" i="45" s="1"/>
  <c r="E15" i="45"/>
  <c r="F15" i="45" s="1"/>
  <c r="E36" i="49"/>
  <c r="F36" i="49" s="1"/>
  <c r="E32" i="49"/>
  <c r="F32" i="49" s="1"/>
  <c r="E35" i="49"/>
  <c r="F35" i="49" s="1"/>
  <c r="E26" i="49"/>
  <c r="F26" i="49" s="1"/>
  <c r="E28" i="49"/>
  <c r="F28" i="49" s="1"/>
  <c r="E30" i="49"/>
  <c r="F30" i="49" s="1"/>
  <c r="E34" i="49"/>
  <c r="F34" i="49" s="1"/>
  <c r="E33" i="49"/>
  <c r="F33" i="49" s="1"/>
  <c r="E29" i="49"/>
  <c r="F29" i="49" s="1"/>
  <c r="E31" i="49"/>
  <c r="F31" i="49" s="1"/>
  <c r="E25" i="49"/>
  <c r="F25" i="49" s="1"/>
  <c r="E21" i="49"/>
  <c r="F21" i="49" s="1"/>
  <c r="E27" i="49"/>
  <c r="F27" i="49" s="1"/>
  <c r="E23" i="49"/>
  <c r="F23" i="49" s="1"/>
  <c r="E19" i="49"/>
  <c r="F19" i="49" s="1"/>
  <c r="E24" i="49"/>
  <c r="F24" i="49" s="1"/>
  <c r="E20" i="49"/>
  <c r="F20" i="49" s="1"/>
  <c r="E15" i="49"/>
  <c r="F15" i="49" s="1"/>
  <c r="E18" i="49"/>
  <c r="F18" i="49" s="1"/>
  <c r="E16" i="49"/>
  <c r="F16" i="49" s="1"/>
  <c r="E36" i="59"/>
  <c r="F36" i="59" s="1"/>
  <c r="E21" i="59"/>
  <c r="F21" i="59" s="1"/>
  <c r="E18" i="59"/>
  <c r="F18" i="59" s="1"/>
  <c r="E22" i="59"/>
  <c r="F22" i="59" s="1"/>
  <c r="E26" i="59"/>
  <c r="F26" i="59" s="1"/>
  <c r="E31" i="59"/>
  <c r="F31" i="59" s="1"/>
  <c r="E24" i="59"/>
  <c r="F24" i="59" s="1"/>
  <c r="E19" i="59"/>
  <c r="F19" i="59" s="1"/>
  <c r="E27" i="59"/>
  <c r="F27" i="59" s="1"/>
  <c r="E36" i="61"/>
  <c r="F36" i="61" s="1"/>
  <c r="E35" i="61"/>
  <c r="F35" i="61" s="1"/>
  <c r="E34" i="61"/>
  <c r="F34" i="61" s="1"/>
  <c r="E33" i="61"/>
  <c r="F33" i="61" s="1"/>
  <c r="E31" i="61"/>
  <c r="F31" i="61" s="1"/>
  <c r="E30" i="61"/>
  <c r="F30" i="61" s="1"/>
  <c r="E29" i="61"/>
  <c r="F29" i="61" s="1"/>
  <c r="E28" i="61"/>
  <c r="F28" i="61" s="1"/>
  <c r="E27" i="61"/>
  <c r="F27" i="61" s="1"/>
  <c r="E21" i="61"/>
  <c r="F21" i="61" s="1"/>
  <c r="E25" i="61"/>
  <c r="F25" i="61" s="1"/>
  <c r="E23" i="61"/>
  <c r="F23" i="61" s="1"/>
  <c r="E32" i="61"/>
  <c r="F32" i="61" s="1"/>
  <c r="E24" i="61"/>
  <c r="F24" i="61" s="1"/>
  <c r="E19" i="61"/>
  <c r="F19" i="61" s="1"/>
  <c r="E22" i="61"/>
  <c r="F22" i="61" s="1"/>
  <c r="E20" i="61"/>
  <c r="F20" i="61" s="1"/>
  <c r="E17" i="61"/>
  <c r="F17" i="61" s="1"/>
  <c r="E16" i="61"/>
  <c r="F16" i="61" s="1"/>
  <c r="E9" i="61"/>
  <c r="F9" i="61" s="1"/>
  <c r="E11" i="61"/>
  <c r="F11" i="61" s="1"/>
  <c r="E13" i="61"/>
  <c r="F13" i="61" s="1"/>
  <c r="E15" i="61"/>
  <c r="F15" i="61" s="1"/>
  <c r="E36" i="75"/>
  <c r="F36" i="75" s="1"/>
  <c r="E35" i="75"/>
  <c r="F35" i="75" s="1"/>
  <c r="E32" i="75"/>
  <c r="F32" i="75" s="1"/>
  <c r="E31" i="75"/>
  <c r="F31" i="75" s="1"/>
  <c r="E34" i="75"/>
  <c r="F34" i="75" s="1"/>
  <c r="E33" i="75"/>
  <c r="F33" i="75" s="1"/>
  <c r="E30" i="75"/>
  <c r="F30" i="75" s="1"/>
  <c r="E29" i="75"/>
  <c r="F29" i="75" s="1"/>
  <c r="E27" i="75"/>
  <c r="F27" i="75" s="1"/>
  <c r="E23" i="75"/>
  <c r="F23" i="75" s="1"/>
  <c r="E25" i="75"/>
  <c r="F25" i="75" s="1"/>
  <c r="E26" i="75"/>
  <c r="F26" i="75" s="1"/>
  <c r="E20" i="75"/>
  <c r="F20" i="75" s="1"/>
  <c r="E19" i="75"/>
  <c r="F19" i="75" s="1"/>
  <c r="E24" i="75"/>
  <c r="F24" i="75" s="1"/>
  <c r="E28" i="75"/>
  <c r="F28" i="75" s="1"/>
  <c r="E22" i="75"/>
  <c r="F22" i="75" s="1"/>
  <c r="E21" i="75"/>
  <c r="F21" i="75" s="1"/>
  <c r="E9" i="75"/>
  <c r="F9" i="75" s="1"/>
  <c r="E11" i="75"/>
  <c r="F11" i="75" s="1"/>
  <c r="E13" i="75"/>
  <c r="F13" i="75" s="1"/>
  <c r="E7" i="89"/>
  <c r="E8" i="89" s="1"/>
  <c r="F8" i="89" s="1"/>
  <c r="E22" i="94"/>
  <c r="F22" i="94" s="1"/>
  <c r="E14" i="94"/>
  <c r="F14" i="94" s="1"/>
  <c r="E12" i="94"/>
  <c r="F12" i="94" s="1"/>
  <c r="E21" i="94"/>
  <c r="F21" i="94" s="1"/>
  <c r="E25" i="94"/>
  <c r="F25" i="94" s="1"/>
  <c r="E18" i="94"/>
  <c r="F18" i="94" s="1"/>
  <c r="E16" i="94"/>
  <c r="F16" i="94" s="1"/>
  <c r="E15" i="94"/>
  <c r="F15" i="94" s="1"/>
  <c r="E19" i="94"/>
  <c r="F19" i="94" s="1"/>
  <c r="E33" i="96"/>
  <c r="F33" i="96" s="1"/>
  <c r="E32" i="96"/>
  <c r="F32" i="96" s="1"/>
  <c r="E30" i="96"/>
  <c r="F30" i="96" s="1"/>
  <c r="E28" i="96"/>
  <c r="F28" i="96" s="1"/>
  <c r="E27" i="96"/>
  <c r="F27" i="96" s="1"/>
  <c r="E31" i="96"/>
  <c r="F31" i="96" s="1"/>
  <c r="E29" i="96"/>
  <c r="F29" i="96" s="1"/>
  <c r="E26" i="96"/>
  <c r="F26" i="96" s="1"/>
  <c r="E25" i="96"/>
  <c r="F25" i="96" s="1"/>
  <c r="E23" i="96"/>
  <c r="F23" i="96" s="1"/>
  <c r="E24" i="96"/>
  <c r="F24" i="96" s="1"/>
  <c r="E22" i="96"/>
  <c r="F22" i="96" s="1"/>
  <c r="E11" i="96"/>
  <c r="F11" i="96" s="1"/>
  <c r="E15" i="96"/>
  <c r="F15" i="96" s="1"/>
  <c r="E19" i="96"/>
  <c r="F19" i="96" s="1"/>
  <c r="E8" i="96"/>
  <c r="F8" i="96" s="1"/>
  <c r="E12" i="96"/>
  <c r="F12" i="96" s="1"/>
  <c r="E16" i="96"/>
  <c r="F16" i="96" s="1"/>
  <c r="E20" i="96"/>
  <c r="F20" i="96" s="1"/>
  <c r="E9" i="96"/>
  <c r="F9" i="96" s="1"/>
  <c r="E13" i="96"/>
  <c r="F13" i="96" s="1"/>
  <c r="E17" i="96"/>
  <c r="F17" i="96" s="1"/>
  <c r="E21" i="96"/>
  <c r="F21" i="96" s="1"/>
  <c r="E10" i="96"/>
  <c r="F10" i="96" s="1"/>
  <c r="E14" i="96"/>
  <c r="F14" i="96" s="1"/>
  <c r="E18" i="96"/>
  <c r="F18" i="96" s="1"/>
  <c r="E17" i="49"/>
  <c r="F17" i="49" s="1"/>
  <c r="E18" i="61"/>
  <c r="F18" i="61" s="1"/>
  <c r="E32" i="104"/>
  <c r="F32" i="104" s="1"/>
  <c r="E31" i="104"/>
  <c r="F31" i="104" s="1"/>
  <c r="E33" i="104"/>
  <c r="F33" i="104" s="1"/>
  <c r="E30" i="104"/>
  <c r="F30" i="104" s="1"/>
  <c r="E9" i="104"/>
  <c r="F9" i="104" s="1"/>
  <c r="E17" i="104"/>
  <c r="F17" i="104" s="1"/>
  <c r="E15" i="104"/>
  <c r="F15" i="104" s="1"/>
  <c r="E21" i="104"/>
  <c r="F21" i="104" s="1"/>
  <c r="E25" i="104"/>
  <c r="F25" i="104" s="1"/>
  <c r="E29" i="104"/>
  <c r="F29" i="104" s="1"/>
  <c r="E12" i="104"/>
  <c r="F12" i="104" s="1"/>
  <c r="E16" i="104"/>
  <c r="F16" i="104" s="1"/>
  <c r="E20" i="104"/>
  <c r="F20" i="104" s="1"/>
  <c r="E24" i="104"/>
  <c r="F24" i="104" s="1"/>
  <c r="E28" i="104"/>
  <c r="F28" i="104" s="1"/>
  <c r="E10" i="104"/>
  <c r="F10" i="104" s="1"/>
  <c r="E13" i="104"/>
  <c r="F13" i="104" s="1"/>
  <c r="E19" i="104"/>
  <c r="F19" i="104" s="1"/>
  <c r="E27" i="104"/>
  <c r="F27" i="104" s="1"/>
  <c r="E14" i="104"/>
  <c r="F14" i="104" s="1"/>
  <c r="E22" i="104"/>
  <c r="F22" i="104" s="1"/>
  <c r="E11" i="104"/>
  <c r="F11" i="104" s="1"/>
  <c r="E23" i="104"/>
  <c r="F23" i="104" s="1"/>
  <c r="E8" i="104"/>
  <c r="F8" i="104" s="1"/>
  <c r="E18" i="104"/>
  <c r="F18" i="104" s="1"/>
  <c r="E26" i="104"/>
  <c r="F26" i="104" s="1"/>
  <c r="E8" i="49"/>
  <c r="F8" i="49" s="1"/>
  <c r="E12" i="49"/>
  <c r="F12" i="49" s="1"/>
  <c r="E9" i="49"/>
  <c r="F9" i="49" s="1"/>
  <c r="E13" i="49"/>
  <c r="F13" i="49" s="1"/>
  <c r="E12" i="40"/>
  <c r="F12" i="40" s="1"/>
  <c r="E8" i="40"/>
  <c r="F8" i="40" s="1"/>
  <c r="E14" i="33"/>
  <c r="F14" i="33" s="1"/>
  <c r="E10" i="33"/>
  <c r="F10" i="33" s="1"/>
  <c r="E12" i="59"/>
  <c r="F12" i="59" s="1"/>
  <c r="E32" i="2"/>
  <c r="F32" i="2" s="1"/>
  <c r="E31" i="2"/>
  <c r="F31" i="2" s="1"/>
  <c r="E35" i="6"/>
  <c r="F35" i="6" s="1"/>
  <c r="E34" i="6"/>
  <c r="F34" i="6" s="1"/>
  <c r="E33" i="6"/>
  <c r="F33" i="6" s="1"/>
  <c r="E31" i="6"/>
  <c r="F31" i="6" s="1"/>
  <c r="E32" i="6"/>
  <c r="F32" i="6" s="1"/>
  <c r="E29" i="6"/>
  <c r="F29" i="6" s="1"/>
  <c r="E28" i="6"/>
  <c r="F28" i="6" s="1"/>
  <c r="E27" i="6"/>
  <c r="F27" i="6" s="1"/>
  <c r="E25" i="6"/>
  <c r="F25" i="6" s="1"/>
  <c r="E21" i="6"/>
  <c r="F21" i="6" s="1"/>
  <c r="E30" i="6"/>
  <c r="F30" i="6" s="1"/>
  <c r="E24" i="6"/>
  <c r="F24" i="6" s="1"/>
  <c r="E22" i="6"/>
  <c r="F22" i="6" s="1"/>
  <c r="E23" i="6"/>
  <c r="F23" i="6" s="1"/>
  <c r="E20" i="6"/>
  <c r="F20" i="6" s="1"/>
  <c r="E19" i="6"/>
  <c r="F19" i="6" s="1"/>
  <c r="E18" i="6"/>
  <c r="F18" i="6" s="1"/>
  <c r="E7" i="21"/>
  <c r="E28" i="26"/>
  <c r="F28" i="26" s="1"/>
  <c r="E27" i="26"/>
  <c r="F27" i="26" s="1"/>
  <c r="E26" i="26"/>
  <c r="F26" i="26" s="1"/>
  <c r="E23" i="26"/>
  <c r="F23" i="26" s="1"/>
  <c r="E25" i="26"/>
  <c r="F25" i="26" s="1"/>
  <c r="E24" i="26"/>
  <c r="F24" i="26" s="1"/>
  <c r="E22" i="26"/>
  <c r="F22" i="26" s="1"/>
  <c r="E21" i="26"/>
  <c r="F21" i="26" s="1"/>
  <c r="E20" i="26"/>
  <c r="F20" i="26" s="1"/>
  <c r="E19" i="26"/>
  <c r="F19" i="26" s="1"/>
  <c r="E18" i="26"/>
  <c r="F18" i="26" s="1"/>
  <c r="E17" i="26"/>
  <c r="F17" i="26" s="1"/>
  <c r="E16" i="26"/>
  <c r="F16" i="26" s="1"/>
  <c r="E15" i="26"/>
  <c r="F15" i="26" s="1"/>
  <c r="E7" i="29"/>
  <c r="E7" i="32"/>
  <c r="E38" i="32" s="1"/>
  <c r="F38" i="32" s="1"/>
  <c r="E37" i="41"/>
  <c r="F37" i="41" s="1"/>
  <c r="E38" i="41"/>
  <c r="F38" i="41" s="1"/>
  <c r="E36" i="41"/>
  <c r="F36" i="41" s="1"/>
  <c r="E35" i="41"/>
  <c r="F35" i="41" s="1"/>
  <c r="E32" i="41"/>
  <c r="F32" i="41" s="1"/>
  <c r="E34" i="41"/>
  <c r="F34" i="41" s="1"/>
  <c r="E33" i="41"/>
  <c r="F33" i="41" s="1"/>
  <c r="E31" i="41"/>
  <c r="F31" i="41" s="1"/>
  <c r="E28" i="41"/>
  <c r="F28" i="41" s="1"/>
  <c r="E30" i="41"/>
  <c r="F30" i="41" s="1"/>
  <c r="E29" i="41"/>
  <c r="F29" i="41" s="1"/>
  <c r="E26" i="41"/>
  <c r="F26" i="41" s="1"/>
  <c r="E24" i="41"/>
  <c r="F24" i="41" s="1"/>
  <c r="E27" i="41"/>
  <c r="F27" i="41" s="1"/>
  <c r="E20" i="41"/>
  <c r="F20" i="41" s="1"/>
  <c r="E18" i="41"/>
  <c r="F18" i="41" s="1"/>
  <c r="E17" i="41"/>
  <c r="F17" i="41" s="1"/>
  <c r="E25" i="41"/>
  <c r="F25" i="41" s="1"/>
  <c r="E19" i="41"/>
  <c r="F19" i="41" s="1"/>
  <c r="E21" i="41"/>
  <c r="F21" i="41" s="1"/>
  <c r="E9" i="41"/>
  <c r="F9" i="41" s="1"/>
  <c r="E11" i="41"/>
  <c r="F11" i="41" s="1"/>
  <c r="E13" i="41"/>
  <c r="F13" i="41" s="1"/>
  <c r="E15" i="41"/>
  <c r="F15" i="41" s="1"/>
  <c r="E38" i="46"/>
  <c r="F38" i="46" s="1"/>
  <c r="E32" i="46"/>
  <c r="F32" i="46" s="1"/>
  <c r="E28" i="46"/>
  <c r="F28" i="46" s="1"/>
  <c r="E27" i="46"/>
  <c r="F27" i="46" s="1"/>
  <c r="E26" i="46"/>
  <c r="F26" i="46" s="1"/>
  <c r="E21" i="46"/>
  <c r="F21" i="46" s="1"/>
  <c r="E35" i="50"/>
  <c r="F35" i="50" s="1"/>
  <c r="E34" i="50"/>
  <c r="F34" i="50" s="1"/>
  <c r="E33" i="50"/>
  <c r="F33" i="50" s="1"/>
  <c r="E32" i="50"/>
  <c r="F32" i="50" s="1"/>
  <c r="E30" i="50"/>
  <c r="F30" i="50" s="1"/>
  <c r="E28" i="50"/>
  <c r="F28" i="50" s="1"/>
  <c r="E27" i="50"/>
  <c r="F27" i="50" s="1"/>
  <c r="E26" i="50"/>
  <c r="F26" i="50" s="1"/>
  <c r="E31" i="50"/>
  <c r="F31" i="50" s="1"/>
  <c r="E29" i="50"/>
  <c r="F29" i="50" s="1"/>
  <c r="E21" i="50"/>
  <c r="F21" i="50" s="1"/>
  <c r="E24" i="50"/>
  <c r="F24" i="50" s="1"/>
  <c r="E23" i="50"/>
  <c r="F23" i="50" s="1"/>
  <c r="E22" i="50"/>
  <c r="F22" i="50" s="1"/>
  <c r="E18" i="50"/>
  <c r="F18" i="50" s="1"/>
  <c r="E17" i="50"/>
  <c r="F17" i="50" s="1"/>
  <c r="E16" i="50"/>
  <c r="F16" i="50" s="1"/>
  <c r="E25" i="50"/>
  <c r="F25" i="50" s="1"/>
  <c r="E14" i="50"/>
  <c r="F14" i="50" s="1"/>
  <c r="E19" i="50"/>
  <c r="F19" i="50" s="1"/>
  <c r="E15" i="50"/>
  <c r="F15" i="50" s="1"/>
  <c r="E9" i="50"/>
  <c r="F9" i="50" s="1"/>
  <c r="E11" i="50"/>
  <c r="F11" i="50" s="1"/>
  <c r="E13" i="50"/>
  <c r="F13" i="50" s="1"/>
  <c r="E26" i="58"/>
  <c r="F26" i="58" s="1"/>
  <c r="E30" i="58"/>
  <c r="F30" i="58" s="1"/>
  <c r="E27" i="58"/>
  <c r="F27" i="58" s="1"/>
  <c r="E31" i="58"/>
  <c r="F31" i="58" s="1"/>
  <c r="E32" i="58"/>
  <c r="F32" i="58" s="1"/>
  <c r="E25" i="58"/>
  <c r="F25" i="58" s="1"/>
  <c r="E33" i="58"/>
  <c r="F33" i="58" s="1"/>
  <c r="E34" i="58"/>
  <c r="F34" i="58" s="1"/>
  <c r="E35" i="58"/>
  <c r="F35" i="58" s="1"/>
  <c r="E28" i="58"/>
  <c r="F28" i="58" s="1"/>
  <c r="E36" i="58"/>
  <c r="F36" i="58" s="1"/>
  <c r="E29" i="58"/>
  <c r="F29" i="58" s="1"/>
  <c r="E21" i="58"/>
  <c r="F21" i="58" s="1"/>
  <c r="E23" i="58"/>
  <c r="F23" i="58" s="1"/>
  <c r="E19" i="58"/>
  <c r="F19" i="58" s="1"/>
  <c r="E24" i="58"/>
  <c r="F24" i="58" s="1"/>
  <c r="E20" i="58"/>
  <c r="F20" i="58" s="1"/>
  <c r="E15" i="58"/>
  <c r="F15" i="58" s="1"/>
  <c r="E18" i="58"/>
  <c r="F18" i="58" s="1"/>
  <c r="E16" i="58"/>
  <c r="F16" i="58" s="1"/>
  <c r="E9" i="58"/>
  <c r="F9" i="58" s="1"/>
  <c r="E11" i="58"/>
  <c r="F11" i="58" s="1"/>
  <c r="E13" i="58"/>
  <c r="F13" i="58" s="1"/>
  <c r="E36" i="60"/>
  <c r="F36" i="60" s="1"/>
  <c r="E25" i="60"/>
  <c r="F25" i="60" s="1"/>
  <c r="E29" i="60"/>
  <c r="F29" i="60" s="1"/>
  <c r="E33" i="60"/>
  <c r="F33" i="60" s="1"/>
  <c r="E26" i="60"/>
  <c r="F26" i="60" s="1"/>
  <c r="E30" i="60"/>
  <c r="F30" i="60" s="1"/>
  <c r="E34" i="60"/>
  <c r="F34" i="60" s="1"/>
  <c r="E27" i="60"/>
  <c r="F27" i="60" s="1"/>
  <c r="E35" i="60"/>
  <c r="F35" i="60" s="1"/>
  <c r="E28" i="60"/>
  <c r="F28" i="60" s="1"/>
  <c r="E31" i="60"/>
  <c r="F31" i="60" s="1"/>
  <c r="E32" i="60"/>
  <c r="F32" i="60" s="1"/>
  <c r="E22" i="60"/>
  <c r="F22" i="60" s="1"/>
  <c r="E24" i="60"/>
  <c r="F24" i="60" s="1"/>
  <c r="E23" i="60"/>
  <c r="F23" i="60" s="1"/>
  <c r="E19" i="60"/>
  <c r="F19" i="60" s="1"/>
  <c r="E18" i="60"/>
  <c r="F18" i="60" s="1"/>
  <c r="E17" i="60"/>
  <c r="F17" i="60" s="1"/>
  <c r="E16" i="60"/>
  <c r="F16" i="60" s="1"/>
  <c r="E20" i="60"/>
  <c r="F20" i="60" s="1"/>
  <c r="E15" i="60"/>
  <c r="F15" i="60" s="1"/>
  <c r="E9" i="60"/>
  <c r="F9" i="60" s="1"/>
  <c r="E11" i="60"/>
  <c r="F11" i="60" s="1"/>
  <c r="E13" i="60"/>
  <c r="F13" i="60" s="1"/>
  <c r="E36" i="62"/>
  <c r="F36" i="62" s="1"/>
  <c r="E33" i="62"/>
  <c r="F33" i="62" s="1"/>
  <c r="E30" i="62"/>
  <c r="F30" i="62" s="1"/>
  <c r="E29" i="62"/>
  <c r="F29" i="62" s="1"/>
  <c r="E28" i="62"/>
  <c r="F28" i="62" s="1"/>
  <c r="E24" i="62"/>
  <c r="F24" i="62" s="1"/>
  <c r="E19" i="62"/>
  <c r="F19" i="62" s="1"/>
  <c r="E17" i="62"/>
  <c r="F17" i="62" s="1"/>
  <c r="E23" i="62"/>
  <c r="F23" i="62" s="1"/>
  <c r="E19" i="65"/>
  <c r="F19" i="65" s="1"/>
  <c r="E18" i="65"/>
  <c r="F18" i="65" s="1"/>
  <c r="E7" i="68"/>
  <c r="E7" i="69"/>
  <c r="E42" i="69" s="1"/>
  <c r="F42" i="69" s="1"/>
  <c r="E55" i="69"/>
  <c r="F55" i="69" s="1"/>
  <c r="E26" i="29"/>
  <c r="F26" i="29" s="1"/>
  <c r="E16" i="41"/>
  <c r="F16" i="41" s="1"/>
  <c r="E37" i="43"/>
  <c r="F37" i="43" s="1"/>
  <c r="E38" i="43"/>
  <c r="F38" i="43" s="1"/>
  <c r="E35" i="43"/>
  <c r="F35" i="43" s="1"/>
  <c r="E32" i="43"/>
  <c r="F32" i="43" s="1"/>
  <c r="E33" i="43"/>
  <c r="F33" i="43" s="1"/>
  <c r="E31" i="43"/>
  <c r="F31" i="43" s="1"/>
  <c r="E36" i="43"/>
  <c r="F36" i="43" s="1"/>
  <c r="E34" i="43"/>
  <c r="F34" i="43" s="1"/>
  <c r="E30" i="43"/>
  <c r="F30" i="43" s="1"/>
  <c r="E28" i="43"/>
  <c r="F28" i="43" s="1"/>
  <c r="E22" i="43"/>
  <c r="F22" i="43" s="1"/>
  <c r="E26" i="43"/>
  <c r="F26" i="43" s="1"/>
  <c r="E24" i="43"/>
  <c r="F24" i="43" s="1"/>
  <c r="E25" i="43"/>
  <c r="F25" i="43" s="1"/>
  <c r="E19" i="43"/>
  <c r="F19" i="43" s="1"/>
  <c r="E23" i="43"/>
  <c r="F23" i="43" s="1"/>
  <c r="E16" i="43"/>
  <c r="F16" i="43" s="1"/>
  <c r="E20" i="43"/>
  <c r="F20" i="43" s="1"/>
  <c r="E17" i="43"/>
  <c r="F17" i="43" s="1"/>
  <c r="E18" i="43"/>
  <c r="F18" i="43" s="1"/>
  <c r="E29" i="43"/>
  <c r="F29" i="43" s="1"/>
  <c r="E21" i="43"/>
  <c r="F21" i="43" s="1"/>
  <c r="E30" i="107"/>
  <c r="F30" i="107" s="1"/>
  <c r="E29" i="107"/>
  <c r="F29" i="107" s="1"/>
  <c r="E28" i="107"/>
  <c r="F28" i="107" s="1"/>
  <c r="E27" i="107"/>
  <c r="F27" i="107" s="1"/>
  <c r="E24" i="107"/>
  <c r="F24" i="107" s="1"/>
  <c r="E26" i="107"/>
  <c r="F26" i="107" s="1"/>
  <c r="E25" i="107"/>
  <c r="F25" i="107" s="1"/>
  <c r="E23" i="107"/>
  <c r="F23" i="107" s="1"/>
  <c r="E22" i="107"/>
  <c r="F22" i="107" s="1"/>
  <c r="E21" i="107"/>
  <c r="F21" i="107" s="1"/>
  <c r="E11" i="107"/>
  <c r="F11" i="107" s="1"/>
  <c r="E15" i="107"/>
  <c r="F15" i="107" s="1"/>
  <c r="E19" i="107"/>
  <c r="F19" i="107" s="1"/>
  <c r="E10" i="107"/>
  <c r="F10" i="107" s="1"/>
  <c r="E14" i="107"/>
  <c r="F14" i="107" s="1"/>
  <c r="E18" i="107"/>
  <c r="F18" i="107" s="1"/>
  <c r="E20" i="107"/>
  <c r="F20" i="107" s="1"/>
  <c r="E9" i="107"/>
  <c r="F9" i="107" s="1"/>
  <c r="E17" i="107"/>
  <c r="F17" i="107" s="1"/>
  <c r="E12" i="107"/>
  <c r="F12" i="107" s="1"/>
  <c r="E13" i="107"/>
  <c r="F13" i="107" s="1"/>
  <c r="E8" i="107"/>
  <c r="F8" i="107" s="1"/>
  <c r="E16" i="107"/>
  <c r="F16" i="107" s="1"/>
  <c r="E20" i="50"/>
  <c r="F20" i="50" s="1"/>
  <c r="E23" i="41"/>
  <c r="F23" i="41" s="1"/>
  <c r="E32" i="33"/>
  <c r="F32" i="33" s="1"/>
  <c r="E35" i="33"/>
  <c r="F35" i="33" s="1"/>
  <c r="E34" i="33"/>
  <c r="F34" i="33" s="1"/>
  <c r="E30" i="33"/>
  <c r="F30" i="33" s="1"/>
  <c r="E27" i="33"/>
  <c r="F27" i="33" s="1"/>
  <c r="E26" i="33"/>
  <c r="F26" i="33" s="1"/>
  <c r="E23" i="33"/>
  <c r="F23" i="33" s="1"/>
  <c r="E29" i="68"/>
  <c r="F29" i="68" s="1"/>
  <c r="E15" i="40"/>
  <c r="F15" i="40" s="1"/>
  <c r="E11" i="40"/>
  <c r="F11" i="40" s="1"/>
  <c r="E19" i="33"/>
  <c r="F19" i="33" s="1"/>
  <c r="E15" i="33"/>
  <c r="F15" i="33" s="1"/>
  <c r="E27" i="32"/>
  <c r="F27" i="32" s="1"/>
  <c r="E15" i="32"/>
  <c r="F15" i="32" s="1"/>
  <c r="E20" i="29"/>
  <c r="F20" i="29" s="1"/>
  <c r="E16" i="29"/>
  <c r="F16" i="29" s="1"/>
  <c r="E12" i="29"/>
  <c r="F12" i="29" s="1"/>
  <c r="E8" i="29"/>
  <c r="F8" i="29" s="1"/>
  <c r="E33" i="3"/>
  <c r="F33" i="3" s="1"/>
  <c r="E35" i="3"/>
  <c r="F35" i="3" s="1"/>
  <c r="E31" i="3"/>
  <c r="F31" i="3" s="1"/>
  <c r="E30" i="3"/>
  <c r="F30" i="3" s="1"/>
  <c r="E29" i="3"/>
  <c r="F29" i="3" s="1"/>
  <c r="E27" i="3"/>
  <c r="F27" i="3" s="1"/>
  <c r="E26" i="3"/>
  <c r="F26" i="3" s="1"/>
  <c r="E21" i="3"/>
  <c r="F21" i="3" s="1"/>
  <c r="E32" i="3"/>
  <c r="F32" i="3" s="1"/>
  <c r="E24" i="3"/>
  <c r="F24" i="3" s="1"/>
  <c r="E20" i="3"/>
  <c r="F20" i="3" s="1"/>
  <c r="E22" i="3"/>
  <c r="F22" i="3" s="1"/>
  <c r="E11" i="3"/>
  <c r="F11" i="3" s="1"/>
  <c r="E13" i="3"/>
  <c r="F13" i="3" s="1"/>
  <c r="E15" i="3"/>
  <c r="F15" i="3" s="1"/>
  <c r="E44" i="20"/>
  <c r="F44" i="20" s="1"/>
  <c r="E43" i="20"/>
  <c r="F43" i="20" s="1"/>
  <c r="E41" i="20"/>
  <c r="F41" i="20" s="1"/>
  <c r="E42" i="20"/>
  <c r="F42" i="20" s="1"/>
  <c r="E37" i="20"/>
  <c r="F37" i="20" s="1"/>
  <c r="E38" i="20"/>
  <c r="F38" i="20" s="1"/>
  <c r="E31" i="20"/>
  <c r="F31" i="20" s="1"/>
  <c r="E39" i="20"/>
  <c r="F39" i="20" s="1"/>
  <c r="E34" i="20"/>
  <c r="F34" i="20" s="1"/>
  <c r="E36" i="20"/>
  <c r="F36" i="20" s="1"/>
  <c r="E30" i="20"/>
  <c r="F30" i="20" s="1"/>
  <c r="E25" i="20"/>
  <c r="F25" i="20" s="1"/>
  <c r="E29" i="20"/>
  <c r="F29" i="20" s="1"/>
  <c r="E28" i="20"/>
  <c r="F28" i="20" s="1"/>
  <c r="E33" i="20"/>
  <c r="F33" i="20" s="1"/>
  <c r="E26" i="20"/>
  <c r="F26" i="20" s="1"/>
  <c r="E45" i="21"/>
  <c r="F45" i="21" s="1"/>
  <c r="E44" i="21"/>
  <c r="F44" i="21" s="1"/>
  <c r="E41" i="21"/>
  <c r="F41" i="21" s="1"/>
  <c r="E39" i="21"/>
  <c r="F39" i="21" s="1"/>
  <c r="E38" i="21"/>
  <c r="F38" i="21" s="1"/>
  <c r="E37" i="21"/>
  <c r="F37" i="21" s="1"/>
  <c r="E35" i="21"/>
  <c r="F35" i="21" s="1"/>
  <c r="E32" i="21"/>
  <c r="F32" i="21" s="1"/>
  <c r="E40" i="21"/>
  <c r="F40" i="21" s="1"/>
  <c r="E27" i="21"/>
  <c r="F27" i="21" s="1"/>
  <c r="E24" i="21"/>
  <c r="F24" i="21" s="1"/>
  <c r="E34" i="28"/>
  <c r="F34" i="28" s="1"/>
  <c r="E33" i="28"/>
  <c r="F33" i="28" s="1"/>
  <c r="E32" i="28"/>
  <c r="F32" i="28" s="1"/>
  <c r="E29" i="28"/>
  <c r="F29" i="28" s="1"/>
  <c r="E31" i="28"/>
  <c r="F31" i="28" s="1"/>
  <c r="E30" i="28"/>
  <c r="F30" i="28" s="1"/>
  <c r="E28" i="28"/>
  <c r="F28" i="28" s="1"/>
  <c r="E25" i="28"/>
  <c r="F25" i="28" s="1"/>
  <c r="E27" i="28"/>
  <c r="F27" i="28" s="1"/>
  <c r="E23" i="28"/>
  <c r="F23" i="28" s="1"/>
  <c r="E26" i="28"/>
  <c r="F26" i="28" s="1"/>
  <c r="E24" i="28"/>
  <c r="F24" i="28" s="1"/>
  <c r="E18" i="28"/>
  <c r="F18" i="28" s="1"/>
  <c r="E20" i="28"/>
  <c r="F20" i="28" s="1"/>
  <c r="E22" i="28"/>
  <c r="F22" i="28" s="1"/>
  <c r="E21" i="28"/>
  <c r="F21" i="28" s="1"/>
  <c r="E17" i="28"/>
  <c r="F17" i="28" s="1"/>
  <c r="E19" i="28"/>
  <c r="F19" i="28" s="1"/>
  <c r="E37" i="42"/>
  <c r="F37" i="42" s="1"/>
  <c r="E36" i="42"/>
  <c r="F36" i="42" s="1"/>
  <c r="E38" i="42"/>
  <c r="F38" i="42" s="1"/>
  <c r="E33" i="42"/>
  <c r="F33" i="42" s="1"/>
  <c r="E34" i="42"/>
  <c r="F34" i="42" s="1"/>
  <c r="E35" i="42"/>
  <c r="F35" i="42" s="1"/>
  <c r="E32" i="42"/>
  <c r="F32" i="42" s="1"/>
  <c r="E31" i="42"/>
  <c r="F31" i="42" s="1"/>
  <c r="E30" i="42"/>
  <c r="F30" i="42" s="1"/>
  <c r="E29" i="42"/>
  <c r="F29" i="42" s="1"/>
  <c r="E28" i="42"/>
  <c r="F28" i="42" s="1"/>
  <c r="E27" i="42"/>
  <c r="F27" i="42" s="1"/>
  <c r="E23" i="42"/>
  <c r="F23" i="42" s="1"/>
  <c r="E22" i="42"/>
  <c r="F22" i="42" s="1"/>
  <c r="E25" i="42"/>
  <c r="F25" i="42" s="1"/>
  <c r="E24" i="42"/>
  <c r="F24" i="42" s="1"/>
  <c r="E21" i="42"/>
  <c r="F21" i="42" s="1"/>
  <c r="E19" i="42"/>
  <c r="F19" i="42" s="1"/>
  <c r="E20" i="42"/>
  <c r="F20" i="42" s="1"/>
  <c r="E17" i="42"/>
  <c r="F17" i="42" s="1"/>
  <c r="E16" i="42"/>
  <c r="F16" i="42" s="1"/>
  <c r="E26" i="42"/>
  <c r="F26" i="42" s="1"/>
  <c r="E8" i="45"/>
  <c r="F8" i="45" s="1"/>
  <c r="E10" i="45"/>
  <c r="F10" i="45" s="1"/>
  <c r="E12" i="45"/>
  <c r="F12" i="45" s="1"/>
  <c r="E14" i="45"/>
  <c r="F14" i="45" s="1"/>
  <c r="E37" i="47"/>
  <c r="F37" i="47" s="1"/>
  <c r="E38" i="47"/>
  <c r="F38" i="47" s="1"/>
  <c r="E35" i="47"/>
  <c r="F35" i="47" s="1"/>
  <c r="E32" i="47"/>
  <c r="F32" i="47" s="1"/>
  <c r="E36" i="47"/>
  <c r="F36" i="47" s="1"/>
  <c r="E34" i="47"/>
  <c r="F34" i="47" s="1"/>
  <c r="E33" i="47"/>
  <c r="F33" i="47" s="1"/>
  <c r="E31" i="47"/>
  <c r="F31" i="47" s="1"/>
  <c r="E30" i="47"/>
  <c r="F30" i="47" s="1"/>
  <c r="E28" i="47"/>
  <c r="F28" i="47" s="1"/>
  <c r="E22" i="47"/>
  <c r="F22" i="47" s="1"/>
  <c r="E26" i="47"/>
  <c r="F26" i="47" s="1"/>
  <c r="E24" i="47"/>
  <c r="F24" i="47" s="1"/>
  <c r="E29" i="47"/>
  <c r="F29" i="47" s="1"/>
  <c r="E25" i="47"/>
  <c r="F25" i="47" s="1"/>
  <c r="E21" i="47"/>
  <c r="F21" i="47" s="1"/>
  <c r="E19" i="47"/>
  <c r="F19" i="47" s="1"/>
  <c r="E23" i="47"/>
  <c r="F23" i="47" s="1"/>
  <c r="E16" i="47"/>
  <c r="F16" i="47" s="1"/>
  <c r="E27" i="47"/>
  <c r="F27" i="47" s="1"/>
  <c r="E17" i="47"/>
  <c r="F17" i="47" s="1"/>
  <c r="E20" i="47"/>
  <c r="F20" i="47" s="1"/>
  <c r="E9" i="47"/>
  <c r="F9" i="47" s="1"/>
  <c r="E11" i="47"/>
  <c r="F11" i="47" s="1"/>
  <c r="E13" i="47"/>
  <c r="F13" i="47" s="1"/>
  <c r="E15" i="47"/>
  <c r="F15" i="47" s="1"/>
  <c r="E36" i="51"/>
  <c r="F36" i="51" s="1"/>
  <c r="E33" i="51"/>
  <c r="F33" i="51" s="1"/>
  <c r="E32" i="51"/>
  <c r="F32" i="51" s="1"/>
  <c r="E34" i="51"/>
  <c r="F34" i="51" s="1"/>
  <c r="E30" i="51"/>
  <c r="F30" i="51" s="1"/>
  <c r="E35" i="51"/>
  <c r="F35" i="51" s="1"/>
  <c r="E16" i="51"/>
  <c r="F16" i="51" s="1"/>
  <c r="E18" i="51"/>
  <c r="F18" i="51" s="1"/>
  <c r="E20" i="51"/>
  <c r="F20" i="51" s="1"/>
  <c r="E22" i="51"/>
  <c r="F22" i="51" s="1"/>
  <c r="E24" i="51"/>
  <c r="F24" i="51" s="1"/>
  <c r="E26" i="51"/>
  <c r="F26" i="51" s="1"/>
  <c r="E28" i="51"/>
  <c r="F28" i="51" s="1"/>
  <c r="E31" i="51"/>
  <c r="F31" i="51" s="1"/>
  <c r="E17" i="51"/>
  <c r="F17" i="51" s="1"/>
  <c r="E19" i="51"/>
  <c r="F19" i="51" s="1"/>
  <c r="E21" i="51"/>
  <c r="F21" i="51" s="1"/>
  <c r="E23" i="51"/>
  <c r="F23" i="51" s="1"/>
  <c r="E25" i="51"/>
  <c r="F25" i="51" s="1"/>
  <c r="E27" i="51"/>
  <c r="F27" i="51" s="1"/>
  <c r="E29" i="51"/>
  <c r="F29" i="51" s="1"/>
  <c r="E15" i="51"/>
  <c r="F15" i="51" s="1"/>
  <c r="E8" i="61"/>
  <c r="F8" i="61" s="1"/>
  <c r="E10" i="61"/>
  <c r="F10" i="61" s="1"/>
  <c r="E12" i="61"/>
  <c r="F12" i="61" s="1"/>
  <c r="E14" i="61"/>
  <c r="F14" i="61" s="1"/>
  <c r="E35" i="63"/>
  <c r="F35" i="63" s="1"/>
  <c r="E36" i="63"/>
  <c r="F36" i="63" s="1"/>
  <c r="E34" i="63"/>
  <c r="F34" i="63" s="1"/>
  <c r="E32" i="63"/>
  <c r="F32" i="63" s="1"/>
  <c r="E33" i="63"/>
  <c r="F33" i="63" s="1"/>
  <c r="E31" i="63"/>
  <c r="F31" i="63" s="1"/>
  <c r="E30" i="63"/>
  <c r="F30" i="63" s="1"/>
  <c r="E29" i="63"/>
  <c r="F29" i="63" s="1"/>
  <c r="E28" i="63"/>
  <c r="F28" i="63" s="1"/>
  <c r="E27" i="63"/>
  <c r="F27" i="63" s="1"/>
  <c r="E21" i="63"/>
  <c r="F21" i="63" s="1"/>
  <c r="E25" i="63"/>
  <c r="F25" i="63" s="1"/>
  <c r="E23" i="63"/>
  <c r="F23" i="63" s="1"/>
  <c r="E26" i="63"/>
  <c r="F26" i="63" s="1"/>
  <c r="E19" i="63"/>
  <c r="F19" i="63" s="1"/>
  <c r="E20" i="63"/>
  <c r="F20" i="63" s="1"/>
  <c r="E22" i="63"/>
  <c r="F22" i="63" s="1"/>
  <c r="E18" i="63"/>
  <c r="F18" i="63" s="1"/>
  <c r="E24" i="63"/>
  <c r="F24" i="63" s="1"/>
  <c r="E16" i="63"/>
  <c r="F16" i="63" s="1"/>
  <c r="E9" i="63"/>
  <c r="F9" i="63" s="1"/>
  <c r="E11" i="63"/>
  <c r="F11" i="63" s="1"/>
  <c r="E13" i="63"/>
  <c r="F13" i="63" s="1"/>
  <c r="E15" i="63"/>
  <c r="F15" i="63" s="1"/>
  <c r="E13" i="66"/>
  <c r="F13" i="66" s="1"/>
  <c r="E17" i="66"/>
  <c r="F17" i="66" s="1"/>
  <c r="E8" i="75"/>
  <c r="F8" i="75" s="1"/>
  <c r="E10" i="75"/>
  <c r="F10" i="75" s="1"/>
  <c r="E12" i="75"/>
  <c r="F12" i="75" s="1"/>
  <c r="E14" i="75"/>
  <c r="F14" i="75" s="1"/>
  <c r="E16" i="75"/>
  <c r="F16" i="75" s="1"/>
  <c r="E18" i="75"/>
  <c r="F18" i="75" s="1"/>
  <c r="E48" i="83"/>
  <c r="F48" i="83" s="1"/>
  <c r="E47" i="83"/>
  <c r="F47" i="83" s="1"/>
  <c r="E44" i="83"/>
  <c r="F44" i="83" s="1"/>
  <c r="E43" i="83"/>
  <c r="F43" i="83" s="1"/>
  <c r="E46" i="83"/>
  <c r="F46" i="83" s="1"/>
  <c r="E42" i="83"/>
  <c r="F42" i="83" s="1"/>
  <c r="E45" i="83"/>
  <c r="F45" i="83" s="1"/>
  <c r="E41" i="83"/>
  <c r="F41" i="83" s="1"/>
  <c r="E39" i="83"/>
  <c r="F39" i="83" s="1"/>
  <c r="E37" i="83"/>
  <c r="F37" i="83" s="1"/>
  <c r="E35" i="83"/>
  <c r="F35" i="83" s="1"/>
  <c r="E40" i="83"/>
  <c r="F40" i="83" s="1"/>
  <c r="E38" i="83"/>
  <c r="F38" i="83" s="1"/>
  <c r="E32" i="83"/>
  <c r="F32" i="83" s="1"/>
  <c r="E31" i="83"/>
  <c r="F31" i="83" s="1"/>
  <c r="E30" i="83"/>
  <c r="F30" i="83" s="1"/>
  <c r="E36" i="83"/>
  <c r="F36" i="83" s="1"/>
  <c r="E29" i="83"/>
  <c r="F29" i="83" s="1"/>
  <c r="E26" i="83"/>
  <c r="F26" i="83" s="1"/>
  <c r="E28" i="83"/>
  <c r="F28" i="83" s="1"/>
  <c r="E34" i="83"/>
  <c r="F34" i="83" s="1"/>
  <c r="E33" i="83"/>
  <c r="F33" i="83" s="1"/>
  <c r="E25" i="83"/>
  <c r="F25" i="83" s="1"/>
  <c r="E27" i="83"/>
  <c r="F27" i="83" s="1"/>
  <c r="E47" i="90"/>
  <c r="F47" i="90" s="1"/>
  <c r="E43" i="90"/>
  <c r="F43" i="90" s="1"/>
  <c r="E35" i="90"/>
  <c r="F35" i="90" s="1"/>
  <c r="E45" i="90"/>
  <c r="F45" i="90" s="1"/>
  <c r="E30" i="90"/>
  <c r="F30" i="90" s="1"/>
  <c r="E27" i="100"/>
  <c r="F27" i="100" s="1"/>
  <c r="E26" i="100"/>
  <c r="F26" i="100" s="1"/>
  <c r="E25" i="100"/>
  <c r="F25" i="100" s="1"/>
  <c r="E24" i="100"/>
  <c r="F24" i="100" s="1"/>
  <c r="E23" i="100"/>
  <c r="F23" i="100" s="1"/>
  <c r="E21" i="100"/>
  <c r="F21" i="100" s="1"/>
  <c r="E20" i="100"/>
  <c r="F20" i="100" s="1"/>
  <c r="E22" i="100"/>
  <c r="F22" i="100" s="1"/>
  <c r="E19" i="100"/>
  <c r="F19" i="100" s="1"/>
  <c r="E18" i="100"/>
  <c r="F18" i="100" s="1"/>
  <c r="E13" i="100"/>
  <c r="F13" i="100" s="1"/>
  <c r="E15" i="100"/>
  <c r="F15" i="100" s="1"/>
  <c r="E8" i="100"/>
  <c r="F8" i="100" s="1"/>
  <c r="E12" i="100"/>
  <c r="F12" i="100" s="1"/>
  <c r="E16" i="100"/>
  <c r="F16" i="100" s="1"/>
  <c r="E9" i="100"/>
  <c r="F9" i="100" s="1"/>
  <c r="E11" i="100"/>
  <c r="F11" i="100" s="1"/>
  <c r="E17" i="100"/>
  <c r="F17" i="100" s="1"/>
  <c r="E10" i="100"/>
  <c r="F10" i="100" s="1"/>
  <c r="E14" i="100"/>
  <c r="F14" i="100" s="1"/>
  <c r="E17" i="40"/>
  <c r="F17" i="40" s="1"/>
  <c r="E17" i="58"/>
  <c r="F17" i="58" s="1"/>
  <c r="E28" i="102"/>
  <c r="F28" i="102" s="1"/>
  <c r="E27" i="102"/>
  <c r="F27" i="102" s="1"/>
  <c r="E29" i="102"/>
  <c r="F29" i="102" s="1"/>
  <c r="E25" i="102"/>
  <c r="F25" i="102" s="1"/>
  <c r="E24" i="102"/>
  <c r="F24" i="102" s="1"/>
  <c r="E23" i="102"/>
  <c r="F23" i="102" s="1"/>
  <c r="E26" i="102"/>
  <c r="F26" i="102" s="1"/>
  <c r="E20" i="102"/>
  <c r="F20" i="102" s="1"/>
  <c r="E21" i="102"/>
  <c r="F21" i="102" s="1"/>
  <c r="E22" i="102"/>
  <c r="F22" i="102" s="1"/>
  <c r="E16" i="102"/>
  <c r="F16" i="102" s="1"/>
  <c r="E17" i="102"/>
  <c r="F17" i="102" s="1"/>
  <c r="E9" i="102"/>
  <c r="F9" i="102" s="1"/>
  <c r="E10" i="102"/>
  <c r="F10" i="102" s="1"/>
  <c r="E8" i="102"/>
  <c r="F8" i="102" s="1"/>
  <c r="E12" i="102"/>
  <c r="F12" i="102" s="1"/>
  <c r="E14" i="102"/>
  <c r="F14" i="102" s="1"/>
  <c r="E15" i="102"/>
  <c r="F15" i="102" s="1"/>
  <c r="E13" i="102"/>
  <c r="F13" i="102" s="1"/>
  <c r="E18" i="102"/>
  <c r="F18" i="102" s="1"/>
  <c r="E11" i="102"/>
  <c r="F11" i="102" s="1"/>
  <c r="E21" i="60"/>
  <c r="F21" i="60" s="1"/>
  <c r="E22" i="49"/>
  <c r="F22" i="49" s="1"/>
  <c r="E26" i="61"/>
  <c r="F26" i="61" s="1"/>
  <c r="E31" i="92"/>
  <c r="F31" i="92" s="1"/>
  <c r="E29" i="92"/>
  <c r="F29" i="92" s="1"/>
  <c r="E27" i="92"/>
  <c r="F27" i="92" s="1"/>
  <c r="E28" i="92"/>
  <c r="F28" i="92" s="1"/>
  <c r="E24" i="92"/>
  <c r="F24" i="92" s="1"/>
  <c r="E22" i="92"/>
  <c r="F22" i="92" s="1"/>
  <c r="E17" i="92"/>
  <c r="F17" i="92" s="1"/>
  <c r="E18" i="92"/>
  <c r="F18" i="92" s="1"/>
  <c r="E16" i="92"/>
  <c r="F16" i="92" s="1"/>
  <c r="E28" i="95"/>
  <c r="F28" i="95" s="1"/>
  <c r="E29" i="95"/>
  <c r="F29" i="95" s="1"/>
  <c r="E32" i="99"/>
  <c r="F32" i="99" s="1"/>
  <c r="E24" i="99"/>
  <c r="F24" i="99" s="1"/>
  <c r="E28" i="99"/>
  <c r="F28" i="99" s="1"/>
  <c r="E25" i="99"/>
  <c r="F25" i="99" s="1"/>
  <c r="E29" i="99"/>
  <c r="F29" i="99" s="1"/>
  <c r="E30" i="99"/>
  <c r="F30" i="99" s="1"/>
  <c r="E31" i="99"/>
  <c r="F31" i="99" s="1"/>
  <c r="E26" i="99"/>
  <c r="F26" i="99" s="1"/>
  <c r="E27" i="99"/>
  <c r="F27" i="99" s="1"/>
  <c r="E23" i="99"/>
  <c r="F23" i="99" s="1"/>
  <c r="E32" i="105"/>
  <c r="F32" i="105" s="1"/>
  <c r="E31" i="105"/>
  <c r="F31" i="105" s="1"/>
  <c r="E33" i="105"/>
  <c r="F33" i="105" s="1"/>
  <c r="E30" i="105"/>
  <c r="F30" i="105" s="1"/>
  <c r="E29" i="105"/>
  <c r="F29" i="105" s="1"/>
  <c r="E12" i="105"/>
  <c r="F12" i="105" s="1"/>
  <c r="E18" i="105"/>
  <c r="F18" i="105" s="1"/>
  <c r="E22" i="105"/>
  <c r="F22" i="105" s="1"/>
  <c r="E26" i="105"/>
  <c r="F26" i="105" s="1"/>
  <c r="E9" i="105"/>
  <c r="F9" i="105" s="1"/>
  <c r="E14" i="105"/>
  <c r="F14" i="105" s="1"/>
  <c r="E13" i="105"/>
  <c r="F13" i="105" s="1"/>
  <c r="E17" i="105"/>
  <c r="F17" i="105" s="1"/>
  <c r="E21" i="105"/>
  <c r="F21" i="105" s="1"/>
  <c r="E25" i="105"/>
  <c r="F25" i="105" s="1"/>
  <c r="E11" i="92"/>
  <c r="F11" i="92" s="1"/>
  <c r="E32" i="98"/>
  <c r="F32" i="98" s="1"/>
  <c r="E31" i="98"/>
  <c r="F31" i="98" s="1"/>
  <c r="E33" i="98"/>
  <c r="F33" i="98" s="1"/>
  <c r="E30" i="98"/>
  <c r="F30" i="98" s="1"/>
  <c r="E29" i="98"/>
  <c r="F29" i="98" s="1"/>
  <c r="E28" i="98"/>
  <c r="F28" i="98" s="1"/>
  <c r="E26" i="98"/>
  <c r="F26" i="98" s="1"/>
  <c r="E24" i="98"/>
  <c r="F24" i="98" s="1"/>
  <c r="E27" i="98"/>
  <c r="F27" i="98" s="1"/>
  <c r="E25" i="98"/>
  <c r="F25" i="98" s="1"/>
  <c r="E23" i="98"/>
  <c r="F23" i="98" s="1"/>
  <c r="E14" i="98"/>
  <c r="F14" i="98" s="1"/>
  <c r="E10" i="98"/>
  <c r="F10" i="98" s="1"/>
  <c r="E21" i="98"/>
  <c r="F21" i="98" s="1"/>
  <c r="E17" i="98"/>
  <c r="F17" i="98" s="1"/>
  <c r="E13" i="98"/>
  <c r="F13" i="98" s="1"/>
  <c r="E9" i="98"/>
  <c r="F9" i="98" s="1"/>
  <c r="E18" i="99"/>
  <c r="F18" i="99" s="1"/>
  <c r="E14" i="99"/>
  <c r="F14" i="99" s="1"/>
  <c r="E10" i="99"/>
  <c r="F10" i="99" s="1"/>
  <c r="E21" i="99"/>
  <c r="F21" i="99" s="1"/>
  <c r="E17" i="99"/>
  <c r="F17" i="99" s="1"/>
  <c r="E13" i="99"/>
  <c r="F13" i="99" s="1"/>
  <c r="E9" i="99"/>
  <c r="F9" i="99" s="1"/>
  <c r="E20" i="95"/>
  <c r="F20" i="95" s="1"/>
  <c r="E31" i="97"/>
  <c r="F31" i="97" s="1"/>
  <c r="E32" i="97"/>
  <c r="F32" i="97" s="1"/>
  <c r="E29" i="97"/>
  <c r="F29" i="97" s="1"/>
  <c r="E28" i="97"/>
  <c r="F28" i="97" s="1"/>
  <c r="E27" i="97"/>
  <c r="F27" i="97" s="1"/>
  <c r="E30" i="97"/>
  <c r="F30" i="97" s="1"/>
  <c r="E26" i="97"/>
  <c r="F26" i="97" s="1"/>
  <c r="E24" i="97"/>
  <c r="F24" i="97" s="1"/>
  <c r="E25" i="97"/>
  <c r="F25" i="97" s="1"/>
  <c r="E23" i="97"/>
  <c r="F23" i="97" s="1"/>
  <c r="E30" i="103"/>
  <c r="F30" i="103" s="1"/>
  <c r="E31" i="103"/>
  <c r="F31" i="103" s="1"/>
  <c r="E8" i="103"/>
  <c r="F8" i="103" s="1"/>
  <c r="E27" i="103"/>
  <c r="F27" i="103" s="1"/>
  <c r="E23" i="103"/>
  <c r="F23" i="103" s="1"/>
  <c r="E19" i="103"/>
  <c r="F19" i="103" s="1"/>
  <c r="E15" i="103"/>
  <c r="F15" i="103" s="1"/>
  <c r="E11" i="103"/>
  <c r="F11" i="103" s="1"/>
  <c r="E28" i="103"/>
  <c r="F28" i="103" s="1"/>
  <c r="E24" i="103"/>
  <c r="F24" i="103" s="1"/>
  <c r="E20" i="103"/>
  <c r="F20" i="103" s="1"/>
  <c r="E16" i="103"/>
  <c r="F16" i="103" s="1"/>
  <c r="E12" i="103"/>
  <c r="F12" i="103" s="1"/>
  <c r="E23" i="105"/>
  <c r="F23" i="105" s="1"/>
  <c r="E15" i="105"/>
  <c r="F15" i="105" s="1"/>
  <c r="E10" i="105"/>
  <c r="F10" i="105" s="1"/>
  <c r="E24" i="105"/>
  <c r="F24" i="105" s="1"/>
  <c r="E16" i="105"/>
  <c r="F16" i="105" s="1"/>
  <c r="E19" i="92"/>
  <c r="F19" i="92" s="1"/>
  <c r="E26" i="111"/>
  <c r="F26" i="111" s="1"/>
  <c r="E10" i="111"/>
  <c r="F10" i="111" s="1"/>
  <c r="E16" i="111"/>
  <c r="F16" i="111" s="1"/>
  <c r="E24" i="111"/>
  <c r="F24" i="111" s="1"/>
  <c r="E12" i="111"/>
  <c r="F12" i="111" s="1"/>
  <c r="E22" i="111"/>
  <c r="F22" i="111" s="1"/>
  <c r="E11" i="111"/>
  <c r="F11" i="111" s="1"/>
  <c r="E15" i="111"/>
  <c r="F15" i="111" s="1"/>
  <c r="E19" i="111"/>
  <c r="F19" i="111" s="1"/>
  <c r="E23" i="111"/>
  <c r="F23" i="111" s="1"/>
  <c r="E20" i="111"/>
  <c r="F20" i="111" s="1"/>
  <c r="E18" i="111"/>
  <c r="F18" i="111" s="1"/>
  <c r="E13" i="111"/>
  <c r="F13" i="111" s="1"/>
  <c r="E21" i="111"/>
  <c r="F21" i="111" s="1"/>
  <c r="E26" i="92"/>
  <c r="F26" i="92" s="1"/>
  <c r="E27" i="106"/>
  <c r="F27" i="106" s="1"/>
  <c r="E23" i="106"/>
  <c r="F23" i="106" s="1"/>
  <c r="E19" i="106"/>
  <c r="F19" i="106" s="1"/>
  <c r="E15" i="106"/>
  <c r="F15" i="106" s="1"/>
  <c r="E11" i="106"/>
  <c r="F11" i="106" s="1"/>
  <c r="E26" i="106"/>
  <c r="F26" i="106" s="1"/>
  <c r="E22" i="106"/>
  <c r="F22" i="106" s="1"/>
  <c r="E18" i="106"/>
  <c r="F18" i="106" s="1"/>
  <c r="E14" i="106"/>
  <c r="F14" i="106" s="1"/>
  <c r="E10" i="106"/>
  <c r="F10" i="106" s="1"/>
  <c r="E28" i="106"/>
  <c r="F28" i="106" s="1"/>
  <c r="E29" i="106"/>
  <c r="F29" i="106" s="1"/>
  <c r="E29" i="108"/>
  <c r="F29" i="108" s="1"/>
  <c r="E9" i="108"/>
  <c r="F9" i="108" s="1"/>
  <c r="E28" i="110"/>
  <c r="F28" i="110" s="1"/>
  <c r="E29" i="110"/>
  <c r="F29" i="110" s="1"/>
  <c r="E27" i="110"/>
  <c r="F27" i="110" s="1"/>
  <c r="E25" i="110"/>
  <c r="F25" i="110" s="1"/>
  <c r="E24" i="110"/>
  <c r="F24" i="110" s="1"/>
  <c r="E23" i="110"/>
  <c r="F23" i="110" s="1"/>
  <c r="E26" i="110"/>
  <c r="F26" i="110" s="1"/>
  <c r="E20" i="110"/>
  <c r="F20" i="110" s="1"/>
  <c r="E12" i="110"/>
  <c r="F12" i="110" s="1"/>
  <c r="E11" i="110"/>
  <c r="F11" i="110" s="1"/>
  <c r="E15" i="110"/>
  <c r="F15" i="110" s="1"/>
  <c r="E8" i="110"/>
  <c r="F8" i="110" s="1"/>
  <c r="E10" i="110"/>
  <c r="F10" i="110" s="1"/>
  <c r="E27" i="113"/>
  <c r="F27" i="113" s="1"/>
  <c r="E19" i="113"/>
  <c r="F19" i="113" s="1"/>
  <c r="E11" i="113"/>
  <c r="F11" i="113" s="1"/>
  <c r="E26" i="113"/>
  <c r="F26" i="113" s="1"/>
  <c r="E19" i="110"/>
  <c r="F19" i="110" s="1"/>
  <c r="E29" i="113"/>
  <c r="F29" i="113" s="1"/>
  <c r="E28" i="113"/>
  <c r="F28" i="113" s="1"/>
  <c r="E10" i="113"/>
  <c r="F10" i="113" s="1"/>
  <c r="E16" i="113"/>
  <c r="F16" i="113" s="1"/>
  <c r="E20" i="113"/>
  <c r="F20" i="113" s="1"/>
  <c r="E24" i="113"/>
  <c r="F24" i="113" s="1"/>
  <c r="E8" i="113"/>
  <c r="F8" i="113" s="1"/>
  <c r="E9" i="113"/>
  <c r="F9" i="113" s="1"/>
  <c r="E13" i="113"/>
  <c r="F13" i="113" s="1"/>
  <c r="E17" i="113"/>
  <c r="F17" i="113" s="1"/>
  <c r="E21" i="113"/>
  <c r="F21" i="113" s="1"/>
  <c r="E25" i="113"/>
  <c r="F25" i="113" s="1"/>
  <c r="E28" i="109"/>
  <c r="F28" i="109" s="1"/>
  <c r="E27" i="109"/>
  <c r="F27" i="109" s="1"/>
  <c r="E25" i="109"/>
  <c r="F25" i="109" s="1"/>
  <c r="E26" i="109"/>
  <c r="F26" i="109" s="1"/>
  <c r="E23" i="109"/>
  <c r="F23" i="109" s="1"/>
  <c r="E24" i="109"/>
  <c r="F24" i="109" s="1"/>
  <c r="E22" i="109"/>
  <c r="F22" i="109" s="1"/>
  <c r="E20" i="109"/>
  <c r="F20" i="109" s="1"/>
  <c r="E21" i="109"/>
  <c r="F21" i="109" s="1"/>
  <c r="E19" i="112"/>
  <c r="F19" i="112" s="1"/>
  <c r="E15" i="112"/>
  <c r="F15" i="112" s="1"/>
  <c r="E11" i="112"/>
  <c r="F11" i="112" s="1"/>
  <c r="E24" i="112"/>
  <c r="F24" i="112" s="1"/>
  <c r="E20" i="112"/>
  <c r="F20" i="112" s="1"/>
  <c r="E16" i="112"/>
  <c r="F16" i="112" s="1"/>
  <c r="E12" i="112"/>
  <c r="F12" i="112" s="1"/>
  <c r="E8" i="112"/>
  <c r="F8" i="112" s="1"/>
  <c r="E16" i="114"/>
  <c r="F16" i="114" s="1"/>
  <c r="E12" i="114"/>
  <c r="F12" i="114" s="1"/>
  <c r="E8" i="114"/>
  <c r="F8" i="114" s="1"/>
  <c r="E11" i="114"/>
  <c r="F11" i="114" s="1"/>
  <c r="E9" i="114"/>
  <c r="F9" i="114" s="1"/>
  <c r="E13" i="114"/>
  <c r="F13" i="114" s="1"/>
  <c r="E25" i="114"/>
  <c r="F25" i="114" s="1"/>
  <c r="E21" i="114"/>
  <c r="F21" i="114" s="1"/>
  <c r="E23" i="114"/>
  <c r="F23" i="114" s="1"/>
  <c r="E24" i="114"/>
  <c r="F24" i="114" s="1"/>
  <c r="E25" i="115"/>
  <c r="F25" i="115" s="1"/>
  <c r="E19" i="115"/>
  <c r="F19" i="115" s="1"/>
  <c r="E23" i="115"/>
  <c r="F23" i="115" s="1"/>
  <c r="E24" i="115"/>
  <c r="F24" i="115" s="1"/>
  <c r="E22" i="115"/>
  <c r="F22" i="115" s="1"/>
  <c r="E21" i="115"/>
  <c r="F21" i="115" s="1"/>
  <c r="E17" i="115"/>
  <c r="F17" i="115" s="1"/>
  <c r="E13" i="115"/>
  <c r="F13" i="115" s="1"/>
  <c r="E9" i="115"/>
  <c r="F9" i="115" s="1"/>
  <c r="E16" i="115"/>
  <c r="F16" i="115" s="1"/>
  <c r="E8" i="115"/>
  <c r="F8" i="115" s="1"/>
  <c r="E20" i="115"/>
  <c r="F20" i="115" s="1"/>
  <c r="E18" i="32"/>
  <c r="F18" i="32" s="1"/>
  <c r="E18" i="68"/>
  <c r="F18" i="68" s="1"/>
  <c r="E10" i="69"/>
  <c r="F10" i="69" s="1"/>
  <c r="E26" i="69"/>
  <c r="F26" i="69" s="1"/>
  <c r="E13" i="68"/>
  <c r="F13" i="68" s="1"/>
  <c r="E36" i="32"/>
  <c r="F36" i="32" s="1"/>
  <c r="E41" i="32"/>
  <c r="F41" i="32" s="1"/>
  <c r="E46" i="32"/>
  <c r="F46" i="32" s="1"/>
  <c r="E25" i="29"/>
  <c r="F25" i="29" s="1"/>
  <c r="E31" i="29"/>
  <c r="F31" i="29" s="1"/>
  <c r="E33" i="29"/>
  <c r="F33" i="29" s="1"/>
  <c r="E39" i="29"/>
  <c r="F39" i="29" s="1"/>
  <c r="E25" i="89"/>
  <c r="F25" i="89" s="1"/>
  <c r="E35" i="89"/>
  <c r="F35" i="89" s="1"/>
  <c r="E35" i="68"/>
  <c r="F35" i="68" s="1"/>
  <c r="E32" i="68"/>
  <c r="F32" i="68" s="1"/>
  <c r="E47" i="68"/>
  <c r="F47" i="68" s="1"/>
  <c r="E53" i="68"/>
  <c r="F53" i="68" s="1"/>
  <c r="E54" i="68"/>
  <c r="F54" i="68" s="1"/>
  <c r="E19" i="69"/>
  <c r="F19" i="69" s="1"/>
  <c r="E27" i="69"/>
  <c r="F27" i="69" s="1"/>
  <c r="E23" i="69"/>
  <c r="F23" i="69" s="1"/>
  <c r="E12" i="69"/>
  <c r="F12" i="69" s="1"/>
  <c r="E32" i="32"/>
  <c r="F32" i="32" s="1"/>
  <c r="E12" i="32"/>
  <c r="F12" i="32" s="1"/>
  <c r="E9" i="32"/>
  <c r="F9" i="32" s="1"/>
  <c r="E17" i="32"/>
  <c r="F17" i="32" s="1"/>
  <c r="E21" i="32"/>
  <c r="F21" i="32" s="1"/>
  <c r="E16" i="32"/>
  <c r="F16" i="32" s="1"/>
  <c r="E13" i="32"/>
  <c r="F13" i="32" s="1"/>
  <c r="E29" i="32"/>
  <c r="F29" i="32" s="1"/>
  <c r="E22" i="21"/>
  <c r="F22" i="21" s="1"/>
  <c r="E20" i="21"/>
  <c r="F20" i="21" s="1"/>
  <c r="E8" i="21"/>
  <c r="F8" i="21" s="1"/>
  <c r="E9" i="21"/>
  <c r="F9" i="21" s="1"/>
  <c r="E17" i="21"/>
  <c r="F17" i="21" s="1"/>
  <c r="E21" i="21"/>
  <c r="F21" i="21" s="1"/>
  <c r="E30" i="21"/>
  <c r="F30" i="21" s="1"/>
  <c r="E19" i="21"/>
  <c r="F19" i="21" s="1"/>
  <c r="E12" i="21"/>
  <c r="F12" i="21" s="1"/>
  <c r="E10" i="21"/>
  <c r="F10" i="21" s="1"/>
  <c r="E23" i="21"/>
  <c r="F23" i="21" s="1"/>
  <c r="E16" i="21"/>
  <c r="F16" i="21" s="1"/>
  <c r="E14" i="21"/>
  <c r="F14" i="21" s="1"/>
  <c r="E11" i="29"/>
  <c r="F11" i="29" s="1"/>
  <c r="E22" i="32"/>
  <c r="F22" i="32" s="1"/>
  <c r="E22" i="68"/>
  <c r="F22" i="68" s="1"/>
  <c r="E17" i="68"/>
  <c r="F17" i="68" s="1"/>
  <c r="E43" i="32"/>
  <c r="F43" i="32" s="1"/>
  <c r="E47" i="32"/>
  <c r="F47" i="32" s="1"/>
  <c r="E24" i="29"/>
  <c r="F24" i="29" s="1"/>
  <c r="E23" i="29"/>
  <c r="F23" i="29" s="1"/>
  <c r="E29" i="29"/>
  <c r="F29" i="29" s="1"/>
  <c r="E36" i="68"/>
  <c r="F36" i="68" s="1"/>
  <c r="E9" i="89"/>
  <c r="F9" i="89" s="1"/>
  <c r="E10" i="89"/>
  <c r="F10" i="89" s="1"/>
  <c r="E15" i="89"/>
  <c r="F15" i="89" s="1"/>
  <c r="E31" i="89"/>
  <c r="F31" i="89" s="1"/>
  <c r="E29" i="89"/>
  <c r="F29" i="89" s="1"/>
  <c r="E34" i="89"/>
  <c r="F34" i="89" s="1"/>
  <c r="E50" i="69"/>
  <c r="F50" i="69" s="1"/>
  <c r="E56" i="69"/>
  <c r="F56" i="69" s="1"/>
  <c r="E37" i="68"/>
  <c r="F37" i="68" s="1"/>
  <c r="E43" i="68"/>
  <c r="F43" i="68" s="1"/>
  <c r="E40" i="68"/>
  <c r="F40" i="68" s="1"/>
  <c r="E48" i="68"/>
  <c r="F48" i="68" s="1"/>
  <c r="E51" i="68"/>
  <c r="F51" i="68" s="1"/>
  <c r="E18" i="57"/>
  <c r="F18" i="57" s="1"/>
  <c r="E11" i="57"/>
  <c r="F11" i="57" s="1"/>
  <c r="E19" i="57"/>
  <c r="F19" i="57" s="1"/>
  <c r="E42" i="57"/>
  <c r="F42" i="57" s="1"/>
  <c r="E24" i="17"/>
  <c r="F24" i="17" s="1"/>
  <c r="E15" i="68"/>
  <c r="F15" i="68" s="1"/>
  <c r="E23" i="68"/>
  <c r="F23" i="68" s="1"/>
  <c r="E8" i="68"/>
  <c r="F8" i="68" s="1"/>
  <c r="E16" i="68"/>
  <c r="F16" i="68" s="1"/>
  <c r="E24" i="68"/>
  <c r="F24" i="68" s="1"/>
  <c r="E28" i="68"/>
  <c r="F28" i="68" s="1"/>
  <c r="E11" i="68"/>
  <c r="F11" i="68" s="1"/>
  <c r="E19" i="68"/>
  <c r="F19" i="68" s="1"/>
  <c r="E27" i="68"/>
  <c r="F27" i="68" s="1"/>
  <c r="E12" i="68"/>
  <c r="F12" i="68" s="1"/>
  <c r="E20" i="68"/>
  <c r="F20" i="68" s="1"/>
  <c r="E21" i="29"/>
  <c r="F21" i="29" s="1"/>
  <c r="E9" i="29"/>
  <c r="F9" i="29" s="1"/>
  <c r="E17" i="29"/>
  <c r="F17" i="29" s="1"/>
  <c r="E14" i="29"/>
  <c r="F14" i="29" s="1"/>
  <c r="E18" i="29"/>
  <c r="F18" i="29" s="1"/>
  <c r="E13" i="29"/>
  <c r="F13" i="29" s="1"/>
  <c r="E10" i="29"/>
  <c r="F10" i="29" s="1"/>
  <c r="E15" i="29"/>
  <c r="F15" i="29" s="1"/>
  <c r="E10" i="32"/>
  <c r="F10" i="32" s="1"/>
  <c r="E26" i="32"/>
  <c r="F26" i="32" s="1"/>
  <c r="E10" i="68"/>
  <c r="F10" i="68" s="1"/>
  <c r="E26" i="68"/>
  <c r="F26" i="68" s="1"/>
  <c r="E21" i="68"/>
  <c r="F21" i="68" s="1"/>
  <c r="E33" i="32"/>
  <c r="F33" i="32" s="1"/>
  <c r="E42" i="32"/>
  <c r="F42" i="32" s="1"/>
  <c r="E48" i="32"/>
  <c r="F48" i="32" s="1"/>
  <c r="E22" i="29"/>
  <c r="F22" i="29" s="1"/>
  <c r="E28" i="29"/>
  <c r="F28" i="29" s="1"/>
  <c r="E32" i="29"/>
  <c r="F32" i="29" s="1"/>
  <c r="E36" i="29"/>
  <c r="F36" i="29" s="1"/>
  <c r="E38" i="69"/>
  <c r="F38" i="69" s="1"/>
  <c r="E33" i="89"/>
  <c r="F33" i="89" s="1"/>
  <c r="E46" i="69"/>
  <c r="F46" i="69" s="1"/>
  <c r="E51" i="69"/>
  <c r="F51" i="69" s="1"/>
  <c r="E33" i="68"/>
  <c r="F33" i="68" s="1"/>
  <c r="E38" i="68"/>
  <c r="F38" i="68" s="1"/>
  <c r="E39" i="68"/>
  <c r="F39" i="68" s="1"/>
  <c r="E45" i="68"/>
  <c r="F45" i="68" s="1"/>
  <c r="E50" i="68"/>
  <c r="F50" i="68" s="1"/>
  <c r="E52" i="68"/>
  <c r="F52" i="68" s="1"/>
  <c r="E46" i="57"/>
  <c r="F46" i="57" s="1"/>
  <c r="E11" i="17"/>
  <c r="F11" i="17" s="1"/>
  <c r="E56" i="17"/>
  <c r="F56" i="17" s="1"/>
  <c r="E19" i="29"/>
  <c r="F19" i="29" s="1"/>
  <c r="E30" i="32"/>
  <c r="F30" i="32" s="1"/>
  <c r="E14" i="68"/>
  <c r="F14" i="68" s="1"/>
  <c r="E30" i="68"/>
  <c r="F30" i="68" s="1"/>
  <c r="E22" i="69"/>
  <c r="F22" i="69" s="1"/>
  <c r="E9" i="68"/>
  <c r="F9" i="68" s="1"/>
  <c r="E25" i="68"/>
  <c r="F25" i="68" s="1"/>
  <c r="E39" i="32"/>
  <c r="F39" i="32" s="1"/>
  <c r="E45" i="32"/>
  <c r="F45" i="32" s="1"/>
  <c r="E49" i="32"/>
  <c r="F49" i="32" s="1"/>
  <c r="E34" i="29"/>
  <c r="F34" i="29" s="1"/>
  <c r="E30" i="29"/>
  <c r="F30" i="29" s="1"/>
  <c r="E37" i="29"/>
  <c r="F37" i="29" s="1"/>
  <c r="E38" i="29"/>
  <c r="F38" i="29" s="1"/>
  <c r="E29" i="21"/>
  <c r="F29" i="21" s="1"/>
  <c r="E20" i="89"/>
  <c r="F20" i="89" s="1"/>
  <c r="E31" i="69"/>
  <c r="F31" i="69" s="1"/>
  <c r="E35" i="69"/>
  <c r="F35" i="69" s="1"/>
  <c r="E37" i="69"/>
  <c r="F37" i="69" s="1"/>
  <c r="E31" i="68"/>
  <c r="F31" i="68" s="1"/>
  <c r="E34" i="68"/>
  <c r="F34" i="68" s="1"/>
  <c r="E42" i="68"/>
  <c r="F42" i="68" s="1"/>
  <c r="E46" i="68"/>
  <c r="F46" i="68" s="1"/>
  <c r="E49" i="68"/>
  <c r="F49" i="68" s="1"/>
  <c r="E55" i="68"/>
  <c r="F55" i="68" s="1"/>
  <c r="E33" i="57"/>
  <c r="F33" i="57" s="1"/>
  <c r="E38" i="57"/>
  <c r="F38" i="57" s="1"/>
  <c r="E27" i="29"/>
  <c r="F27" i="29" s="1"/>
  <c r="E15" i="79"/>
  <c r="F15" i="79" s="1"/>
  <c r="E31" i="79"/>
  <c r="F31" i="79" s="1"/>
  <c r="E12" i="56"/>
  <c r="F12" i="56" s="1"/>
  <c r="E9" i="56"/>
  <c r="F9" i="56" s="1"/>
  <c r="E35" i="56"/>
  <c r="F35" i="56" s="1"/>
  <c r="E36" i="56"/>
  <c r="F36" i="56" s="1"/>
  <c r="E14" i="73"/>
  <c r="F14" i="73" s="1"/>
  <c r="E19" i="73"/>
  <c r="F19" i="73" s="1"/>
  <c r="E30" i="73"/>
  <c r="F30" i="73" s="1"/>
  <c r="E28" i="73"/>
  <c r="F28" i="73" s="1"/>
  <c r="E31" i="73"/>
  <c r="F31" i="73" s="1"/>
  <c r="E36" i="73"/>
  <c r="F36" i="73" s="1"/>
  <c r="E38" i="73"/>
  <c r="F38" i="73" s="1"/>
  <c r="E11" i="79"/>
  <c r="F11" i="79" s="1"/>
  <c r="E35" i="79"/>
  <c r="F35" i="79" s="1"/>
  <c r="E24" i="56"/>
  <c r="F24" i="56" s="1"/>
  <c r="E31" i="56"/>
  <c r="F31" i="56" s="1"/>
  <c r="E40" i="56"/>
  <c r="F40" i="56" s="1"/>
  <c r="E13" i="73"/>
  <c r="F13" i="73" s="1"/>
  <c r="E10" i="73"/>
  <c r="F10" i="73" s="1"/>
  <c r="E23" i="73"/>
  <c r="F23" i="73" s="1"/>
  <c r="E32" i="73"/>
  <c r="F32" i="73" s="1"/>
  <c r="E25" i="73"/>
  <c r="F25" i="73" s="1"/>
  <c r="E29" i="73"/>
  <c r="F29" i="73" s="1"/>
  <c r="E40" i="73"/>
  <c r="F40" i="73" s="1"/>
  <c r="E41" i="73"/>
  <c r="F41" i="73" s="1"/>
  <c r="E13" i="79"/>
  <c r="F13" i="79" s="1"/>
  <c r="E34" i="79"/>
  <c r="F34" i="79" s="1"/>
  <c r="E19" i="56"/>
  <c r="F19" i="56" s="1"/>
  <c r="E14" i="56"/>
  <c r="F14" i="56" s="1"/>
  <c r="E10" i="56"/>
  <c r="F10" i="56" s="1"/>
  <c r="E18" i="56"/>
  <c r="F18" i="56" s="1"/>
  <c r="E22" i="56"/>
  <c r="F22" i="56" s="1"/>
  <c r="E28" i="56"/>
  <c r="F28" i="56" s="1"/>
  <c r="E42" i="56"/>
  <c r="F42" i="56" s="1"/>
  <c r="E9" i="73"/>
  <c r="F9" i="73" s="1"/>
  <c r="E17" i="73"/>
  <c r="F17" i="73" s="1"/>
  <c r="E24" i="73"/>
  <c r="F24" i="73" s="1"/>
  <c r="E22" i="73"/>
  <c r="F22" i="73" s="1"/>
  <c r="E26" i="73"/>
  <c r="F26" i="73" s="1"/>
  <c r="E33" i="73"/>
  <c r="F33" i="73" s="1"/>
  <c r="E39" i="73"/>
  <c r="F39" i="73" s="1"/>
  <c r="E42" i="73"/>
  <c r="F42" i="73" s="1"/>
  <c r="E15" i="73"/>
  <c r="F15" i="73" s="1"/>
  <c r="E23" i="79"/>
  <c r="F23" i="79" s="1"/>
  <c r="E38" i="79"/>
  <c r="F38" i="79" s="1"/>
  <c r="E21" i="56"/>
  <c r="F21" i="56" s="1"/>
  <c r="E25" i="56"/>
  <c r="F25" i="56" s="1"/>
  <c r="E41" i="56"/>
  <c r="F41" i="56" s="1"/>
  <c r="E43" i="56"/>
  <c r="F43" i="56" s="1"/>
  <c r="E27" i="73"/>
  <c r="F27" i="73" s="1"/>
  <c r="E20" i="73"/>
  <c r="F20" i="73" s="1"/>
  <c r="E34" i="73"/>
  <c r="F34" i="73" s="1"/>
  <c r="E35" i="73"/>
  <c r="F35" i="73" s="1"/>
  <c r="E37" i="73"/>
  <c r="F37" i="73" s="1"/>
  <c r="E40" i="80" l="1"/>
  <c r="F40" i="80" s="1"/>
  <c r="E13" i="80"/>
  <c r="F13" i="80" s="1"/>
  <c r="E38" i="80"/>
  <c r="F38" i="80" s="1"/>
  <c r="E35" i="14"/>
  <c r="F35" i="14" s="1"/>
  <c r="E27" i="14"/>
  <c r="F27" i="14" s="1"/>
  <c r="E10" i="14"/>
  <c r="F10" i="14" s="1"/>
  <c r="E43" i="14"/>
  <c r="F43" i="14" s="1"/>
  <c r="E33" i="14"/>
  <c r="F33" i="14" s="1"/>
  <c r="E36" i="22"/>
  <c r="F36" i="22" s="1"/>
  <c r="E32" i="22"/>
  <c r="F32" i="22" s="1"/>
  <c r="E43" i="22"/>
  <c r="F43" i="22" s="1"/>
  <c r="E34" i="22"/>
  <c r="F34" i="22" s="1"/>
  <c r="E9" i="22"/>
  <c r="F9" i="22" s="1"/>
  <c r="E22" i="22"/>
  <c r="F22" i="22" s="1"/>
  <c r="E28" i="15"/>
  <c r="F28" i="15" s="1"/>
  <c r="E15" i="53"/>
  <c r="F15" i="53" s="1"/>
  <c r="E12" i="53"/>
  <c r="F12" i="53" s="1"/>
  <c r="E30" i="53"/>
  <c r="F30" i="53" s="1"/>
  <c r="E49" i="53"/>
  <c r="F49" i="53" s="1"/>
  <c r="E42" i="53"/>
  <c r="F42" i="53" s="1"/>
  <c r="E50" i="53"/>
  <c r="F50" i="53" s="1"/>
  <c r="E29" i="53"/>
  <c r="F29" i="53" s="1"/>
  <c r="E51" i="53"/>
  <c r="F51" i="53" s="1"/>
  <c r="E31" i="53"/>
  <c r="F31" i="53" s="1"/>
  <c r="E43" i="53"/>
  <c r="F43" i="53" s="1"/>
  <c r="E38" i="53"/>
  <c r="F38" i="53" s="1"/>
  <c r="E39" i="53"/>
  <c r="F39" i="53" s="1"/>
  <c r="E10" i="53"/>
  <c r="F10" i="53" s="1"/>
  <c r="E36" i="53"/>
  <c r="F36" i="53" s="1"/>
  <c r="E64" i="87"/>
  <c r="F64" i="87" s="1"/>
  <c r="E71" i="87"/>
  <c r="F71" i="87" s="1"/>
  <c r="E10" i="95"/>
  <c r="F10" i="95" s="1"/>
  <c r="E58" i="96"/>
  <c r="F58" i="96" s="1"/>
  <c r="E54" i="96"/>
  <c r="F54" i="96" s="1"/>
  <c r="E53" i="96"/>
  <c r="F53" i="96" s="1"/>
  <c r="E57" i="96"/>
  <c r="F57" i="96" s="1"/>
  <c r="E56" i="96"/>
  <c r="F56" i="96" s="1"/>
  <c r="E59" i="96"/>
  <c r="F59" i="96" s="1"/>
  <c r="E55" i="96"/>
  <c r="F55" i="96" s="1"/>
  <c r="E43" i="96"/>
  <c r="F43" i="96" s="1"/>
  <c r="E49" i="96"/>
  <c r="F49" i="96" s="1"/>
  <c r="E50" i="96"/>
  <c r="F50" i="96" s="1"/>
  <c r="E46" i="96"/>
  <c r="F46" i="96" s="1"/>
  <c r="E44" i="96"/>
  <c r="F44" i="96" s="1"/>
  <c r="E51" i="96"/>
  <c r="F51" i="96" s="1"/>
  <c r="E45" i="96"/>
  <c r="F45" i="96" s="1"/>
  <c r="E52" i="96"/>
  <c r="F52" i="96" s="1"/>
  <c r="E42" i="96"/>
  <c r="F42" i="96" s="1"/>
  <c r="E48" i="96"/>
  <c r="F48" i="96" s="1"/>
  <c r="E47" i="96"/>
  <c r="F47" i="96" s="1"/>
  <c r="E41" i="96"/>
  <c r="F41" i="96" s="1"/>
  <c r="E40" i="96"/>
  <c r="F40" i="96" s="1"/>
  <c r="E51" i="103"/>
  <c r="F51" i="103" s="1"/>
  <c r="E55" i="103"/>
  <c r="F55" i="103" s="1"/>
  <c r="E54" i="103"/>
  <c r="F54" i="103" s="1"/>
  <c r="E53" i="103"/>
  <c r="F53" i="103" s="1"/>
  <c r="E57" i="103"/>
  <c r="F57" i="103" s="1"/>
  <c r="E52" i="103"/>
  <c r="F52" i="103" s="1"/>
  <c r="E56" i="103"/>
  <c r="F56" i="103" s="1"/>
  <c r="E41" i="103"/>
  <c r="F41" i="103" s="1"/>
  <c r="E47" i="103"/>
  <c r="F47" i="103" s="1"/>
  <c r="E48" i="103"/>
  <c r="F48" i="103" s="1"/>
  <c r="E42" i="103"/>
  <c r="F42" i="103" s="1"/>
  <c r="E49" i="103"/>
  <c r="F49" i="103" s="1"/>
  <c r="E43" i="103"/>
  <c r="F43" i="103" s="1"/>
  <c r="E50" i="103"/>
  <c r="F50" i="103" s="1"/>
  <c r="E44" i="103"/>
  <c r="F44" i="103" s="1"/>
  <c r="E45" i="103"/>
  <c r="F45" i="103" s="1"/>
  <c r="E40" i="103"/>
  <c r="F40" i="103" s="1"/>
  <c r="E46" i="103"/>
  <c r="F46" i="103" s="1"/>
  <c r="E39" i="103"/>
  <c r="F39" i="103" s="1"/>
  <c r="E37" i="103"/>
  <c r="F37" i="103" s="1"/>
  <c r="E38" i="103"/>
  <c r="F38" i="103" s="1"/>
  <c r="E36" i="103"/>
  <c r="F36" i="103" s="1"/>
  <c r="E61" i="43"/>
  <c r="F61" i="43" s="1"/>
  <c r="E60" i="43"/>
  <c r="F60" i="43" s="1"/>
  <c r="E64" i="43"/>
  <c r="F64" i="43" s="1"/>
  <c r="E59" i="43"/>
  <c r="F59" i="43" s="1"/>
  <c r="E62" i="43"/>
  <c r="F62" i="43" s="1"/>
  <c r="E63" i="43"/>
  <c r="F63" i="43" s="1"/>
  <c r="E56" i="43"/>
  <c r="F56" i="43" s="1"/>
  <c r="E51" i="43"/>
  <c r="F51" i="43" s="1"/>
  <c r="E57" i="43"/>
  <c r="F57" i="43" s="1"/>
  <c r="E47" i="43"/>
  <c r="F47" i="43" s="1"/>
  <c r="E52" i="43"/>
  <c r="F52" i="43" s="1"/>
  <c r="E58" i="43"/>
  <c r="F58" i="43" s="1"/>
  <c r="E53" i="43"/>
  <c r="F53" i="43" s="1"/>
  <c r="E48" i="43"/>
  <c r="F48" i="43" s="1"/>
  <c r="E49" i="43"/>
  <c r="F49" i="43" s="1"/>
  <c r="E54" i="43"/>
  <c r="F54" i="43" s="1"/>
  <c r="E50" i="43"/>
  <c r="F50" i="43" s="1"/>
  <c r="E55" i="43"/>
  <c r="F55" i="43" s="1"/>
  <c r="E46" i="43"/>
  <c r="F46" i="43" s="1"/>
  <c r="E43" i="43"/>
  <c r="F43" i="43" s="1"/>
  <c r="E44" i="43"/>
  <c r="F44" i="43" s="1"/>
  <c r="E45" i="43"/>
  <c r="F45" i="43" s="1"/>
  <c r="E14" i="111"/>
  <c r="F14" i="111" s="1"/>
  <c r="E11" i="115"/>
  <c r="F11" i="115" s="1"/>
  <c r="E47" i="115"/>
  <c r="F47" i="115" s="1"/>
  <c r="E51" i="115"/>
  <c r="F51" i="115" s="1"/>
  <c r="E46" i="115"/>
  <c r="F46" i="115" s="1"/>
  <c r="E50" i="115"/>
  <c r="F50" i="115" s="1"/>
  <c r="E49" i="115"/>
  <c r="F49" i="115" s="1"/>
  <c r="E48" i="115"/>
  <c r="F48" i="115" s="1"/>
  <c r="E39" i="115"/>
  <c r="F39" i="115" s="1"/>
  <c r="E34" i="115"/>
  <c r="F34" i="115" s="1"/>
  <c r="E40" i="115"/>
  <c r="F40" i="115" s="1"/>
  <c r="E35" i="115"/>
  <c r="F35" i="115" s="1"/>
  <c r="E41" i="115"/>
  <c r="F41" i="115" s="1"/>
  <c r="E42" i="115"/>
  <c r="F42" i="115" s="1"/>
  <c r="E36" i="115"/>
  <c r="F36" i="115" s="1"/>
  <c r="E43" i="115"/>
  <c r="F43" i="115" s="1"/>
  <c r="E38" i="115"/>
  <c r="F38" i="115" s="1"/>
  <c r="E45" i="115"/>
  <c r="F45" i="115" s="1"/>
  <c r="E44" i="115"/>
  <c r="F44" i="115" s="1"/>
  <c r="E37" i="115"/>
  <c r="F37" i="115" s="1"/>
  <c r="E33" i="115"/>
  <c r="F33" i="115" s="1"/>
  <c r="E30" i="115"/>
  <c r="F30" i="115" s="1"/>
  <c r="E31" i="115"/>
  <c r="F31" i="115" s="1"/>
  <c r="E32" i="115"/>
  <c r="F32" i="115" s="1"/>
  <c r="E35" i="108"/>
  <c r="F35" i="108" s="1"/>
  <c r="E23" i="66"/>
  <c r="E63" i="68"/>
  <c r="F63" i="68" s="1"/>
  <c r="E75" i="31"/>
  <c r="F75" i="31" s="1"/>
  <c r="E74" i="31"/>
  <c r="F74" i="31" s="1"/>
  <c r="E25" i="80"/>
  <c r="F25" i="80" s="1"/>
  <c r="E42" i="17"/>
  <c r="F42" i="17" s="1"/>
  <c r="E26" i="57"/>
  <c r="F26" i="57" s="1"/>
  <c r="E39" i="89"/>
  <c r="F39" i="89" s="1"/>
  <c r="E52" i="17"/>
  <c r="F52" i="17" s="1"/>
  <c r="E43" i="69"/>
  <c r="F43" i="69" s="1"/>
  <c r="E35" i="57"/>
  <c r="F35" i="57" s="1"/>
  <c r="E15" i="57"/>
  <c r="F15" i="57" s="1"/>
  <c r="E52" i="69"/>
  <c r="F52" i="69" s="1"/>
  <c r="E17" i="89"/>
  <c r="F17" i="89" s="1"/>
  <c r="E15" i="69"/>
  <c r="F15" i="69" s="1"/>
  <c r="E11" i="69"/>
  <c r="F11" i="69" s="1"/>
  <c r="E40" i="57"/>
  <c r="F40" i="57" s="1"/>
  <c r="E19" i="89"/>
  <c r="F19" i="89" s="1"/>
  <c r="E28" i="90"/>
  <c r="F28" i="90" s="1"/>
  <c r="E39" i="90"/>
  <c r="F39" i="90" s="1"/>
  <c r="E48" i="90"/>
  <c r="F48" i="90" s="1"/>
  <c r="E17" i="46"/>
  <c r="F17" i="46" s="1"/>
  <c r="E31" i="46"/>
  <c r="F31" i="46" s="1"/>
  <c r="E36" i="46"/>
  <c r="F36" i="46" s="1"/>
  <c r="E13" i="89"/>
  <c r="F13" i="89" s="1"/>
  <c r="E39" i="57"/>
  <c r="F39" i="57" s="1"/>
  <c r="E27" i="53"/>
  <c r="F27" i="53" s="1"/>
  <c r="E16" i="44"/>
  <c r="F16" i="44" s="1"/>
  <c r="E23" i="10"/>
  <c r="F23" i="10" s="1"/>
  <c r="E12" i="5"/>
  <c r="F12" i="5" s="1"/>
  <c r="E26" i="5"/>
  <c r="F26" i="5" s="1"/>
  <c r="E38" i="15"/>
  <c r="F38" i="15" s="1"/>
  <c r="E26" i="4"/>
  <c r="F26" i="4" s="1"/>
  <c r="E21" i="83"/>
  <c r="F21" i="83" s="1"/>
  <c r="E10" i="46"/>
  <c r="F10" i="46" s="1"/>
  <c r="E9" i="5"/>
  <c r="F9" i="5" s="1"/>
  <c r="E61" i="12"/>
  <c r="F61" i="12" s="1"/>
  <c r="E60" i="12"/>
  <c r="F60" i="12" s="1"/>
  <c r="E59" i="12"/>
  <c r="F59" i="12" s="1"/>
  <c r="E58" i="12"/>
  <c r="F58" i="12" s="1"/>
  <c r="E57" i="12"/>
  <c r="F57" i="12" s="1"/>
  <c r="E56" i="12"/>
  <c r="F56" i="12" s="1"/>
  <c r="E55" i="12"/>
  <c r="F55" i="12" s="1"/>
  <c r="E53" i="12"/>
  <c r="F53" i="12" s="1"/>
  <c r="E54" i="12"/>
  <c r="F54" i="12" s="1"/>
  <c r="E50" i="12"/>
  <c r="F50" i="12" s="1"/>
  <c r="E51" i="12"/>
  <c r="F51" i="12" s="1"/>
  <c r="E52" i="12"/>
  <c r="F52" i="12" s="1"/>
  <c r="E49" i="12"/>
  <c r="F49" i="12" s="1"/>
  <c r="E48" i="12"/>
  <c r="F48" i="12" s="1"/>
  <c r="E47" i="12"/>
  <c r="F47" i="12" s="1"/>
  <c r="E46" i="12"/>
  <c r="F46" i="12" s="1"/>
  <c r="E43" i="12"/>
  <c r="F43" i="12" s="1"/>
  <c r="E44" i="12"/>
  <c r="F44" i="12" s="1"/>
  <c r="E45" i="12"/>
  <c r="F45" i="12" s="1"/>
  <c r="E42" i="12"/>
  <c r="F42" i="12" s="1"/>
  <c r="E80" i="17"/>
  <c r="F80" i="17" s="1"/>
  <c r="E82" i="17"/>
  <c r="F82" i="17" s="1"/>
  <c r="E81" i="17"/>
  <c r="F81" i="17" s="1"/>
  <c r="E77" i="17"/>
  <c r="F77" i="17" s="1"/>
  <c r="E79" i="17"/>
  <c r="F79" i="17" s="1"/>
  <c r="E76" i="17"/>
  <c r="F76" i="17" s="1"/>
  <c r="E78" i="17"/>
  <c r="F78" i="17" s="1"/>
  <c r="E73" i="17"/>
  <c r="F73" i="17" s="1"/>
  <c r="E74" i="17"/>
  <c r="F74" i="17" s="1"/>
  <c r="E75" i="17"/>
  <c r="F75" i="17" s="1"/>
  <c r="E65" i="17"/>
  <c r="F65" i="17" s="1"/>
  <c r="E70" i="17"/>
  <c r="F70" i="17" s="1"/>
  <c r="E67" i="17"/>
  <c r="F67" i="17" s="1"/>
  <c r="E71" i="17"/>
  <c r="F71" i="17" s="1"/>
  <c r="E69" i="17"/>
  <c r="F69" i="17" s="1"/>
  <c r="E66" i="17"/>
  <c r="F66" i="17" s="1"/>
  <c r="E72" i="17"/>
  <c r="F72" i="17" s="1"/>
  <c r="E68" i="17"/>
  <c r="F68" i="17" s="1"/>
  <c r="E64" i="17"/>
  <c r="F64" i="17" s="1"/>
  <c r="E61" i="17"/>
  <c r="F61" i="17" s="1"/>
  <c r="E62" i="17"/>
  <c r="F62" i="17" s="1"/>
  <c r="E63" i="17"/>
  <c r="F63" i="17" s="1"/>
  <c r="E68" i="25"/>
  <c r="F68" i="25" s="1"/>
  <c r="E75" i="32"/>
  <c r="F75" i="32" s="1"/>
  <c r="E71" i="32"/>
  <c r="F71" i="32" s="1"/>
  <c r="E74" i="32"/>
  <c r="F74" i="32" s="1"/>
  <c r="E73" i="32"/>
  <c r="F73" i="32" s="1"/>
  <c r="E72" i="32"/>
  <c r="F72" i="32" s="1"/>
  <c r="E76" i="32"/>
  <c r="F76" i="32" s="1"/>
  <c r="E61" i="32"/>
  <c r="F61" i="32" s="1"/>
  <c r="E66" i="32"/>
  <c r="F66" i="32" s="1"/>
  <c r="E62" i="32"/>
  <c r="F62" i="32" s="1"/>
  <c r="E67" i="32"/>
  <c r="F67" i="32" s="1"/>
  <c r="E63" i="32"/>
  <c r="F63" i="32" s="1"/>
  <c r="E68" i="32"/>
  <c r="F68" i="32" s="1"/>
  <c r="E59" i="32"/>
  <c r="F59" i="32" s="1"/>
  <c r="E69" i="32"/>
  <c r="F69" i="32" s="1"/>
  <c r="E64" i="32"/>
  <c r="F64" i="32" s="1"/>
  <c r="E70" i="32"/>
  <c r="F70" i="32" s="1"/>
  <c r="E65" i="32"/>
  <c r="F65" i="32" s="1"/>
  <c r="E60" i="32"/>
  <c r="F60" i="32" s="1"/>
  <c r="E58" i="32"/>
  <c r="F58" i="32" s="1"/>
  <c r="E73" i="36"/>
  <c r="F73" i="36" s="1"/>
  <c r="E75" i="38"/>
  <c r="F75" i="38" s="1"/>
  <c r="E67" i="38"/>
  <c r="F67" i="38" s="1"/>
  <c r="E42" i="41"/>
  <c r="F42" i="41" s="1"/>
  <c r="E60" i="41"/>
  <c r="F60" i="41" s="1"/>
  <c r="E64" i="41"/>
  <c r="F64" i="41" s="1"/>
  <c r="E63" i="41"/>
  <c r="F63" i="41" s="1"/>
  <c r="E62" i="41"/>
  <c r="F62" i="41" s="1"/>
  <c r="E61" i="41"/>
  <c r="F61" i="41" s="1"/>
  <c r="E53" i="41"/>
  <c r="F53" i="41" s="1"/>
  <c r="E59" i="41"/>
  <c r="F59" i="41" s="1"/>
  <c r="E54" i="41"/>
  <c r="F54" i="41" s="1"/>
  <c r="E47" i="41"/>
  <c r="F47" i="41" s="1"/>
  <c r="E48" i="41"/>
  <c r="F48" i="41" s="1"/>
  <c r="E55" i="41"/>
  <c r="F55" i="41" s="1"/>
  <c r="E49" i="41"/>
  <c r="F49" i="41" s="1"/>
  <c r="E56" i="41"/>
  <c r="F56" i="41" s="1"/>
  <c r="E50" i="41"/>
  <c r="F50" i="41" s="1"/>
  <c r="E57" i="41"/>
  <c r="F57" i="41" s="1"/>
  <c r="E52" i="41"/>
  <c r="F52" i="41" s="1"/>
  <c r="E51" i="41"/>
  <c r="F51" i="41" s="1"/>
  <c r="E58" i="41"/>
  <c r="F58" i="41" s="1"/>
  <c r="E46" i="41"/>
  <c r="F46" i="41" s="1"/>
  <c r="E43" i="41"/>
  <c r="F43" i="41" s="1"/>
  <c r="E44" i="41"/>
  <c r="F44" i="41" s="1"/>
  <c r="E45" i="41"/>
  <c r="F45" i="41" s="1"/>
  <c r="E8" i="47"/>
  <c r="F8" i="47" s="1"/>
  <c r="E61" i="47"/>
  <c r="F61" i="47" s="1"/>
  <c r="E60" i="47"/>
  <c r="F60" i="47" s="1"/>
  <c r="E64" i="47"/>
  <c r="F64" i="47" s="1"/>
  <c r="E59" i="47"/>
  <c r="F59" i="47" s="1"/>
  <c r="E63" i="47"/>
  <c r="F63" i="47" s="1"/>
  <c r="E58" i="47"/>
  <c r="F58" i="47" s="1"/>
  <c r="E62" i="47"/>
  <c r="F62" i="47" s="1"/>
  <c r="E47" i="47"/>
  <c r="F47" i="47" s="1"/>
  <c r="E53" i="47"/>
  <c r="F53" i="47" s="1"/>
  <c r="E48" i="47"/>
  <c r="F48" i="47" s="1"/>
  <c r="E54" i="47"/>
  <c r="F54" i="47" s="1"/>
  <c r="E55" i="47"/>
  <c r="F55" i="47" s="1"/>
  <c r="E49" i="47"/>
  <c r="F49" i="47" s="1"/>
  <c r="E56" i="47"/>
  <c r="F56" i="47" s="1"/>
  <c r="E50" i="47"/>
  <c r="F50" i="47" s="1"/>
  <c r="E57" i="47"/>
  <c r="F57" i="47" s="1"/>
  <c r="E52" i="47"/>
  <c r="F52" i="47" s="1"/>
  <c r="E51" i="47"/>
  <c r="F51" i="47" s="1"/>
  <c r="E46" i="47"/>
  <c r="F46" i="47" s="1"/>
  <c r="E43" i="47"/>
  <c r="F43" i="47" s="1"/>
  <c r="E44" i="47"/>
  <c r="F44" i="47" s="1"/>
  <c r="E45" i="47"/>
  <c r="F45" i="47" s="1"/>
  <c r="E41" i="51"/>
  <c r="F41" i="51" s="1"/>
  <c r="E63" i="51"/>
  <c r="F63" i="51" s="1"/>
  <c r="E57" i="51"/>
  <c r="F57" i="51" s="1"/>
  <c r="E60" i="51"/>
  <c r="F60" i="51" s="1"/>
  <c r="E62" i="51"/>
  <c r="F62" i="51" s="1"/>
  <c r="E59" i="51"/>
  <c r="F59" i="51" s="1"/>
  <c r="E61" i="51"/>
  <c r="F61" i="51" s="1"/>
  <c r="E58" i="51"/>
  <c r="F58" i="51" s="1"/>
  <c r="E56" i="51"/>
  <c r="F56" i="51" s="1"/>
  <c r="E52" i="51"/>
  <c r="F52" i="51" s="1"/>
  <c r="E46" i="51"/>
  <c r="F46" i="51" s="1"/>
  <c r="E53" i="51"/>
  <c r="F53" i="51" s="1"/>
  <c r="E47" i="51"/>
  <c r="F47" i="51" s="1"/>
  <c r="E48" i="51"/>
  <c r="F48" i="51" s="1"/>
  <c r="E54" i="51"/>
  <c r="F54" i="51" s="1"/>
  <c r="E49" i="51"/>
  <c r="F49" i="51" s="1"/>
  <c r="E55" i="51"/>
  <c r="F55" i="51" s="1"/>
  <c r="E51" i="51"/>
  <c r="F51" i="51" s="1"/>
  <c r="E50" i="51"/>
  <c r="F50" i="51" s="1"/>
  <c r="E45" i="51"/>
  <c r="F45" i="51" s="1"/>
  <c r="E42" i="51"/>
  <c r="F42" i="51" s="1"/>
  <c r="E43" i="51"/>
  <c r="F43" i="51" s="1"/>
  <c r="E44" i="51"/>
  <c r="F44" i="51" s="1"/>
  <c r="E41" i="58"/>
  <c r="F41" i="58" s="1"/>
  <c r="E62" i="58"/>
  <c r="F62" i="58" s="1"/>
  <c r="E57" i="58"/>
  <c r="F57" i="58" s="1"/>
  <c r="E59" i="58"/>
  <c r="F59" i="58" s="1"/>
  <c r="E63" i="58"/>
  <c r="F63" i="58" s="1"/>
  <c r="E61" i="58"/>
  <c r="F61" i="58" s="1"/>
  <c r="E60" i="58"/>
  <c r="F60" i="58" s="1"/>
  <c r="E58" i="58"/>
  <c r="F58" i="58" s="1"/>
  <c r="E56" i="58"/>
  <c r="F56" i="58" s="1"/>
  <c r="E50" i="58"/>
  <c r="F50" i="58" s="1"/>
  <c r="E51" i="58"/>
  <c r="F51" i="58" s="1"/>
  <c r="E52" i="58"/>
  <c r="F52" i="58" s="1"/>
  <c r="E53" i="58"/>
  <c r="F53" i="58" s="1"/>
  <c r="E46" i="58"/>
  <c r="F46" i="58" s="1"/>
  <c r="E47" i="58"/>
  <c r="F47" i="58" s="1"/>
  <c r="E54" i="58"/>
  <c r="F54" i="58" s="1"/>
  <c r="E49" i="58"/>
  <c r="F49" i="58" s="1"/>
  <c r="E55" i="58"/>
  <c r="F55" i="58" s="1"/>
  <c r="E48" i="58"/>
  <c r="F48" i="58" s="1"/>
  <c r="E45" i="58"/>
  <c r="F45" i="58" s="1"/>
  <c r="E42" i="58"/>
  <c r="F42" i="58" s="1"/>
  <c r="E43" i="58"/>
  <c r="F43" i="58" s="1"/>
  <c r="E44" i="58"/>
  <c r="F44" i="58" s="1"/>
  <c r="E45" i="65"/>
  <c r="F45" i="65" s="1"/>
  <c r="E39" i="65"/>
  <c r="F39" i="65" s="1"/>
  <c r="E44" i="65"/>
  <c r="F44" i="65" s="1"/>
  <c r="E43" i="65"/>
  <c r="F43" i="65" s="1"/>
  <c r="E42" i="65"/>
  <c r="F42" i="65" s="1"/>
  <c r="E41" i="65"/>
  <c r="F41" i="65" s="1"/>
  <c r="E40" i="65"/>
  <c r="F40" i="65" s="1"/>
  <c r="E38" i="65"/>
  <c r="F38" i="65" s="1"/>
  <c r="E37" i="65"/>
  <c r="F37" i="65" s="1"/>
  <c r="E36" i="65"/>
  <c r="F36" i="65" s="1"/>
  <c r="E35" i="65"/>
  <c r="F35" i="65" s="1"/>
  <c r="E34" i="65"/>
  <c r="F34" i="65" s="1"/>
  <c r="E33" i="65"/>
  <c r="F33" i="65" s="1"/>
  <c r="E32" i="65"/>
  <c r="F32" i="65" s="1"/>
  <c r="E29" i="65"/>
  <c r="F29" i="65" s="1"/>
  <c r="E30" i="65"/>
  <c r="F30" i="65" s="1"/>
  <c r="E31" i="65"/>
  <c r="F31" i="65" s="1"/>
  <c r="E27" i="65"/>
  <c r="F27" i="65" s="1"/>
  <c r="E28" i="65"/>
  <c r="F28" i="65" s="1"/>
  <c r="E67" i="73"/>
  <c r="F67" i="73" s="1"/>
  <c r="E66" i="73"/>
  <c r="F66" i="73" s="1"/>
  <c r="E65" i="73"/>
  <c r="F65" i="73" s="1"/>
  <c r="E68" i="73"/>
  <c r="F68" i="73" s="1"/>
  <c r="E69" i="73"/>
  <c r="F69" i="73" s="1"/>
  <c r="E64" i="73"/>
  <c r="F64" i="73" s="1"/>
  <c r="E63" i="73"/>
  <c r="F63" i="73" s="1"/>
  <c r="E55" i="73"/>
  <c r="F55" i="73" s="1"/>
  <c r="E56" i="73"/>
  <c r="F56" i="73" s="1"/>
  <c r="E61" i="73"/>
  <c r="F61" i="73" s="1"/>
  <c r="E57" i="73"/>
  <c r="F57" i="73" s="1"/>
  <c r="E52" i="73"/>
  <c r="F52" i="73" s="1"/>
  <c r="E58" i="73"/>
  <c r="F58" i="73" s="1"/>
  <c r="E60" i="73"/>
  <c r="F60" i="73" s="1"/>
  <c r="E59" i="73"/>
  <c r="F59" i="73" s="1"/>
  <c r="E54" i="73"/>
  <c r="F54" i="73" s="1"/>
  <c r="E62" i="73"/>
  <c r="F62" i="73" s="1"/>
  <c r="E53" i="73"/>
  <c r="F53" i="73" s="1"/>
  <c r="E51" i="73"/>
  <c r="F51" i="73" s="1"/>
  <c r="E48" i="73"/>
  <c r="F48" i="73" s="1"/>
  <c r="E49" i="73"/>
  <c r="F49" i="73" s="1"/>
  <c r="E50" i="73"/>
  <c r="F50" i="73" s="1"/>
  <c r="E56" i="97"/>
  <c r="F56" i="97" s="1"/>
  <c r="E55" i="97"/>
  <c r="F55" i="97" s="1"/>
  <c r="E59" i="97"/>
  <c r="F59" i="97" s="1"/>
  <c r="E54" i="97"/>
  <c r="F54" i="97" s="1"/>
  <c r="E53" i="97"/>
  <c r="F53" i="97" s="1"/>
  <c r="E58" i="97"/>
  <c r="F58" i="97" s="1"/>
  <c r="E57" i="97"/>
  <c r="F57" i="97" s="1"/>
  <c r="E47" i="97"/>
  <c r="F47" i="97" s="1"/>
  <c r="E44" i="97"/>
  <c r="F44" i="97" s="1"/>
  <c r="E49" i="97"/>
  <c r="F49" i="97" s="1"/>
  <c r="E50" i="97"/>
  <c r="F50" i="97" s="1"/>
  <c r="E45" i="97"/>
  <c r="F45" i="97" s="1"/>
  <c r="E51" i="97"/>
  <c r="F51" i="97" s="1"/>
  <c r="E52" i="97"/>
  <c r="F52" i="97" s="1"/>
  <c r="E46" i="97"/>
  <c r="F46" i="97" s="1"/>
  <c r="E42" i="97"/>
  <c r="F42" i="97" s="1"/>
  <c r="E43" i="97"/>
  <c r="F43" i="97" s="1"/>
  <c r="E48" i="97"/>
  <c r="F48" i="97" s="1"/>
  <c r="E41" i="97"/>
  <c r="F41" i="97" s="1"/>
  <c r="E38" i="97"/>
  <c r="F38" i="97" s="1"/>
  <c r="E39" i="97"/>
  <c r="F39" i="97" s="1"/>
  <c r="E40" i="97"/>
  <c r="F40" i="97" s="1"/>
  <c r="E30" i="112"/>
  <c r="F30" i="112" s="1"/>
  <c r="E38" i="112"/>
  <c r="F38" i="112" s="1"/>
  <c r="E46" i="112"/>
  <c r="F46" i="112" s="1"/>
  <c r="E31" i="112"/>
  <c r="F31" i="112" s="1"/>
  <c r="E39" i="112"/>
  <c r="F39" i="112" s="1"/>
  <c r="E47" i="112"/>
  <c r="F47" i="112" s="1"/>
  <c r="E32" i="112"/>
  <c r="F32" i="112" s="1"/>
  <c r="E40" i="112"/>
  <c r="F40" i="112" s="1"/>
  <c r="E48" i="112"/>
  <c r="F48" i="112" s="1"/>
  <c r="E33" i="112"/>
  <c r="F33" i="112" s="1"/>
  <c r="E41" i="112"/>
  <c r="F41" i="112" s="1"/>
  <c r="E49" i="112"/>
  <c r="F49" i="112" s="1"/>
  <c r="E34" i="112"/>
  <c r="F34" i="112" s="1"/>
  <c r="E42" i="112"/>
  <c r="F42" i="112" s="1"/>
  <c r="E50" i="112"/>
  <c r="F50" i="112" s="1"/>
  <c r="E43" i="112"/>
  <c r="F43" i="112" s="1"/>
  <c r="E44" i="112"/>
  <c r="F44" i="112" s="1"/>
  <c r="E29" i="112"/>
  <c r="F29" i="112" s="1"/>
  <c r="E45" i="112"/>
  <c r="F45" i="112" s="1"/>
  <c r="E52" i="112"/>
  <c r="F52" i="112" s="1"/>
  <c r="E51" i="112"/>
  <c r="F51" i="112" s="1"/>
  <c r="E35" i="112"/>
  <c r="F35" i="112" s="1"/>
  <c r="E36" i="112"/>
  <c r="F36" i="112" s="1"/>
  <c r="E37" i="112"/>
  <c r="F37" i="112" s="1"/>
  <c r="E20" i="65"/>
  <c r="E62" i="68"/>
  <c r="F62" i="68" s="1"/>
  <c r="E68" i="24"/>
  <c r="F68" i="24" s="1"/>
  <c r="E53" i="24"/>
  <c r="F53" i="24" s="1"/>
  <c r="E59" i="24"/>
  <c r="F59" i="24" s="1"/>
  <c r="E18" i="80"/>
  <c r="F18" i="80" s="1"/>
  <c r="E66" i="80"/>
  <c r="F66" i="80" s="1"/>
  <c r="E69" i="80"/>
  <c r="F69" i="80" s="1"/>
  <c r="E65" i="80"/>
  <c r="F65" i="80" s="1"/>
  <c r="E68" i="80"/>
  <c r="F68" i="80" s="1"/>
  <c r="E64" i="80"/>
  <c r="F64" i="80" s="1"/>
  <c r="E67" i="80"/>
  <c r="F67" i="80" s="1"/>
  <c r="E63" i="80"/>
  <c r="F63" i="80" s="1"/>
  <c r="E62" i="80"/>
  <c r="F62" i="80" s="1"/>
  <c r="E61" i="80"/>
  <c r="F61" i="80" s="1"/>
  <c r="E60" i="80"/>
  <c r="F60" i="80" s="1"/>
  <c r="E57" i="80"/>
  <c r="F57" i="80" s="1"/>
  <c r="E58" i="80"/>
  <c r="F58" i="80" s="1"/>
  <c r="E55" i="80"/>
  <c r="F55" i="80" s="1"/>
  <c r="E59" i="80"/>
  <c r="F59" i="80" s="1"/>
  <c r="E56" i="80"/>
  <c r="F56" i="80" s="1"/>
  <c r="E54" i="80"/>
  <c r="F54" i="80" s="1"/>
  <c r="E53" i="80"/>
  <c r="F53" i="80" s="1"/>
  <c r="E52" i="80"/>
  <c r="F52" i="80" s="1"/>
  <c r="E51" i="80"/>
  <c r="F51" i="80" s="1"/>
  <c r="E49" i="80"/>
  <c r="F49" i="80" s="1"/>
  <c r="E50" i="80"/>
  <c r="F50" i="80" s="1"/>
  <c r="E48" i="80"/>
  <c r="F48" i="80" s="1"/>
  <c r="E37" i="17"/>
  <c r="F37" i="17" s="1"/>
  <c r="E25" i="57"/>
  <c r="F25" i="57" s="1"/>
  <c r="E38" i="89"/>
  <c r="F38" i="89" s="1"/>
  <c r="E18" i="17"/>
  <c r="F18" i="17" s="1"/>
  <c r="E36" i="69"/>
  <c r="F36" i="69" s="1"/>
  <c r="E28" i="57"/>
  <c r="F28" i="57" s="1"/>
  <c r="E44" i="69"/>
  <c r="F44" i="69" s="1"/>
  <c r="E12" i="89"/>
  <c r="F12" i="89" s="1"/>
  <c r="E13" i="69"/>
  <c r="F13" i="69" s="1"/>
  <c r="E29" i="69"/>
  <c r="F29" i="69" s="1"/>
  <c r="E53" i="69"/>
  <c r="F53" i="69" s="1"/>
  <c r="E18" i="89"/>
  <c r="F18" i="89" s="1"/>
  <c r="E33" i="90"/>
  <c r="F33" i="90" s="1"/>
  <c r="E40" i="90"/>
  <c r="F40" i="90" s="1"/>
  <c r="E46" i="90"/>
  <c r="F46" i="90" s="1"/>
  <c r="E7" i="24"/>
  <c r="E69" i="24" s="1"/>
  <c r="F69" i="24" s="1"/>
  <c r="E18" i="46"/>
  <c r="F18" i="46" s="1"/>
  <c r="E35" i="46"/>
  <c r="F35" i="46" s="1"/>
  <c r="E37" i="46"/>
  <c r="F37" i="46" s="1"/>
  <c r="E23" i="89"/>
  <c r="F23" i="89" s="1"/>
  <c r="E25" i="53"/>
  <c r="F25" i="53" s="1"/>
  <c r="E30" i="44"/>
  <c r="F30" i="44" s="1"/>
  <c r="E15" i="10"/>
  <c r="F15" i="10" s="1"/>
  <c r="E22" i="10"/>
  <c r="F22" i="10" s="1"/>
  <c r="E14" i="5"/>
  <c r="F14" i="5" s="1"/>
  <c r="E16" i="73"/>
  <c r="F16" i="73" s="1"/>
  <c r="E29" i="4"/>
  <c r="F29" i="4" s="1"/>
  <c r="E58" i="1"/>
  <c r="F58" i="1" s="1"/>
  <c r="E60" i="1"/>
  <c r="F60" i="1" s="1"/>
  <c r="E59" i="1"/>
  <c r="F59" i="1" s="1"/>
  <c r="E44" i="1"/>
  <c r="F44" i="1" s="1"/>
  <c r="E49" i="1"/>
  <c r="F49" i="1" s="1"/>
  <c r="E52" i="1"/>
  <c r="F52" i="1" s="1"/>
  <c r="E48" i="1"/>
  <c r="F48" i="1" s="1"/>
  <c r="E39" i="1"/>
  <c r="F39" i="1" s="1"/>
  <c r="E50" i="1"/>
  <c r="F50" i="1" s="1"/>
  <c r="E55" i="1"/>
  <c r="F55" i="1" s="1"/>
  <c r="E54" i="1"/>
  <c r="F54" i="1" s="1"/>
  <c r="E40" i="1"/>
  <c r="F40" i="1" s="1"/>
  <c r="E45" i="1"/>
  <c r="F45" i="1" s="1"/>
  <c r="E56" i="1"/>
  <c r="F56" i="1" s="1"/>
  <c r="E36" i="1"/>
  <c r="F36" i="1" s="1"/>
  <c r="E53" i="1"/>
  <c r="F53" i="1" s="1"/>
  <c r="E43" i="1"/>
  <c r="F43" i="1" s="1"/>
  <c r="E46" i="1"/>
  <c r="F46" i="1" s="1"/>
  <c r="E51" i="1"/>
  <c r="F51" i="1" s="1"/>
  <c r="E41" i="1"/>
  <c r="F41" i="1" s="1"/>
  <c r="E57" i="1"/>
  <c r="F57" i="1" s="1"/>
  <c r="E38" i="1"/>
  <c r="F38" i="1" s="1"/>
  <c r="E42" i="1"/>
  <c r="F42" i="1" s="1"/>
  <c r="E47" i="1"/>
  <c r="F47" i="1" s="1"/>
  <c r="E37" i="1"/>
  <c r="F37" i="1" s="1"/>
  <c r="E61" i="6"/>
  <c r="F61" i="6" s="1"/>
  <c r="E62" i="6"/>
  <c r="F62" i="6" s="1"/>
  <c r="E60" i="6"/>
  <c r="F60" i="6" s="1"/>
  <c r="E56" i="6"/>
  <c r="F56" i="6" s="1"/>
  <c r="E57" i="6"/>
  <c r="F57" i="6" s="1"/>
  <c r="E59" i="6"/>
  <c r="F59" i="6" s="1"/>
  <c r="E58" i="6"/>
  <c r="F58" i="6" s="1"/>
  <c r="E54" i="6"/>
  <c r="F54" i="6" s="1"/>
  <c r="E55" i="6"/>
  <c r="F55" i="6" s="1"/>
  <c r="E52" i="6"/>
  <c r="F52" i="6" s="1"/>
  <c r="E51" i="6"/>
  <c r="F51" i="6" s="1"/>
  <c r="E53" i="6"/>
  <c r="F53" i="6" s="1"/>
  <c r="E50" i="6"/>
  <c r="F50" i="6" s="1"/>
  <c r="E49" i="6"/>
  <c r="F49" i="6" s="1"/>
  <c r="E46" i="6"/>
  <c r="F46" i="6" s="1"/>
  <c r="E43" i="6"/>
  <c r="F43" i="6" s="1"/>
  <c r="E47" i="6"/>
  <c r="F47" i="6" s="1"/>
  <c r="E44" i="6"/>
  <c r="F44" i="6" s="1"/>
  <c r="E45" i="6"/>
  <c r="F45" i="6" s="1"/>
  <c r="E48" i="6"/>
  <c r="F48" i="6" s="1"/>
  <c r="E81" i="18"/>
  <c r="F81" i="18" s="1"/>
  <c r="E80" i="18"/>
  <c r="F80" i="18" s="1"/>
  <c r="E82" i="18"/>
  <c r="F82" i="18" s="1"/>
  <c r="E77" i="18"/>
  <c r="F77" i="18" s="1"/>
  <c r="E76" i="18"/>
  <c r="F76" i="18" s="1"/>
  <c r="E78" i="18"/>
  <c r="F78" i="18" s="1"/>
  <c r="E79" i="18"/>
  <c r="F79" i="18" s="1"/>
  <c r="E72" i="18"/>
  <c r="F72" i="18" s="1"/>
  <c r="E75" i="18"/>
  <c r="F75" i="18" s="1"/>
  <c r="E74" i="18"/>
  <c r="F74" i="18" s="1"/>
  <c r="E73" i="18"/>
  <c r="F73" i="18" s="1"/>
  <c r="E66" i="18"/>
  <c r="F66" i="18" s="1"/>
  <c r="E67" i="18"/>
  <c r="F67" i="18" s="1"/>
  <c r="E68" i="18"/>
  <c r="F68" i="18" s="1"/>
  <c r="E70" i="18"/>
  <c r="F70" i="18" s="1"/>
  <c r="E69" i="18"/>
  <c r="F69" i="18" s="1"/>
  <c r="E65" i="18"/>
  <c r="F65" i="18" s="1"/>
  <c r="E71" i="18"/>
  <c r="F71" i="18" s="1"/>
  <c r="E64" i="18"/>
  <c r="F64" i="18" s="1"/>
  <c r="E61" i="18"/>
  <c r="F61" i="18" s="1"/>
  <c r="E63" i="18"/>
  <c r="F63" i="18" s="1"/>
  <c r="E62" i="18"/>
  <c r="F62" i="18" s="1"/>
  <c r="E32" i="26"/>
  <c r="F32" i="26" s="1"/>
  <c r="E53" i="26"/>
  <c r="F53" i="26" s="1"/>
  <c r="E52" i="26"/>
  <c r="F52" i="26" s="1"/>
  <c r="E51" i="26"/>
  <c r="F51" i="26" s="1"/>
  <c r="E50" i="26"/>
  <c r="F50" i="26" s="1"/>
  <c r="E49" i="26"/>
  <c r="F49" i="26" s="1"/>
  <c r="E54" i="26"/>
  <c r="F54" i="26" s="1"/>
  <c r="E42" i="26"/>
  <c r="F42" i="26" s="1"/>
  <c r="E37" i="26"/>
  <c r="F37" i="26" s="1"/>
  <c r="E43" i="26"/>
  <c r="F43" i="26" s="1"/>
  <c r="E48" i="26"/>
  <c r="F48" i="26" s="1"/>
  <c r="E38" i="26"/>
  <c r="F38" i="26" s="1"/>
  <c r="E44" i="26"/>
  <c r="F44" i="26" s="1"/>
  <c r="E39" i="26"/>
  <c r="F39" i="26" s="1"/>
  <c r="E40" i="26"/>
  <c r="F40" i="26" s="1"/>
  <c r="E45" i="26"/>
  <c r="F45" i="26" s="1"/>
  <c r="E47" i="26"/>
  <c r="F47" i="26" s="1"/>
  <c r="E46" i="26"/>
  <c r="F46" i="26" s="1"/>
  <c r="E41" i="26"/>
  <c r="F41" i="26" s="1"/>
  <c r="E36" i="26"/>
  <c r="F36" i="26" s="1"/>
  <c r="E35" i="26"/>
  <c r="F35" i="26" s="1"/>
  <c r="E33" i="26"/>
  <c r="F33" i="26" s="1"/>
  <c r="E34" i="26"/>
  <c r="F34" i="26" s="1"/>
  <c r="E8" i="41"/>
  <c r="F8" i="41" s="1"/>
  <c r="E10" i="47"/>
  <c r="F10" i="47" s="1"/>
  <c r="E23" i="52"/>
  <c r="F23" i="52" s="1"/>
  <c r="E61" i="52"/>
  <c r="F61" i="52" s="1"/>
  <c r="E62" i="52"/>
  <c r="F62" i="52" s="1"/>
  <c r="E60" i="52"/>
  <c r="F60" i="52" s="1"/>
  <c r="E59" i="52"/>
  <c r="F59" i="52" s="1"/>
  <c r="E63" i="52"/>
  <c r="F63" i="52" s="1"/>
  <c r="E58" i="52"/>
  <c r="F58" i="52" s="1"/>
  <c r="E57" i="52"/>
  <c r="F57" i="52" s="1"/>
  <c r="E54" i="52"/>
  <c r="F54" i="52" s="1"/>
  <c r="E53" i="52"/>
  <c r="F53" i="52" s="1"/>
  <c r="E56" i="52"/>
  <c r="F56" i="52" s="1"/>
  <c r="E55" i="52"/>
  <c r="F55" i="52" s="1"/>
  <c r="E46" i="52"/>
  <c r="F46" i="52" s="1"/>
  <c r="E52" i="52"/>
  <c r="F52" i="52" s="1"/>
  <c r="E47" i="52"/>
  <c r="F47" i="52" s="1"/>
  <c r="E48" i="52"/>
  <c r="F48" i="52" s="1"/>
  <c r="E49" i="52"/>
  <c r="F49" i="52" s="1"/>
  <c r="E50" i="52"/>
  <c r="F50" i="52" s="1"/>
  <c r="E51" i="52"/>
  <c r="F51" i="52" s="1"/>
  <c r="E45" i="52"/>
  <c r="F45" i="52" s="1"/>
  <c r="E44" i="52"/>
  <c r="F44" i="52" s="1"/>
  <c r="E42" i="52"/>
  <c r="F42" i="52" s="1"/>
  <c r="E43" i="52"/>
  <c r="F43" i="52" s="1"/>
  <c r="E25" i="59"/>
  <c r="F25" i="59" s="1"/>
  <c r="E57" i="59"/>
  <c r="F57" i="59" s="1"/>
  <c r="E59" i="59"/>
  <c r="F59" i="59" s="1"/>
  <c r="E63" i="59"/>
  <c r="F63" i="59" s="1"/>
  <c r="E58" i="59"/>
  <c r="F58" i="59" s="1"/>
  <c r="E62" i="59"/>
  <c r="F62" i="59" s="1"/>
  <c r="E61" i="59"/>
  <c r="F61" i="59" s="1"/>
  <c r="E60" i="59"/>
  <c r="F60" i="59" s="1"/>
  <c r="E53" i="59"/>
  <c r="F53" i="59" s="1"/>
  <c r="E46" i="59"/>
  <c r="F46" i="59" s="1"/>
  <c r="E54" i="59"/>
  <c r="F54" i="59" s="1"/>
  <c r="E47" i="59"/>
  <c r="F47" i="59" s="1"/>
  <c r="E55" i="59"/>
  <c r="F55" i="59" s="1"/>
  <c r="E48" i="59"/>
  <c r="F48" i="59" s="1"/>
  <c r="E56" i="59"/>
  <c r="F56" i="59" s="1"/>
  <c r="E49" i="59"/>
  <c r="F49" i="59" s="1"/>
  <c r="E50" i="59"/>
  <c r="F50" i="59" s="1"/>
  <c r="E52" i="59"/>
  <c r="F52" i="59" s="1"/>
  <c r="E51" i="59"/>
  <c r="F51" i="59" s="1"/>
  <c r="E45" i="59"/>
  <c r="F45" i="59" s="1"/>
  <c r="E44" i="59"/>
  <c r="F44" i="59" s="1"/>
  <c r="E42" i="59"/>
  <c r="F42" i="59" s="1"/>
  <c r="E43" i="59"/>
  <c r="F43" i="59" s="1"/>
  <c r="E11" i="66"/>
  <c r="F11" i="66" s="1"/>
  <c r="E43" i="66"/>
  <c r="F43" i="66" s="1"/>
  <c r="E42" i="66"/>
  <c r="F42" i="66" s="1"/>
  <c r="E41" i="66"/>
  <c r="F41" i="66" s="1"/>
  <c r="E45" i="66"/>
  <c r="F45" i="66" s="1"/>
  <c r="E44" i="66"/>
  <c r="F44" i="66" s="1"/>
  <c r="E40" i="66"/>
  <c r="F40" i="66" s="1"/>
  <c r="E39" i="66"/>
  <c r="F39" i="66" s="1"/>
  <c r="E35" i="66"/>
  <c r="F35" i="66" s="1"/>
  <c r="E38" i="66"/>
  <c r="F38" i="66" s="1"/>
  <c r="E36" i="66"/>
  <c r="F36" i="66" s="1"/>
  <c r="E37" i="66"/>
  <c r="F37" i="66" s="1"/>
  <c r="E33" i="66"/>
  <c r="F33" i="66" s="1"/>
  <c r="E34" i="66"/>
  <c r="F34" i="66" s="1"/>
  <c r="E32" i="66"/>
  <c r="F32" i="66" s="1"/>
  <c r="E29" i="66"/>
  <c r="F29" i="66" s="1"/>
  <c r="E30" i="66"/>
  <c r="F30" i="66" s="1"/>
  <c r="E31" i="66"/>
  <c r="F31" i="66" s="1"/>
  <c r="E28" i="66"/>
  <c r="F28" i="66" s="1"/>
  <c r="E27" i="66"/>
  <c r="F27" i="66" s="1"/>
  <c r="E55" i="74"/>
  <c r="F55" i="74" s="1"/>
  <c r="E57" i="92"/>
  <c r="F57" i="92" s="1"/>
  <c r="E58" i="92"/>
  <c r="F58" i="92" s="1"/>
  <c r="E56" i="92"/>
  <c r="F56" i="92" s="1"/>
  <c r="E44" i="92"/>
  <c r="F44" i="92" s="1"/>
  <c r="E49" i="92"/>
  <c r="F49" i="92" s="1"/>
  <c r="E41" i="92"/>
  <c r="F41" i="92" s="1"/>
  <c r="E37" i="92"/>
  <c r="F37" i="92" s="1"/>
  <c r="E38" i="92"/>
  <c r="F38" i="92" s="1"/>
  <c r="E39" i="92"/>
  <c r="F39" i="92" s="1"/>
  <c r="E50" i="92"/>
  <c r="F50" i="92" s="1"/>
  <c r="E55" i="92"/>
  <c r="F55" i="92" s="1"/>
  <c r="E52" i="92"/>
  <c r="F52" i="92" s="1"/>
  <c r="E53" i="92"/>
  <c r="F53" i="92" s="1"/>
  <c r="E40" i="92"/>
  <c r="F40" i="92" s="1"/>
  <c r="E45" i="92"/>
  <c r="F45" i="92" s="1"/>
  <c r="E43" i="92"/>
  <c r="F43" i="92" s="1"/>
  <c r="E46" i="92"/>
  <c r="F46" i="92" s="1"/>
  <c r="E51" i="92"/>
  <c r="F51" i="92" s="1"/>
  <c r="E54" i="92"/>
  <c r="F54" i="92" s="1"/>
  <c r="E42" i="92"/>
  <c r="F42" i="92" s="1"/>
  <c r="E47" i="92"/>
  <c r="F47" i="92" s="1"/>
  <c r="E48" i="92"/>
  <c r="F48" i="92" s="1"/>
  <c r="E10" i="112"/>
  <c r="F10" i="112" s="1"/>
  <c r="E42" i="42"/>
  <c r="F42" i="42" s="1"/>
  <c r="E43" i="9"/>
  <c r="F43" i="9" s="1"/>
  <c r="E21" i="66"/>
  <c r="E50" i="17"/>
  <c r="F50" i="17" s="1"/>
  <c r="E59" i="5"/>
  <c r="F59" i="5" s="1"/>
  <c r="E60" i="5"/>
  <c r="F60" i="5" s="1"/>
  <c r="E58" i="5"/>
  <c r="F58" i="5" s="1"/>
  <c r="E57" i="5"/>
  <c r="F57" i="5" s="1"/>
  <c r="E54" i="5"/>
  <c r="F54" i="5" s="1"/>
  <c r="E56" i="5"/>
  <c r="F56" i="5" s="1"/>
  <c r="E55" i="5"/>
  <c r="F55" i="5" s="1"/>
  <c r="E53" i="5"/>
  <c r="F53" i="5" s="1"/>
  <c r="E52" i="5"/>
  <c r="F52" i="5" s="1"/>
  <c r="E49" i="5"/>
  <c r="F49" i="5" s="1"/>
  <c r="E47" i="5"/>
  <c r="F47" i="5" s="1"/>
  <c r="E48" i="5"/>
  <c r="F48" i="5" s="1"/>
  <c r="E50" i="5"/>
  <c r="F50" i="5" s="1"/>
  <c r="E45" i="5"/>
  <c r="F45" i="5" s="1"/>
  <c r="E51" i="5"/>
  <c r="F51" i="5" s="1"/>
  <c r="E46" i="5"/>
  <c r="F46" i="5" s="1"/>
  <c r="E44" i="5"/>
  <c r="F44" i="5" s="1"/>
  <c r="E43" i="5"/>
  <c r="F43" i="5" s="1"/>
  <c r="E42" i="5"/>
  <c r="F42" i="5" s="1"/>
  <c r="E41" i="5"/>
  <c r="F41" i="5" s="1"/>
  <c r="E60" i="16"/>
  <c r="F60" i="16" s="1"/>
  <c r="E62" i="46"/>
  <c r="F62" i="46" s="1"/>
  <c r="E61" i="46"/>
  <c r="F61" i="46" s="1"/>
  <c r="E60" i="46"/>
  <c r="F60" i="46" s="1"/>
  <c r="E63" i="46"/>
  <c r="F63" i="46" s="1"/>
  <c r="E59" i="46"/>
  <c r="F59" i="46" s="1"/>
  <c r="E64" i="46"/>
  <c r="F64" i="46" s="1"/>
  <c r="E49" i="46"/>
  <c r="F49" i="46" s="1"/>
  <c r="E56" i="46"/>
  <c r="F56" i="46" s="1"/>
  <c r="E50" i="46"/>
  <c r="F50" i="46" s="1"/>
  <c r="E57" i="46"/>
  <c r="F57" i="46" s="1"/>
  <c r="E51" i="46"/>
  <c r="F51" i="46" s="1"/>
  <c r="E58" i="46"/>
  <c r="F58" i="46" s="1"/>
  <c r="E52" i="46"/>
  <c r="F52" i="46" s="1"/>
  <c r="E53" i="46"/>
  <c r="F53" i="46" s="1"/>
  <c r="E48" i="46"/>
  <c r="F48" i="46" s="1"/>
  <c r="E55" i="46"/>
  <c r="F55" i="46" s="1"/>
  <c r="E47" i="46"/>
  <c r="F47" i="46" s="1"/>
  <c r="E54" i="46"/>
  <c r="F54" i="46" s="1"/>
  <c r="E46" i="46"/>
  <c r="F46" i="46" s="1"/>
  <c r="E44" i="46"/>
  <c r="F44" i="46" s="1"/>
  <c r="E45" i="46"/>
  <c r="F45" i="46" s="1"/>
  <c r="E43" i="46"/>
  <c r="F43" i="46" s="1"/>
  <c r="E67" i="57"/>
  <c r="F67" i="57" s="1"/>
  <c r="E72" i="57"/>
  <c r="F72" i="57" s="1"/>
  <c r="E66" i="57"/>
  <c r="F66" i="57" s="1"/>
  <c r="E70" i="57"/>
  <c r="F70" i="57" s="1"/>
  <c r="E71" i="57"/>
  <c r="F71" i="57" s="1"/>
  <c r="E69" i="57"/>
  <c r="F69" i="57" s="1"/>
  <c r="E68" i="57"/>
  <c r="F68" i="57" s="1"/>
  <c r="E55" i="57"/>
  <c r="F55" i="57" s="1"/>
  <c r="E60" i="57"/>
  <c r="F60" i="57" s="1"/>
  <c r="E61" i="57"/>
  <c r="F61" i="57" s="1"/>
  <c r="E56" i="57"/>
  <c r="F56" i="57" s="1"/>
  <c r="E57" i="57"/>
  <c r="F57" i="57" s="1"/>
  <c r="E62" i="57"/>
  <c r="F62" i="57" s="1"/>
  <c r="E58" i="57"/>
  <c r="F58" i="57" s="1"/>
  <c r="E63" i="57"/>
  <c r="F63" i="57" s="1"/>
  <c r="E59" i="57"/>
  <c r="F59" i="57" s="1"/>
  <c r="E65" i="57"/>
  <c r="F65" i="57" s="1"/>
  <c r="E64" i="57"/>
  <c r="F64" i="57" s="1"/>
  <c r="E54" i="57"/>
  <c r="F54" i="57" s="1"/>
  <c r="E52" i="57"/>
  <c r="F52" i="57" s="1"/>
  <c r="E53" i="57"/>
  <c r="F53" i="57" s="1"/>
  <c r="E51" i="57"/>
  <c r="F51" i="57" s="1"/>
  <c r="E62" i="72"/>
  <c r="F62" i="72" s="1"/>
  <c r="E31" i="80"/>
  <c r="F31" i="80" s="1"/>
  <c r="E34" i="80"/>
  <c r="F34" i="80" s="1"/>
  <c r="E19" i="80"/>
  <c r="F19" i="80" s="1"/>
  <c r="E31" i="17"/>
  <c r="F31" i="17" s="1"/>
  <c r="E9" i="57"/>
  <c r="F9" i="57" s="1"/>
  <c r="E54" i="69"/>
  <c r="F54" i="69" s="1"/>
  <c r="E30" i="89"/>
  <c r="F30" i="89" s="1"/>
  <c r="E21" i="69"/>
  <c r="F21" i="69" s="1"/>
  <c r="E46" i="17"/>
  <c r="F46" i="17" s="1"/>
  <c r="E10" i="17"/>
  <c r="F10" i="17" s="1"/>
  <c r="E32" i="69"/>
  <c r="F32" i="69" s="1"/>
  <c r="E24" i="24"/>
  <c r="F24" i="24" s="1"/>
  <c r="E17" i="69"/>
  <c r="F17" i="69" s="1"/>
  <c r="E36" i="57"/>
  <c r="F36" i="57" s="1"/>
  <c r="E40" i="69"/>
  <c r="F40" i="69" s="1"/>
  <c r="E27" i="89"/>
  <c r="F27" i="89" s="1"/>
  <c r="E20" i="69"/>
  <c r="F20" i="69" s="1"/>
  <c r="E33" i="17"/>
  <c r="F33" i="17" s="1"/>
  <c r="E32" i="57"/>
  <c r="F32" i="57" s="1"/>
  <c r="E48" i="69"/>
  <c r="F48" i="69" s="1"/>
  <c r="E31" i="90"/>
  <c r="F31" i="90" s="1"/>
  <c r="E37" i="90"/>
  <c r="F37" i="90" s="1"/>
  <c r="E49" i="90"/>
  <c r="F49" i="90" s="1"/>
  <c r="E20" i="46"/>
  <c r="F20" i="46" s="1"/>
  <c r="E29" i="46"/>
  <c r="F29" i="46" s="1"/>
  <c r="E21" i="53"/>
  <c r="F21" i="53" s="1"/>
  <c r="E22" i="44"/>
  <c r="F22" i="44" s="1"/>
  <c r="E11" i="10"/>
  <c r="F11" i="10" s="1"/>
  <c r="E28" i="10"/>
  <c r="F28" i="10" s="1"/>
  <c r="E15" i="5"/>
  <c r="F15" i="5" s="1"/>
  <c r="E22" i="5"/>
  <c r="F22" i="5" s="1"/>
  <c r="E30" i="5"/>
  <c r="F30" i="5" s="1"/>
  <c r="E14" i="15"/>
  <c r="F14" i="15" s="1"/>
  <c r="E31" i="4"/>
  <c r="F31" i="4" s="1"/>
  <c r="E20" i="83"/>
  <c r="F20" i="83" s="1"/>
  <c r="E15" i="83"/>
  <c r="F15" i="83" s="1"/>
  <c r="E11" i="46"/>
  <c r="F11" i="46" s="1"/>
  <c r="E37" i="2"/>
  <c r="F37" i="2" s="1"/>
  <c r="E59" i="2"/>
  <c r="F59" i="2" s="1"/>
  <c r="E58" i="2"/>
  <c r="F58" i="2" s="1"/>
  <c r="E57" i="2"/>
  <c r="F57" i="2" s="1"/>
  <c r="E38" i="2"/>
  <c r="F38" i="2" s="1"/>
  <c r="E49" i="2"/>
  <c r="F49" i="2" s="1"/>
  <c r="E54" i="2"/>
  <c r="F54" i="2" s="1"/>
  <c r="E46" i="2"/>
  <c r="F46" i="2" s="1"/>
  <c r="E43" i="2"/>
  <c r="F43" i="2" s="1"/>
  <c r="E39" i="2"/>
  <c r="F39" i="2" s="1"/>
  <c r="E44" i="2"/>
  <c r="F44" i="2" s="1"/>
  <c r="E55" i="2"/>
  <c r="F55" i="2" s="1"/>
  <c r="E45" i="2"/>
  <c r="F45" i="2" s="1"/>
  <c r="E50" i="2"/>
  <c r="F50" i="2" s="1"/>
  <c r="E40" i="2"/>
  <c r="F40" i="2" s="1"/>
  <c r="E51" i="2"/>
  <c r="F51" i="2" s="1"/>
  <c r="E56" i="2"/>
  <c r="F56" i="2" s="1"/>
  <c r="E41" i="2"/>
  <c r="F41" i="2" s="1"/>
  <c r="E47" i="2"/>
  <c r="F47" i="2" s="1"/>
  <c r="E52" i="2"/>
  <c r="F52" i="2" s="1"/>
  <c r="E42" i="2"/>
  <c r="F42" i="2" s="1"/>
  <c r="E53" i="2"/>
  <c r="F53" i="2" s="1"/>
  <c r="E48" i="2"/>
  <c r="F48" i="2" s="1"/>
  <c r="E38" i="13"/>
  <c r="F38" i="13" s="1"/>
  <c r="E57" i="13"/>
  <c r="F57" i="13" s="1"/>
  <c r="E59" i="13"/>
  <c r="F59" i="13" s="1"/>
  <c r="E58" i="13"/>
  <c r="F58" i="13" s="1"/>
  <c r="E56" i="13"/>
  <c r="F56" i="13" s="1"/>
  <c r="E54" i="13"/>
  <c r="F54" i="13" s="1"/>
  <c r="E53" i="13"/>
  <c r="F53" i="13" s="1"/>
  <c r="E55" i="13"/>
  <c r="F55" i="13" s="1"/>
  <c r="E49" i="13"/>
  <c r="F49" i="13" s="1"/>
  <c r="E50" i="13"/>
  <c r="F50" i="13" s="1"/>
  <c r="E51" i="13"/>
  <c r="F51" i="13" s="1"/>
  <c r="E52" i="13"/>
  <c r="F52" i="13" s="1"/>
  <c r="E48" i="13"/>
  <c r="F48" i="13" s="1"/>
  <c r="E47" i="13"/>
  <c r="F47" i="13" s="1"/>
  <c r="E46" i="13"/>
  <c r="F46" i="13" s="1"/>
  <c r="E44" i="13"/>
  <c r="F44" i="13" s="1"/>
  <c r="E45" i="13"/>
  <c r="F45" i="13" s="1"/>
  <c r="E43" i="13"/>
  <c r="F43" i="13" s="1"/>
  <c r="E42" i="13"/>
  <c r="F42" i="13" s="1"/>
  <c r="E41" i="13"/>
  <c r="F41" i="13" s="1"/>
  <c r="E39" i="13"/>
  <c r="F39" i="13" s="1"/>
  <c r="E40" i="13"/>
  <c r="F40" i="13" s="1"/>
  <c r="E62" i="19"/>
  <c r="F62" i="19" s="1"/>
  <c r="E63" i="19"/>
  <c r="F63" i="19" s="1"/>
  <c r="E61" i="33"/>
  <c r="F61" i="33" s="1"/>
  <c r="E60" i="33"/>
  <c r="F60" i="33" s="1"/>
  <c r="E59" i="33"/>
  <c r="F59" i="33" s="1"/>
  <c r="E64" i="33"/>
  <c r="F64" i="33" s="1"/>
  <c r="E63" i="33"/>
  <c r="F63" i="33" s="1"/>
  <c r="E62" i="33"/>
  <c r="F62" i="33" s="1"/>
  <c r="E58" i="33"/>
  <c r="F58" i="33" s="1"/>
  <c r="E57" i="33"/>
  <c r="F57" i="33" s="1"/>
  <c r="E56" i="33"/>
  <c r="F56" i="33" s="1"/>
  <c r="E48" i="33"/>
  <c r="F48" i="33" s="1"/>
  <c r="E49" i="33"/>
  <c r="F49" i="33" s="1"/>
  <c r="E54" i="33"/>
  <c r="F54" i="33" s="1"/>
  <c r="E55" i="33"/>
  <c r="F55" i="33" s="1"/>
  <c r="E50" i="33"/>
  <c r="F50" i="33" s="1"/>
  <c r="E51" i="33"/>
  <c r="F51" i="33" s="1"/>
  <c r="E53" i="33"/>
  <c r="F53" i="33" s="1"/>
  <c r="E47" i="33"/>
  <c r="F47" i="33" s="1"/>
  <c r="E52" i="33"/>
  <c r="F52" i="33" s="1"/>
  <c r="E46" i="33"/>
  <c r="F46" i="33" s="1"/>
  <c r="E43" i="33"/>
  <c r="F43" i="33" s="1"/>
  <c r="E44" i="33"/>
  <c r="F44" i="33" s="1"/>
  <c r="E45" i="33"/>
  <c r="F45" i="33" s="1"/>
  <c r="E12" i="41"/>
  <c r="F12" i="41" s="1"/>
  <c r="E42" i="48"/>
  <c r="F42" i="48" s="1"/>
  <c r="E64" i="48"/>
  <c r="F64" i="48" s="1"/>
  <c r="E63" i="48"/>
  <c r="F63" i="48" s="1"/>
  <c r="E58" i="48"/>
  <c r="F58" i="48" s="1"/>
  <c r="E62" i="48"/>
  <c r="F62" i="48" s="1"/>
  <c r="E61" i="48"/>
  <c r="F61" i="48" s="1"/>
  <c r="E60" i="48"/>
  <c r="F60" i="48" s="1"/>
  <c r="E59" i="48"/>
  <c r="F59" i="48" s="1"/>
  <c r="E57" i="48"/>
  <c r="F57" i="48" s="1"/>
  <c r="E50" i="48"/>
  <c r="F50" i="48" s="1"/>
  <c r="E56" i="48"/>
  <c r="F56" i="48" s="1"/>
  <c r="E51" i="48"/>
  <c r="F51" i="48" s="1"/>
  <c r="E52" i="48"/>
  <c r="F52" i="48" s="1"/>
  <c r="E47" i="48"/>
  <c r="F47" i="48" s="1"/>
  <c r="E48" i="48"/>
  <c r="F48" i="48" s="1"/>
  <c r="E53" i="48"/>
  <c r="F53" i="48" s="1"/>
  <c r="E49" i="48"/>
  <c r="F49" i="48" s="1"/>
  <c r="E55" i="48"/>
  <c r="F55" i="48" s="1"/>
  <c r="E54" i="48"/>
  <c r="F54" i="48" s="1"/>
  <c r="E46" i="48"/>
  <c r="F46" i="48" s="1"/>
  <c r="E43" i="48"/>
  <c r="F43" i="48" s="1"/>
  <c r="E44" i="48"/>
  <c r="F44" i="48" s="1"/>
  <c r="E45" i="48"/>
  <c r="F45" i="48" s="1"/>
  <c r="E79" i="53"/>
  <c r="F79" i="53" s="1"/>
  <c r="E75" i="53"/>
  <c r="F75" i="53" s="1"/>
  <c r="E74" i="53"/>
  <c r="F74" i="53" s="1"/>
  <c r="E78" i="53"/>
  <c r="F78" i="53" s="1"/>
  <c r="E77" i="53"/>
  <c r="F77" i="53" s="1"/>
  <c r="E80" i="53"/>
  <c r="F80" i="53" s="1"/>
  <c r="E76" i="53"/>
  <c r="F76" i="53" s="1"/>
  <c r="E72" i="53"/>
  <c r="F72" i="53" s="1"/>
  <c r="E73" i="53"/>
  <c r="F73" i="53" s="1"/>
  <c r="E67" i="53"/>
  <c r="F67" i="53" s="1"/>
  <c r="E68" i="53"/>
  <c r="F68" i="53" s="1"/>
  <c r="E63" i="53"/>
  <c r="F63" i="53" s="1"/>
  <c r="E64" i="53"/>
  <c r="F64" i="53" s="1"/>
  <c r="E69" i="53"/>
  <c r="F69" i="53" s="1"/>
  <c r="E70" i="53"/>
  <c r="F70" i="53" s="1"/>
  <c r="E66" i="53"/>
  <c r="F66" i="53" s="1"/>
  <c r="E71" i="53"/>
  <c r="F71" i="53" s="1"/>
  <c r="E65" i="53"/>
  <c r="F65" i="53" s="1"/>
  <c r="E62" i="53"/>
  <c r="F62" i="53" s="1"/>
  <c r="E59" i="53"/>
  <c r="F59" i="53" s="1"/>
  <c r="E61" i="53"/>
  <c r="F61" i="53" s="1"/>
  <c r="E60" i="53"/>
  <c r="F60" i="53" s="1"/>
  <c r="E60" i="55"/>
  <c r="F60" i="55" s="1"/>
  <c r="E62" i="60"/>
  <c r="F62" i="60" s="1"/>
  <c r="E61" i="60"/>
  <c r="F61" i="60" s="1"/>
  <c r="E60" i="60"/>
  <c r="F60" i="60" s="1"/>
  <c r="E57" i="60"/>
  <c r="F57" i="60" s="1"/>
  <c r="E63" i="60"/>
  <c r="F63" i="60" s="1"/>
  <c r="E59" i="60"/>
  <c r="F59" i="60" s="1"/>
  <c r="E58" i="60"/>
  <c r="F58" i="60" s="1"/>
  <c r="E56" i="60"/>
  <c r="F56" i="60" s="1"/>
  <c r="E49" i="60"/>
  <c r="F49" i="60" s="1"/>
  <c r="E55" i="60"/>
  <c r="F55" i="60" s="1"/>
  <c r="E50" i="60"/>
  <c r="F50" i="60" s="1"/>
  <c r="E51" i="60"/>
  <c r="F51" i="60" s="1"/>
  <c r="E46" i="60"/>
  <c r="F46" i="60" s="1"/>
  <c r="E52" i="60"/>
  <c r="F52" i="60" s="1"/>
  <c r="E47" i="60"/>
  <c r="F47" i="60" s="1"/>
  <c r="E53" i="60"/>
  <c r="F53" i="60" s="1"/>
  <c r="E48" i="60"/>
  <c r="F48" i="60" s="1"/>
  <c r="E54" i="60"/>
  <c r="F54" i="60" s="1"/>
  <c r="E45" i="60"/>
  <c r="F45" i="60" s="1"/>
  <c r="E42" i="60"/>
  <c r="F42" i="60" s="1"/>
  <c r="E43" i="60"/>
  <c r="F43" i="60" s="1"/>
  <c r="E44" i="60"/>
  <c r="F44" i="60" s="1"/>
  <c r="E62" i="75"/>
  <c r="F62" i="75" s="1"/>
  <c r="E57" i="75"/>
  <c r="F57" i="75" s="1"/>
  <c r="E61" i="75"/>
  <c r="F61" i="75" s="1"/>
  <c r="E60" i="75"/>
  <c r="F60" i="75" s="1"/>
  <c r="E63" i="75"/>
  <c r="F63" i="75" s="1"/>
  <c r="E59" i="75"/>
  <c r="F59" i="75" s="1"/>
  <c r="E58" i="75"/>
  <c r="F58" i="75" s="1"/>
  <c r="E53" i="75"/>
  <c r="F53" i="75" s="1"/>
  <c r="E54" i="75"/>
  <c r="F54" i="75" s="1"/>
  <c r="E55" i="75"/>
  <c r="F55" i="75" s="1"/>
  <c r="E56" i="75"/>
  <c r="F56" i="75" s="1"/>
  <c r="E52" i="75"/>
  <c r="F52" i="75" s="1"/>
  <c r="E51" i="75"/>
  <c r="F51" i="75" s="1"/>
  <c r="E50" i="75"/>
  <c r="F50" i="75" s="1"/>
  <c r="E48" i="75"/>
  <c r="F48" i="75" s="1"/>
  <c r="E49" i="75"/>
  <c r="F49" i="75" s="1"/>
  <c r="E47" i="75"/>
  <c r="F47" i="75" s="1"/>
  <c r="E46" i="75"/>
  <c r="F46" i="75" s="1"/>
  <c r="E45" i="75"/>
  <c r="F45" i="75" s="1"/>
  <c r="E43" i="75"/>
  <c r="F43" i="75" s="1"/>
  <c r="E42" i="75"/>
  <c r="F42" i="75" s="1"/>
  <c r="E44" i="75"/>
  <c r="F44" i="75" s="1"/>
  <c r="E70" i="83"/>
  <c r="F70" i="83" s="1"/>
  <c r="E74" i="83"/>
  <c r="F74" i="83" s="1"/>
  <c r="E73" i="83"/>
  <c r="F73" i="83" s="1"/>
  <c r="E69" i="83"/>
  <c r="F69" i="83" s="1"/>
  <c r="E72" i="83"/>
  <c r="F72" i="83" s="1"/>
  <c r="E71" i="83"/>
  <c r="F71" i="83" s="1"/>
  <c r="E75" i="83"/>
  <c r="F75" i="83" s="1"/>
  <c r="E64" i="83"/>
  <c r="F64" i="83" s="1"/>
  <c r="E65" i="83"/>
  <c r="F65" i="83" s="1"/>
  <c r="E68" i="83"/>
  <c r="F68" i="83" s="1"/>
  <c r="E66" i="83"/>
  <c r="F66" i="83" s="1"/>
  <c r="E67" i="83"/>
  <c r="F67" i="83" s="1"/>
  <c r="E63" i="83"/>
  <c r="F63" i="83" s="1"/>
  <c r="E62" i="83"/>
  <c r="F62" i="83" s="1"/>
  <c r="E60" i="83"/>
  <c r="F60" i="83" s="1"/>
  <c r="E61" i="83"/>
  <c r="F61" i="83" s="1"/>
  <c r="E59" i="83"/>
  <c r="F59" i="83" s="1"/>
  <c r="E58" i="83"/>
  <c r="F58" i="83" s="1"/>
  <c r="E57" i="83"/>
  <c r="F57" i="83" s="1"/>
  <c r="E54" i="83"/>
  <c r="F54" i="83" s="1"/>
  <c r="E55" i="83"/>
  <c r="F55" i="83" s="1"/>
  <c r="E56" i="83"/>
  <c r="F56" i="83" s="1"/>
  <c r="E33" i="93"/>
  <c r="F33" i="93" s="1"/>
  <c r="E56" i="93"/>
  <c r="F56" i="93" s="1"/>
  <c r="E58" i="93"/>
  <c r="F58" i="93" s="1"/>
  <c r="E57" i="93"/>
  <c r="F57" i="93" s="1"/>
  <c r="E36" i="93"/>
  <c r="F36" i="93" s="1"/>
  <c r="E41" i="93"/>
  <c r="F41" i="93" s="1"/>
  <c r="E52" i="93"/>
  <c r="F52" i="93" s="1"/>
  <c r="E35" i="93"/>
  <c r="F35" i="93" s="1"/>
  <c r="E42" i="93"/>
  <c r="F42" i="93" s="1"/>
  <c r="E47" i="93"/>
  <c r="F47" i="93" s="1"/>
  <c r="E44" i="93"/>
  <c r="F44" i="93" s="1"/>
  <c r="E37" i="93"/>
  <c r="F37" i="93" s="1"/>
  <c r="E48" i="93"/>
  <c r="F48" i="93" s="1"/>
  <c r="E53" i="93"/>
  <c r="F53" i="93" s="1"/>
  <c r="E49" i="93"/>
  <c r="F49" i="93" s="1"/>
  <c r="E38" i="93"/>
  <c r="F38" i="93" s="1"/>
  <c r="E43" i="93"/>
  <c r="F43" i="93" s="1"/>
  <c r="E54" i="93"/>
  <c r="F54" i="93" s="1"/>
  <c r="E40" i="93"/>
  <c r="F40" i="93" s="1"/>
  <c r="E46" i="93"/>
  <c r="F46" i="93" s="1"/>
  <c r="E34" i="93"/>
  <c r="F34" i="93" s="1"/>
  <c r="E39" i="93"/>
  <c r="F39" i="93" s="1"/>
  <c r="E50" i="93"/>
  <c r="F50" i="93" s="1"/>
  <c r="E55" i="93"/>
  <c r="F55" i="93" s="1"/>
  <c r="E45" i="93"/>
  <c r="F45" i="93" s="1"/>
  <c r="E51" i="93"/>
  <c r="F51" i="93" s="1"/>
  <c r="E14" i="97"/>
  <c r="F14" i="97" s="1"/>
  <c r="E58" i="98"/>
  <c r="F58" i="98" s="1"/>
  <c r="E57" i="98"/>
  <c r="F57" i="98" s="1"/>
  <c r="E56" i="98"/>
  <c r="F56" i="98" s="1"/>
  <c r="E59" i="98"/>
  <c r="F59" i="98" s="1"/>
  <c r="E55" i="98"/>
  <c r="F55" i="98" s="1"/>
  <c r="E44" i="98"/>
  <c r="F44" i="98" s="1"/>
  <c r="E50" i="98"/>
  <c r="F50" i="98" s="1"/>
  <c r="E45" i="98"/>
  <c r="F45" i="98" s="1"/>
  <c r="E51" i="98"/>
  <c r="F51" i="98" s="1"/>
  <c r="E43" i="98"/>
  <c r="F43" i="98" s="1"/>
  <c r="E52" i="98"/>
  <c r="F52" i="98" s="1"/>
  <c r="E46" i="98"/>
  <c r="F46" i="98" s="1"/>
  <c r="E53" i="98"/>
  <c r="F53" i="98" s="1"/>
  <c r="E48" i="98"/>
  <c r="F48" i="98" s="1"/>
  <c r="E47" i="98"/>
  <c r="F47" i="98" s="1"/>
  <c r="E54" i="98"/>
  <c r="F54" i="98" s="1"/>
  <c r="E49" i="98"/>
  <c r="F49" i="98" s="1"/>
  <c r="E42" i="98"/>
  <c r="F42" i="98" s="1"/>
  <c r="E41" i="98"/>
  <c r="F41" i="98" s="1"/>
  <c r="E39" i="98"/>
  <c r="F39" i="98" s="1"/>
  <c r="E40" i="98"/>
  <c r="F40" i="98" s="1"/>
  <c r="E38" i="98"/>
  <c r="F38" i="98" s="1"/>
  <c r="E28" i="108"/>
  <c r="F28" i="108" s="1"/>
  <c r="E41" i="75"/>
  <c r="F41" i="75" s="1"/>
  <c r="E42" i="43"/>
  <c r="F42" i="43" s="1"/>
  <c r="E26" i="65"/>
  <c r="F26" i="65" s="1"/>
  <c r="E20" i="66"/>
  <c r="E16" i="11"/>
  <c r="F16" i="11" s="1"/>
  <c r="E59" i="11"/>
  <c r="F59" i="11" s="1"/>
  <c r="E60" i="11"/>
  <c r="F60" i="11" s="1"/>
  <c r="E61" i="11"/>
  <c r="F61" i="11" s="1"/>
  <c r="E55" i="11"/>
  <c r="F55" i="11" s="1"/>
  <c r="E58" i="11"/>
  <c r="F58" i="11" s="1"/>
  <c r="E56" i="11"/>
  <c r="F56" i="11" s="1"/>
  <c r="E57" i="11"/>
  <c r="F57" i="11" s="1"/>
  <c r="E53" i="11"/>
  <c r="F53" i="11" s="1"/>
  <c r="E54" i="11"/>
  <c r="F54" i="11" s="1"/>
  <c r="E50" i="11"/>
  <c r="F50" i="11" s="1"/>
  <c r="E51" i="11"/>
  <c r="F51" i="11" s="1"/>
  <c r="E52" i="11"/>
  <c r="F52" i="11" s="1"/>
  <c r="E49" i="11"/>
  <c r="F49" i="11" s="1"/>
  <c r="E48" i="11"/>
  <c r="F48" i="11" s="1"/>
  <c r="E47" i="11"/>
  <c r="F47" i="11" s="1"/>
  <c r="E46" i="11"/>
  <c r="F46" i="11" s="1"/>
  <c r="E42" i="11"/>
  <c r="F42" i="11" s="1"/>
  <c r="E43" i="11"/>
  <c r="F43" i="11" s="1"/>
  <c r="E44" i="11"/>
  <c r="F44" i="11" s="1"/>
  <c r="E45" i="11"/>
  <c r="F45" i="11" s="1"/>
  <c r="E74" i="64"/>
  <c r="F74" i="64" s="1"/>
  <c r="E73" i="64"/>
  <c r="F73" i="64" s="1"/>
  <c r="E9" i="80"/>
  <c r="F9" i="80" s="1"/>
  <c r="E17" i="17"/>
  <c r="F17" i="17" s="1"/>
  <c r="E12" i="57"/>
  <c r="F12" i="57" s="1"/>
  <c r="E49" i="69"/>
  <c r="F49" i="69" s="1"/>
  <c r="E24" i="89"/>
  <c r="F24" i="89" s="1"/>
  <c r="E39" i="17"/>
  <c r="F39" i="17" s="1"/>
  <c r="E23" i="17"/>
  <c r="F23" i="17" s="1"/>
  <c r="E33" i="69"/>
  <c r="F33" i="69" s="1"/>
  <c r="E23" i="57"/>
  <c r="F23" i="57" s="1"/>
  <c r="E34" i="69"/>
  <c r="F34" i="69" s="1"/>
  <c r="E16" i="89"/>
  <c r="F16" i="89" s="1"/>
  <c r="E30" i="69"/>
  <c r="F30" i="69" s="1"/>
  <c r="E24" i="69"/>
  <c r="F24" i="69" s="1"/>
  <c r="E34" i="17"/>
  <c r="F34" i="17" s="1"/>
  <c r="E8" i="57"/>
  <c r="F8" i="57" s="1"/>
  <c r="E39" i="69"/>
  <c r="F39" i="69" s="1"/>
  <c r="E30" i="24"/>
  <c r="F30" i="24" s="1"/>
  <c r="E25" i="69"/>
  <c r="F25" i="69" s="1"/>
  <c r="E34" i="90"/>
  <c r="F34" i="90" s="1"/>
  <c r="E29" i="90"/>
  <c r="F29" i="90" s="1"/>
  <c r="E41" i="90"/>
  <c r="F41" i="90" s="1"/>
  <c r="E51" i="90"/>
  <c r="F51" i="90" s="1"/>
  <c r="E16" i="46"/>
  <c r="F16" i="46" s="1"/>
  <c r="E24" i="46"/>
  <c r="F24" i="46" s="1"/>
  <c r="E30" i="46"/>
  <c r="F30" i="46" s="1"/>
  <c r="E18" i="5"/>
  <c r="F18" i="5" s="1"/>
  <c r="E20" i="44"/>
  <c r="F20" i="44" s="1"/>
  <c r="E12" i="10"/>
  <c r="F12" i="10" s="1"/>
  <c r="E31" i="10"/>
  <c r="F31" i="10" s="1"/>
  <c r="E11" i="5"/>
  <c r="F11" i="5" s="1"/>
  <c r="E20" i="5"/>
  <c r="F20" i="5" s="1"/>
  <c r="E28" i="5"/>
  <c r="F28" i="5" s="1"/>
  <c r="E22" i="15"/>
  <c r="F22" i="15" s="1"/>
  <c r="E9" i="4"/>
  <c r="F9" i="4" s="1"/>
  <c r="E32" i="4"/>
  <c r="F32" i="4" s="1"/>
  <c r="E9" i="83"/>
  <c r="F9" i="83" s="1"/>
  <c r="E14" i="18"/>
  <c r="F14" i="18" s="1"/>
  <c r="E16" i="90"/>
  <c r="F16" i="90" s="1"/>
  <c r="E13" i="46"/>
  <c r="F13" i="46" s="1"/>
  <c r="E14" i="26"/>
  <c r="F14" i="26" s="1"/>
  <c r="E10" i="4"/>
  <c r="F10" i="4" s="1"/>
  <c r="E17" i="2"/>
  <c r="F17" i="2" s="1"/>
  <c r="E25" i="2"/>
  <c r="F25" i="2" s="1"/>
  <c r="E41" i="8"/>
  <c r="F41" i="8" s="1"/>
  <c r="E63" i="8"/>
  <c r="F63" i="8" s="1"/>
  <c r="E62" i="8"/>
  <c r="F62" i="8" s="1"/>
  <c r="E61" i="8"/>
  <c r="F61" i="8" s="1"/>
  <c r="E57" i="8"/>
  <c r="F57" i="8" s="1"/>
  <c r="E60" i="8"/>
  <c r="F60" i="8" s="1"/>
  <c r="E59" i="8"/>
  <c r="F59" i="8" s="1"/>
  <c r="E58" i="8"/>
  <c r="F58" i="8" s="1"/>
  <c r="E56" i="8"/>
  <c r="F56" i="8" s="1"/>
  <c r="E54" i="8"/>
  <c r="F54" i="8" s="1"/>
  <c r="E53" i="8"/>
  <c r="F53" i="8" s="1"/>
  <c r="E55" i="8"/>
  <c r="F55" i="8" s="1"/>
  <c r="E52" i="8"/>
  <c r="F52" i="8" s="1"/>
  <c r="E50" i="8"/>
  <c r="F50" i="8" s="1"/>
  <c r="E51" i="8"/>
  <c r="F51" i="8" s="1"/>
  <c r="E48" i="8"/>
  <c r="F48" i="8" s="1"/>
  <c r="E49" i="8"/>
  <c r="F49" i="8" s="1"/>
  <c r="E47" i="8"/>
  <c r="F47" i="8" s="1"/>
  <c r="E42" i="8"/>
  <c r="F42" i="8" s="1"/>
  <c r="E45" i="8"/>
  <c r="F45" i="8" s="1"/>
  <c r="E43" i="8"/>
  <c r="F43" i="8" s="1"/>
  <c r="E44" i="8"/>
  <c r="F44" i="8" s="1"/>
  <c r="E46" i="8"/>
  <c r="F46" i="8" s="1"/>
  <c r="E70" i="20"/>
  <c r="F70" i="20" s="1"/>
  <c r="E72" i="20"/>
  <c r="F72" i="20" s="1"/>
  <c r="E71" i="20"/>
  <c r="F71" i="20" s="1"/>
  <c r="E67" i="20"/>
  <c r="F67" i="20" s="1"/>
  <c r="E66" i="20"/>
  <c r="F66" i="20" s="1"/>
  <c r="E69" i="20"/>
  <c r="F69" i="20" s="1"/>
  <c r="E68" i="20"/>
  <c r="F68" i="20" s="1"/>
  <c r="E65" i="20"/>
  <c r="F65" i="20" s="1"/>
  <c r="E63" i="20"/>
  <c r="F63" i="20" s="1"/>
  <c r="E64" i="20"/>
  <c r="F64" i="20" s="1"/>
  <c r="E62" i="20"/>
  <c r="F62" i="20" s="1"/>
  <c r="E55" i="20"/>
  <c r="F55" i="20" s="1"/>
  <c r="E56" i="20"/>
  <c r="F56" i="20" s="1"/>
  <c r="E57" i="20"/>
  <c r="F57" i="20" s="1"/>
  <c r="E58" i="20"/>
  <c r="F58" i="20" s="1"/>
  <c r="E59" i="20"/>
  <c r="F59" i="20" s="1"/>
  <c r="E60" i="20"/>
  <c r="F60" i="20" s="1"/>
  <c r="E61" i="20"/>
  <c r="F61" i="20" s="1"/>
  <c r="E54" i="20"/>
  <c r="F54" i="20" s="1"/>
  <c r="E53" i="20"/>
  <c r="F53" i="20" s="1"/>
  <c r="E57" i="28"/>
  <c r="F57" i="28" s="1"/>
  <c r="E56" i="28"/>
  <c r="F56" i="28" s="1"/>
  <c r="E55" i="28"/>
  <c r="F55" i="28" s="1"/>
  <c r="E59" i="28"/>
  <c r="F59" i="28" s="1"/>
  <c r="E58" i="28"/>
  <c r="F58" i="28" s="1"/>
  <c r="E60" i="28"/>
  <c r="F60" i="28" s="1"/>
  <c r="E43" i="28"/>
  <c r="F43" i="28" s="1"/>
  <c r="E49" i="28"/>
  <c r="F49" i="28" s="1"/>
  <c r="E44" i="28"/>
  <c r="F44" i="28" s="1"/>
  <c r="E50" i="28"/>
  <c r="F50" i="28" s="1"/>
  <c r="E45" i="28"/>
  <c r="F45" i="28" s="1"/>
  <c r="E51" i="28"/>
  <c r="F51" i="28" s="1"/>
  <c r="E46" i="28"/>
  <c r="F46" i="28" s="1"/>
  <c r="E52" i="28"/>
  <c r="F52" i="28" s="1"/>
  <c r="E48" i="28"/>
  <c r="F48" i="28" s="1"/>
  <c r="E54" i="28"/>
  <c r="F54" i="28" s="1"/>
  <c r="E47" i="28"/>
  <c r="F47" i="28" s="1"/>
  <c r="E53" i="28"/>
  <c r="F53" i="28" s="1"/>
  <c r="E42" i="28"/>
  <c r="F42" i="28" s="1"/>
  <c r="E40" i="28"/>
  <c r="F40" i="28" s="1"/>
  <c r="E41" i="28"/>
  <c r="F41" i="28" s="1"/>
  <c r="E39" i="28"/>
  <c r="F39" i="28" s="1"/>
  <c r="E60" i="49"/>
  <c r="F60" i="49" s="1"/>
  <c r="E59" i="49"/>
  <c r="F59" i="49" s="1"/>
  <c r="E63" i="49"/>
  <c r="F63" i="49" s="1"/>
  <c r="E58" i="49"/>
  <c r="F58" i="49" s="1"/>
  <c r="E62" i="49"/>
  <c r="F62" i="49" s="1"/>
  <c r="E57" i="49"/>
  <c r="F57" i="49" s="1"/>
  <c r="E61" i="49"/>
  <c r="F61" i="49" s="1"/>
  <c r="E48" i="49"/>
  <c r="F48" i="49" s="1"/>
  <c r="E56" i="49"/>
  <c r="F56" i="49" s="1"/>
  <c r="E49" i="49"/>
  <c r="F49" i="49" s="1"/>
  <c r="E50" i="49"/>
  <c r="F50" i="49" s="1"/>
  <c r="E51" i="49"/>
  <c r="F51" i="49" s="1"/>
  <c r="E52" i="49"/>
  <c r="F52" i="49" s="1"/>
  <c r="E46" i="49"/>
  <c r="F46" i="49" s="1"/>
  <c r="E53" i="49"/>
  <c r="F53" i="49" s="1"/>
  <c r="E55" i="49"/>
  <c r="F55" i="49" s="1"/>
  <c r="E54" i="49"/>
  <c r="F54" i="49" s="1"/>
  <c r="E47" i="49"/>
  <c r="F47" i="49" s="1"/>
  <c r="E45" i="49"/>
  <c r="F45" i="49" s="1"/>
  <c r="E42" i="49"/>
  <c r="F42" i="49" s="1"/>
  <c r="E43" i="49"/>
  <c r="F43" i="49" s="1"/>
  <c r="E44" i="49"/>
  <c r="F44" i="49" s="1"/>
  <c r="E10" i="60"/>
  <c r="F10" i="60" s="1"/>
  <c r="E60" i="68"/>
  <c r="F60" i="68" s="1"/>
  <c r="E78" i="68"/>
  <c r="F78" i="68" s="1"/>
  <c r="E82" i="68"/>
  <c r="F82" i="68" s="1"/>
  <c r="E77" i="68"/>
  <c r="F77" i="68" s="1"/>
  <c r="E81" i="68"/>
  <c r="F81" i="68" s="1"/>
  <c r="E80" i="68"/>
  <c r="F80" i="68" s="1"/>
  <c r="E79" i="68"/>
  <c r="F79" i="68" s="1"/>
  <c r="E76" i="68"/>
  <c r="F76" i="68" s="1"/>
  <c r="E71" i="68"/>
  <c r="F71" i="68" s="1"/>
  <c r="E73" i="68"/>
  <c r="F73" i="68" s="1"/>
  <c r="E75" i="68"/>
  <c r="F75" i="68" s="1"/>
  <c r="E72" i="68"/>
  <c r="F72" i="68" s="1"/>
  <c r="E74" i="68"/>
  <c r="F74" i="68" s="1"/>
  <c r="E70" i="68"/>
  <c r="F70" i="68" s="1"/>
  <c r="E66" i="68"/>
  <c r="F66" i="68" s="1"/>
  <c r="E69" i="68"/>
  <c r="F69" i="68" s="1"/>
  <c r="E67" i="68"/>
  <c r="F67" i="68" s="1"/>
  <c r="E68" i="68"/>
  <c r="F68" i="68" s="1"/>
  <c r="E65" i="68"/>
  <c r="F65" i="68" s="1"/>
  <c r="E64" i="68"/>
  <c r="F64" i="68" s="1"/>
  <c r="E68" i="88"/>
  <c r="F68" i="88" s="1"/>
  <c r="E62" i="88"/>
  <c r="F62" i="88" s="1"/>
  <c r="E12" i="97"/>
  <c r="F12" i="97" s="1"/>
  <c r="E56" i="99"/>
  <c r="F56" i="99" s="1"/>
  <c r="E55" i="99"/>
  <c r="F55" i="99" s="1"/>
  <c r="E59" i="99"/>
  <c r="F59" i="99" s="1"/>
  <c r="E54" i="99"/>
  <c r="F54" i="99" s="1"/>
  <c r="E58" i="99"/>
  <c r="F58" i="99" s="1"/>
  <c r="E57" i="99"/>
  <c r="F57" i="99" s="1"/>
  <c r="E50" i="99"/>
  <c r="F50" i="99" s="1"/>
  <c r="E45" i="99"/>
  <c r="F45" i="99" s="1"/>
  <c r="E51" i="99"/>
  <c r="F51" i="99" s="1"/>
  <c r="E52" i="99"/>
  <c r="F52" i="99" s="1"/>
  <c r="E43" i="99"/>
  <c r="F43" i="99" s="1"/>
  <c r="E46" i="99"/>
  <c r="F46" i="99" s="1"/>
  <c r="E42" i="99"/>
  <c r="F42" i="99" s="1"/>
  <c r="E47" i="99"/>
  <c r="F47" i="99" s="1"/>
  <c r="E53" i="99"/>
  <c r="F53" i="99" s="1"/>
  <c r="E48" i="99"/>
  <c r="F48" i="99" s="1"/>
  <c r="E44" i="99"/>
  <c r="F44" i="99" s="1"/>
  <c r="E49" i="99"/>
  <c r="F49" i="99" s="1"/>
  <c r="E41" i="99"/>
  <c r="F41" i="99" s="1"/>
  <c r="E39" i="99"/>
  <c r="F39" i="99" s="1"/>
  <c r="E38" i="99"/>
  <c r="F38" i="99" s="1"/>
  <c r="E40" i="99"/>
  <c r="F40" i="99" s="1"/>
  <c r="E53" i="83"/>
  <c r="F53" i="83" s="1"/>
  <c r="E25" i="65"/>
  <c r="F25" i="65" s="1"/>
  <c r="E19" i="66"/>
  <c r="F19" i="66" s="1"/>
  <c r="E41" i="69"/>
  <c r="F41" i="69" s="1"/>
  <c r="E21" i="89"/>
  <c r="F21" i="89" s="1"/>
  <c r="E20" i="17"/>
  <c r="F20" i="17" s="1"/>
  <c r="E22" i="17"/>
  <c r="F22" i="17" s="1"/>
  <c r="E37" i="89"/>
  <c r="F37" i="89" s="1"/>
  <c r="E18" i="69"/>
  <c r="F18" i="69" s="1"/>
  <c r="E47" i="17"/>
  <c r="F47" i="17" s="1"/>
  <c r="E41" i="89"/>
  <c r="F41" i="89" s="1"/>
  <c r="E14" i="69"/>
  <c r="F14" i="69" s="1"/>
  <c r="E16" i="69"/>
  <c r="F16" i="69" s="1"/>
  <c r="E35" i="17"/>
  <c r="F35" i="17" s="1"/>
  <c r="E47" i="69"/>
  <c r="F47" i="69" s="1"/>
  <c r="E9" i="69"/>
  <c r="F9" i="69" s="1"/>
  <c r="E32" i="90"/>
  <c r="F32" i="90" s="1"/>
  <c r="E42" i="90"/>
  <c r="F42" i="90" s="1"/>
  <c r="E50" i="90"/>
  <c r="F50" i="90" s="1"/>
  <c r="E45" i="69"/>
  <c r="F45" i="69" s="1"/>
  <c r="E19" i="46"/>
  <c r="F19" i="46" s="1"/>
  <c r="E25" i="46"/>
  <c r="F25" i="46" s="1"/>
  <c r="E33" i="46"/>
  <c r="F33" i="46" s="1"/>
  <c r="E14" i="10"/>
  <c r="F14" i="10" s="1"/>
  <c r="E17" i="5"/>
  <c r="F17" i="5" s="1"/>
  <c r="E23" i="5"/>
  <c r="F23" i="5" s="1"/>
  <c r="E29" i="5"/>
  <c r="F29" i="5" s="1"/>
  <c r="E25" i="90"/>
  <c r="F25" i="90" s="1"/>
  <c r="E61" i="3"/>
  <c r="F61" i="3" s="1"/>
  <c r="E60" i="3"/>
  <c r="F60" i="3" s="1"/>
  <c r="E62" i="3"/>
  <c r="F62" i="3" s="1"/>
  <c r="E56" i="3"/>
  <c r="F56" i="3" s="1"/>
  <c r="E59" i="3"/>
  <c r="F59" i="3" s="1"/>
  <c r="E57" i="3"/>
  <c r="F57" i="3" s="1"/>
  <c r="E58" i="3"/>
  <c r="F58" i="3" s="1"/>
  <c r="E52" i="3"/>
  <c r="F52" i="3" s="1"/>
  <c r="E53" i="3"/>
  <c r="F53" i="3" s="1"/>
  <c r="E54" i="3"/>
  <c r="F54" i="3" s="1"/>
  <c r="E55" i="3"/>
  <c r="F55" i="3" s="1"/>
  <c r="E51" i="3"/>
  <c r="F51" i="3" s="1"/>
  <c r="E50" i="3"/>
  <c r="F50" i="3" s="1"/>
  <c r="E49" i="3"/>
  <c r="F49" i="3" s="1"/>
  <c r="E47" i="3"/>
  <c r="F47" i="3" s="1"/>
  <c r="E48" i="3"/>
  <c r="F48" i="3" s="1"/>
  <c r="E46" i="3"/>
  <c r="F46" i="3" s="1"/>
  <c r="E45" i="3"/>
  <c r="F45" i="3" s="1"/>
  <c r="E44" i="3"/>
  <c r="F44" i="3" s="1"/>
  <c r="E41" i="3"/>
  <c r="F41" i="3" s="1"/>
  <c r="E42" i="3"/>
  <c r="F42" i="3" s="1"/>
  <c r="E43" i="3"/>
  <c r="F43" i="3" s="1"/>
  <c r="E63" i="9"/>
  <c r="F63" i="9" s="1"/>
  <c r="E62" i="9"/>
  <c r="F62" i="9" s="1"/>
  <c r="E61" i="9"/>
  <c r="F61" i="9" s="1"/>
  <c r="E58" i="9"/>
  <c r="F58" i="9" s="1"/>
  <c r="E57" i="9"/>
  <c r="F57" i="9" s="1"/>
  <c r="E60" i="9"/>
  <c r="F60" i="9" s="1"/>
  <c r="E59" i="9"/>
  <c r="F59" i="9" s="1"/>
  <c r="E55" i="9"/>
  <c r="F55" i="9" s="1"/>
  <c r="E53" i="9"/>
  <c r="F53" i="9" s="1"/>
  <c r="E56" i="9"/>
  <c r="F56" i="9" s="1"/>
  <c r="E54" i="9"/>
  <c r="F54" i="9" s="1"/>
  <c r="E52" i="9"/>
  <c r="F52" i="9" s="1"/>
  <c r="E51" i="9"/>
  <c r="F51" i="9" s="1"/>
  <c r="E50" i="9"/>
  <c r="F50" i="9" s="1"/>
  <c r="E44" i="9"/>
  <c r="F44" i="9" s="1"/>
  <c r="E45" i="9"/>
  <c r="F45" i="9" s="1"/>
  <c r="E46" i="9"/>
  <c r="F46" i="9" s="1"/>
  <c r="E47" i="9"/>
  <c r="F47" i="9" s="1"/>
  <c r="E49" i="9"/>
  <c r="F49" i="9" s="1"/>
  <c r="E48" i="9"/>
  <c r="F48" i="9" s="1"/>
  <c r="E71" i="14"/>
  <c r="F71" i="14" s="1"/>
  <c r="E70" i="14"/>
  <c r="F70" i="14" s="1"/>
  <c r="E69" i="14"/>
  <c r="F69" i="14" s="1"/>
  <c r="E68" i="14"/>
  <c r="F68" i="14" s="1"/>
  <c r="E67" i="14"/>
  <c r="F67" i="14" s="1"/>
  <c r="E65" i="14"/>
  <c r="F65" i="14" s="1"/>
  <c r="E66" i="14"/>
  <c r="F66" i="14" s="1"/>
  <c r="E60" i="14"/>
  <c r="F60" i="14" s="1"/>
  <c r="E61" i="14"/>
  <c r="F61" i="14" s="1"/>
  <c r="E64" i="14"/>
  <c r="F64" i="14" s="1"/>
  <c r="E62" i="14"/>
  <c r="F62" i="14" s="1"/>
  <c r="E63" i="14"/>
  <c r="F63" i="14" s="1"/>
  <c r="E59" i="14"/>
  <c r="F59" i="14" s="1"/>
  <c r="E58" i="14"/>
  <c r="F58" i="14" s="1"/>
  <c r="E56" i="14"/>
  <c r="F56" i="14" s="1"/>
  <c r="E57" i="14"/>
  <c r="F57" i="14" s="1"/>
  <c r="E55" i="14"/>
  <c r="F55" i="14" s="1"/>
  <c r="E54" i="14"/>
  <c r="F54" i="14" s="1"/>
  <c r="E53" i="14"/>
  <c r="F53" i="14" s="1"/>
  <c r="E52" i="14"/>
  <c r="F52" i="14" s="1"/>
  <c r="E70" i="21"/>
  <c r="F70" i="21" s="1"/>
  <c r="E72" i="21"/>
  <c r="F72" i="21" s="1"/>
  <c r="E71" i="21"/>
  <c r="F71" i="21" s="1"/>
  <c r="E68" i="21"/>
  <c r="F68" i="21" s="1"/>
  <c r="E66" i="21"/>
  <c r="F66" i="21" s="1"/>
  <c r="E69" i="21"/>
  <c r="F69" i="21" s="1"/>
  <c r="E67" i="21"/>
  <c r="F67" i="21" s="1"/>
  <c r="E65" i="21"/>
  <c r="F65" i="21" s="1"/>
  <c r="E61" i="21"/>
  <c r="F61" i="21" s="1"/>
  <c r="E59" i="21"/>
  <c r="F59" i="21" s="1"/>
  <c r="E55" i="21"/>
  <c r="F55" i="21" s="1"/>
  <c r="E60" i="21"/>
  <c r="F60" i="21" s="1"/>
  <c r="E56" i="21"/>
  <c r="F56" i="21" s="1"/>
  <c r="E62" i="21"/>
  <c r="F62" i="21" s="1"/>
  <c r="E57" i="21"/>
  <c r="F57" i="21" s="1"/>
  <c r="E63" i="21"/>
  <c r="F63" i="21" s="1"/>
  <c r="E58" i="21"/>
  <c r="F58" i="21" s="1"/>
  <c r="E64" i="21"/>
  <c r="F64" i="21" s="1"/>
  <c r="E54" i="21"/>
  <c r="F54" i="21" s="1"/>
  <c r="E52" i="21"/>
  <c r="F52" i="21" s="1"/>
  <c r="E53" i="21"/>
  <c r="F53" i="21" s="1"/>
  <c r="E51" i="21"/>
  <c r="F51" i="21" s="1"/>
  <c r="E74" i="35"/>
  <c r="F74" i="35" s="1"/>
  <c r="E60" i="35"/>
  <c r="F60" i="35" s="1"/>
  <c r="E61" i="35"/>
  <c r="F61" i="35" s="1"/>
  <c r="E71" i="37"/>
  <c r="F71" i="37" s="1"/>
  <c r="E67" i="37"/>
  <c r="F67" i="37" s="1"/>
  <c r="E58" i="39"/>
  <c r="F58" i="39" s="1"/>
  <c r="E63" i="39"/>
  <c r="F63" i="39" s="1"/>
  <c r="E62" i="39"/>
  <c r="F62" i="39" s="1"/>
  <c r="E61" i="39"/>
  <c r="F61" i="39" s="1"/>
  <c r="E59" i="39"/>
  <c r="F59" i="39" s="1"/>
  <c r="E64" i="39"/>
  <c r="F64" i="39" s="1"/>
  <c r="E60" i="39"/>
  <c r="F60" i="39" s="1"/>
  <c r="E57" i="39"/>
  <c r="F57" i="39" s="1"/>
  <c r="E52" i="39"/>
  <c r="F52" i="39" s="1"/>
  <c r="E53" i="39"/>
  <c r="F53" i="39" s="1"/>
  <c r="E47" i="39"/>
  <c r="F47" i="39" s="1"/>
  <c r="E54" i="39"/>
  <c r="F54" i="39" s="1"/>
  <c r="E48" i="39"/>
  <c r="F48" i="39" s="1"/>
  <c r="E55" i="39"/>
  <c r="F55" i="39" s="1"/>
  <c r="E49" i="39"/>
  <c r="F49" i="39" s="1"/>
  <c r="E56" i="39"/>
  <c r="F56" i="39" s="1"/>
  <c r="E51" i="39"/>
  <c r="F51" i="39" s="1"/>
  <c r="E50" i="39"/>
  <c r="F50" i="39" s="1"/>
  <c r="E46" i="39"/>
  <c r="F46" i="39" s="1"/>
  <c r="E43" i="39"/>
  <c r="F43" i="39" s="1"/>
  <c r="E44" i="39"/>
  <c r="F44" i="39" s="1"/>
  <c r="E45" i="39"/>
  <c r="F45" i="39" s="1"/>
  <c r="E61" i="42"/>
  <c r="F61" i="42" s="1"/>
  <c r="E64" i="42"/>
  <c r="F64" i="42" s="1"/>
  <c r="E63" i="42"/>
  <c r="F63" i="42" s="1"/>
  <c r="E62" i="42"/>
  <c r="F62" i="42" s="1"/>
  <c r="E52" i="42"/>
  <c r="F52" i="42" s="1"/>
  <c r="E59" i="42"/>
  <c r="F59" i="42" s="1"/>
  <c r="E60" i="42"/>
  <c r="F60" i="42" s="1"/>
  <c r="E53" i="42"/>
  <c r="F53" i="42" s="1"/>
  <c r="E47" i="42"/>
  <c r="F47" i="42" s="1"/>
  <c r="E54" i="42"/>
  <c r="F54" i="42" s="1"/>
  <c r="E48" i="42"/>
  <c r="F48" i="42" s="1"/>
  <c r="E55" i="42"/>
  <c r="F55" i="42" s="1"/>
  <c r="E49" i="42"/>
  <c r="F49" i="42" s="1"/>
  <c r="E56" i="42"/>
  <c r="F56" i="42" s="1"/>
  <c r="E51" i="42"/>
  <c r="F51" i="42" s="1"/>
  <c r="E58" i="42"/>
  <c r="F58" i="42" s="1"/>
  <c r="E50" i="42"/>
  <c r="F50" i="42" s="1"/>
  <c r="E57" i="42"/>
  <c r="F57" i="42" s="1"/>
  <c r="E46" i="42"/>
  <c r="F46" i="42" s="1"/>
  <c r="E45" i="42"/>
  <c r="F45" i="42" s="1"/>
  <c r="E40" i="50"/>
  <c r="F40" i="50" s="1"/>
  <c r="E62" i="50"/>
  <c r="F62" i="50" s="1"/>
  <c r="E57" i="50"/>
  <c r="F57" i="50" s="1"/>
  <c r="E59" i="50"/>
  <c r="F59" i="50" s="1"/>
  <c r="E61" i="50"/>
  <c r="F61" i="50" s="1"/>
  <c r="E60" i="50"/>
  <c r="F60" i="50" s="1"/>
  <c r="E58" i="50"/>
  <c r="F58" i="50" s="1"/>
  <c r="E47" i="50"/>
  <c r="F47" i="50" s="1"/>
  <c r="E53" i="50"/>
  <c r="F53" i="50" s="1"/>
  <c r="E48" i="50"/>
  <c r="F48" i="50" s="1"/>
  <c r="E54" i="50"/>
  <c r="F54" i="50" s="1"/>
  <c r="E55" i="50"/>
  <c r="F55" i="50" s="1"/>
  <c r="E49" i="50"/>
  <c r="F49" i="50" s="1"/>
  <c r="E56" i="50"/>
  <c r="F56" i="50" s="1"/>
  <c r="E45" i="50"/>
  <c r="F45" i="50" s="1"/>
  <c r="E50" i="50"/>
  <c r="F50" i="50" s="1"/>
  <c r="E46" i="50"/>
  <c r="F46" i="50" s="1"/>
  <c r="E52" i="50"/>
  <c r="F52" i="50" s="1"/>
  <c r="E51" i="50"/>
  <c r="F51" i="50" s="1"/>
  <c r="E44" i="50"/>
  <c r="F44" i="50" s="1"/>
  <c r="E43" i="50"/>
  <c r="F43" i="50" s="1"/>
  <c r="E41" i="61"/>
  <c r="F41" i="61" s="1"/>
  <c r="E63" i="61"/>
  <c r="F63" i="61" s="1"/>
  <c r="E62" i="61"/>
  <c r="F62" i="61" s="1"/>
  <c r="E61" i="61"/>
  <c r="F61" i="61" s="1"/>
  <c r="E60" i="61"/>
  <c r="F60" i="61" s="1"/>
  <c r="E57" i="61"/>
  <c r="F57" i="61" s="1"/>
  <c r="E50" i="61"/>
  <c r="F50" i="61" s="1"/>
  <c r="E58" i="61"/>
  <c r="F58" i="61" s="1"/>
  <c r="E51" i="61"/>
  <c r="F51" i="61" s="1"/>
  <c r="E59" i="61"/>
  <c r="F59" i="61" s="1"/>
  <c r="E52" i="61"/>
  <c r="F52" i="61" s="1"/>
  <c r="E46" i="61"/>
  <c r="F46" i="61" s="1"/>
  <c r="E53" i="61"/>
  <c r="F53" i="61" s="1"/>
  <c r="E47" i="61"/>
  <c r="F47" i="61" s="1"/>
  <c r="E54" i="61"/>
  <c r="F54" i="61" s="1"/>
  <c r="E49" i="61"/>
  <c r="F49" i="61" s="1"/>
  <c r="E56" i="61"/>
  <c r="F56" i="61" s="1"/>
  <c r="E48" i="61"/>
  <c r="F48" i="61" s="1"/>
  <c r="E55" i="61"/>
  <c r="F55" i="61" s="1"/>
  <c r="E45" i="61"/>
  <c r="F45" i="61" s="1"/>
  <c r="E43" i="61"/>
  <c r="F43" i="61" s="1"/>
  <c r="E44" i="61"/>
  <c r="F44" i="61" s="1"/>
  <c r="E42" i="61"/>
  <c r="F42" i="61" s="1"/>
  <c r="E76" i="69"/>
  <c r="F76" i="69" s="1"/>
  <c r="E78" i="69"/>
  <c r="F78" i="69" s="1"/>
  <c r="E77" i="69"/>
  <c r="F77" i="69" s="1"/>
  <c r="E75" i="69"/>
  <c r="F75" i="69" s="1"/>
  <c r="E74" i="69"/>
  <c r="F74" i="69" s="1"/>
  <c r="E73" i="69"/>
  <c r="F73" i="69" s="1"/>
  <c r="E72" i="69"/>
  <c r="F72" i="69" s="1"/>
  <c r="E71" i="69"/>
  <c r="F71" i="69" s="1"/>
  <c r="E65" i="69"/>
  <c r="F65" i="69" s="1"/>
  <c r="E66" i="69"/>
  <c r="F66" i="69" s="1"/>
  <c r="E67" i="69"/>
  <c r="F67" i="69" s="1"/>
  <c r="E68" i="69"/>
  <c r="F68" i="69" s="1"/>
  <c r="E70" i="69"/>
  <c r="F70" i="69" s="1"/>
  <c r="E69" i="69"/>
  <c r="F69" i="69" s="1"/>
  <c r="E64" i="69"/>
  <c r="F64" i="69" s="1"/>
  <c r="E64" i="77"/>
  <c r="F64" i="77" s="1"/>
  <c r="E61" i="77"/>
  <c r="F61" i="77" s="1"/>
  <c r="E19" i="95"/>
  <c r="F19" i="95" s="1"/>
  <c r="E11" i="97"/>
  <c r="F11" i="97" s="1"/>
  <c r="E19" i="99"/>
  <c r="F19" i="99" s="1"/>
  <c r="E52" i="100"/>
  <c r="F52" i="100" s="1"/>
  <c r="E54" i="100"/>
  <c r="F54" i="100" s="1"/>
  <c r="E53" i="100"/>
  <c r="F53" i="100" s="1"/>
  <c r="E50" i="100"/>
  <c r="F50" i="100" s="1"/>
  <c r="E49" i="100"/>
  <c r="F49" i="100" s="1"/>
  <c r="E48" i="100"/>
  <c r="F48" i="100" s="1"/>
  <c r="E51" i="100"/>
  <c r="F51" i="100" s="1"/>
  <c r="E45" i="100"/>
  <c r="F45" i="100" s="1"/>
  <c r="E43" i="100"/>
  <c r="F43" i="100" s="1"/>
  <c r="E47" i="100"/>
  <c r="F47" i="100" s="1"/>
  <c r="E44" i="100"/>
  <c r="F44" i="100" s="1"/>
  <c r="E46" i="100"/>
  <c r="F46" i="100" s="1"/>
  <c r="E42" i="100"/>
  <c r="F42" i="100" s="1"/>
  <c r="E41" i="100"/>
  <c r="F41" i="100" s="1"/>
  <c r="E39" i="100"/>
  <c r="F39" i="100" s="1"/>
  <c r="E40" i="100"/>
  <c r="F40" i="100" s="1"/>
  <c r="E38" i="100"/>
  <c r="F38" i="100" s="1"/>
  <c r="E37" i="100"/>
  <c r="F37" i="100" s="1"/>
  <c r="E36" i="100"/>
  <c r="F36" i="100" s="1"/>
  <c r="E33" i="100"/>
  <c r="F33" i="100" s="1"/>
  <c r="E34" i="100"/>
  <c r="F34" i="100" s="1"/>
  <c r="E35" i="100"/>
  <c r="F35" i="100" s="1"/>
  <c r="E37" i="104"/>
  <c r="F37" i="104" s="1"/>
  <c r="E56" i="104"/>
  <c r="F56" i="104" s="1"/>
  <c r="E59" i="104"/>
  <c r="F59" i="104" s="1"/>
  <c r="E55" i="104"/>
  <c r="F55" i="104" s="1"/>
  <c r="E54" i="104"/>
  <c r="F54" i="104" s="1"/>
  <c r="E58" i="104"/>
  <c r="F58" i="104" s="1"/>
  <c r="E57" i="104"/>
  <c r="F57" i="104" s="1"/>
  <c r="E42" i="104"/>
  <c r="F42" i="104" s="1"/>
  <c r="E49" i="104"/>
  <c r="F49" i="104" s="1"/>
  <c r="E43" i="104"/>
  <c r="F43" i="104" s="1"/>
  <c r="E50" i="104"/>
  <c r="F50" i="104" s="1"/>
  <c r="E44" i="104"/>
  <c r="F44" i="104" s="1"/>
  <c r="E51" i="104"/>
  <c r="F51" i="104" s="1"/>
  <c r="E45" i="104"/>
  <c r="F45" i="104" s="1"/>
  <c r="E52" i="104"/>
  <c r="F52" i="104" s="1"/>
  <c r="E46" i="104"/>
  <c r="F46" i="104" s="1"/>
  <c r="E53" i="104"/>
  <c r="F53" i="104" s="1"/>
  <c r="E48" i="104"/>
  <c r="F48" i="104" s="1"/>
  <c r="E47" i="104"/>
  <c r="F47" i="104" s="1"/>
  <c r="E41" i="104"/>
  <c r="F41" i="104" s="1"/>
  <c r="E38" i="104"/>
  <c r="F38" i="104" s="1"/>
  <c r="E39" i="104"/>
  <c r="F39" i="104" s="1"/>
  <c r="E40" i="104"/>
  <c r="F40" i="104" s="1"/>
  <c r="E53" i="109"/>
  <c r="F53" i="109" s="1"/>
  <c r="E55" i="109"/>
  <c r="F55" i="109" s="1"/>
  <c r="E54" i="109"/>
  <c r="F54" i="109" s="1"/>
  <c r="E49" i="109"/>
  <c r="F49" i="109" s="1"/>
  <c r="E52" i="109"/>
  <c r="F52" i="109" s="1"/>
  <c r="E51" i="109"/>
  <c r="F51" i="109" s="1"/>
  <c r="E50" i="109"/>
  <c r="F50" i="109" s="1"/>
  <c r="E44" i="109"/>
  <c r="F44" i="109" s="1"/>
  <c r="E47" i="109"/>
  <c r="F47" i="109" s="1"/>
  <c r="E48" i="109"/>
  <c r="F48" i="109" s="1"/>
  <c r="E45" i="109"/>
  <c r="F45" i="109" s="1"/>
  <c r="E46" i="109"/>
  <c r="F46" i="109" s="1"/>
  <c r="E43" i="109"/>
  <c r="F43" i="109" s="1"/>
  <c r="E42" i="109"/>
  <c r="F42" i="109" s="1"/>
  <c r="E41" i="109"/>
  <c r="F41" i="109" s="1"/>
  <c r="E40" i="109"/>
  <c r="F40" i="109" s="1"/>
  <c r="E39" i="109"/>
  <c r="F39" i="109" s="1"/>
  <c r="E38" i="109"/>
  <c r="F38" i="109" s="1"/>
  <c r="E37" i="109"/>
  <c r="F37" i="109" s="1"/>
  <c r="E35" i="109"/>
  <c r="F35" i="109" s="1"/>
  <c r="E36" i="109"/>
  <c r="F36" i="109" s="1"/>
  <c r="E34" i="109"/>
  <c r="F34" i="109" s="1"/>
  <c r="E25" i="112"/>
  <c r="F25" i="112" s="1"/>
  <c r="E37" i="99"/>
  <c r="F37" i="99" s="1"/>
  <c r="E33" i="109"/>
  <c r="F33" i="109" s="1"/>
  <c r="E24" i="65"/>
  <c r="F24" i="65" s="1"/>
  <c r="E26" i="66"/>
  <c r="F26" i="66" s="1"/>
  <c r="E51" i="17"/>
  <c r="F51" i="17" s="1"/>
  <c r="E19" i="17"/>
  <c r="F19" i="17" s="1"/>
  <c r="E28" i="69"/>
  <c r="F28" i="69" s="1"/>
  <c r="E8" i="69"/>
  <c r="F8" i="69" s="1"/>
  <c r="E38" i="90"/>
  <c r="F38" i="90" s="1"/>
  <c r="E44" i="90"/>
  <c r="F44" i="90" s="1"/>
  <c r="E52" i="90"/>
  <c r="F52" i="90" s="1"/>
  <c r="E22" i="46"/>
  <c r="F22" i="46" s="1"/>
  <c r="E23" i="46"/>
  <c r="F23" i="46" s="1"/>
  <c r="E34" i="46"/>
  <c r="F34" i="46" s="1"/>
  <c r="E16" i="5"/>
  <c r="F16" i="5" s="1"/>
  <c r="E21" i="5"/>
  <c r="F21" i="5" s="1"/>
  <c r="E31" i="5"/>
  <c r="F31" i="5" s="1"/>
  <c r="E13" i="90"/>
  <c r="F13" i="90" s="1"/>
  <c r="E58" i="4"/>
  <c r="F58" i="4" s="1"/>
  <c r="E60" i="4"/>
  <c r="F60" i="4" s="1"/>
  <c r="E59" i="4"/>
  <c r="F59" i="4" s="1"/>
  <c r="E55" i="4"/>
  <c r="F55" i="4" s="1"/>
  <c r="E54" i="4"/>
  <c r="F54" i="4" s="1"/>
  <c r="E57" i="4"/>
  <c r="F57" i="4" s="1"/>
  <c r="E56" i="4"/>
  <c r="F56" i="4" s="1"/>
  <c r="E53" i="4"/>
  <c r="F53" i="4" s="1"/>
  <c r="E52" i="4"/>
  <c r="F52" i="4" s="1"/>
  <c r="E49" i="4"/>
  <c r="F49" i="4" s="1"/>
  <c r="E51" i="4"/>
  <c r="F51" i="4" s="1"/>
  <c r="E50" i="4"/>
  <c r="F50" i="4" s="1"/>
  <c r="E48" i="4"/>
  <c r="F48" i="4" s="1"/>
  <c r="E47" i="4"/>
  <c r="F47" i="4" s="1"/>
  <c r="E46" i="4"/>
  <c r="F46" i="4" s="1"/>
  <c r="E45" i="4"/>
  <c r="F45" i="4" s="1"/>
  <c r="E44" i="4"/>
  <c r="F44" i="4" s="1"/>
  <c r="E43" i="4"/>
  <c r="F43" i="4" s="1"/>
  <c r="E42" i="4"/>
  <c r="F42" i="4" s="1"/>
  <c r="E39" i="4"/>
  <c r="F39" i="4" s="1"/>
  <c r="E40" i="4"/>
  <c r="F40" i="4" s="1"/>
  <c r="E41" i="4"/>
  <c r="F41" i="4" s="1"/>
  <c r="E63" i="10"/>
  <c r="F63" i="10" s="1"/>
  <c r="E62" i="10"/>
  <c r="F62" i="10" s="1"/>
  <c r="E61" i="10"/>
  <c r="F61" i="10" s="1"/>
  <c r="E60" i="10"/>
  <c r="F60" i="10" s="1"/>
  <c r="E59" i="10"/>
  <c r="F59" i="10" s="1"/>
  <c r="E57" i="10"/>
  <c r="F57" i="10" s="1"/>
  <c r="E58" i="10"/>
  <c r="F58" i="10" s="1"/>
  <c r="E56" i="10"/>
  <c r="F56" i="10" s="1"/>
  <c r="E55" i="10"/>
  <c r="F55" i="10" s="1"/>
  <c r="E54" i="10"/>
  <c r="F54" i="10" s="1"/>
  <c r="E53" i="10"/>
  <c r="F53" i="10" s="1"/>
  <c r="E48" i="10"/>
  <c r="F48" i="10" s="1"/>
  <c r="E49" i="10"/>
  <c r="F49" i="10" s="1"/>
  <c r="E50" i="10"/>
  <c r="F50" i="10" s="1"/>
  <c r="E51" i="10"/>
  <c r="F51" i="10" s="1"/>
  <c r="E52" i="10"/>
  <c r="F52" i="10" s="1"/>
  <c r="E47" i="10"/>
  <c r="F47" i="10" s="1"/>
  <c r="E46" i="10"/>
  <c r="F46" i="10" s="1"/>
  <c r="E45" i="10"/>
  <c r="F45" i="10" s="1"/>
  <c r="E44" i="10"/>
  <c r="F44" i="10" s="1"/>
  <c r="E61" i="15"/>
  <c r="F61" i="15" s="1"/>
  <c r="E59" i="15"/>
  <c r="F59" i="15" s="1"/>
  <c r="E50" i="15"/>
  <c r="F50" i="15" s="1"/>
  <c r="E57" i="15"/>
  <c r="F57" i="15" s="1"/>
  <c r="E48" i="15"/>
  <c r="F48" i="15" s="1"/>
  <c r="E53" i="15"/>
  <c r="F53" i="15" s="1"/>
  <c r="E49" i="15"/>
  <c r="F49" i="15" s="1"/>
  <c r="E56" i="15"/>
  <c r="F56" i="15" s="1"/>
  <c r="E45" i="15"/>
  <c r="F45" i="15" s="1"/>
  <c r="E72" i="22"/>
  <c r="F72" i="22" s="1"/>
  <c r="E71" i="22"/>
  <c r="F71" i="22" s="1"/>
  <c r="E70" i="22"/>
  <c r="F70" i="22" s="1"/>
  <c r="E67" i="22"/>
  <c r="F67" i="22" s="1"/>
  <c r="E66" i="22"/>
  <c r="F66" i="22" s="1"/>
  <c r="E69" i="22"/>
  <c r="F69" i="22" s="1"/>
  <c r="E68" i="22"/>
  <c r="F68" i="22" s="1"/>
  <c r="E65" i="22"/>
  <c r="F65" i="22" s="1"/>
  <c r="E64" i="22"/>
  <c r="F64" i="22" s="1"/>
  <c r="E56" i="22"/>
  <c r="F56" i="22" s="1"/>
  <c r="E62" i="22"/>
  <c r="F62" i="22" s="1"/>
  <c r="E63" i="22"/>
  <c r="F63" i="22" s="1"/>
  <c r="E57" i="22"/>
  <c r="F57" i="22" s="1"/>
  <c r="E58" i="22"/>
  <c r="F58" i="22" s="1"/>
  <c r="E59" i="22"/>
  <c r="F59" i="22" s="1"/>
  <c r="E60" i="22"/>
  <c r="F60" i="22" s="1"/>
  <c r="E55" i="22"/>
  <c r="F55" i="22" s="1"/>
  <c r="E61" i="22"/>
  <c r="F61" i="22" s="1"/>
  <c r="E54" i="22"/>
  <c r="F54" i="22" s="1"/>
  <c r="E51" i="22"/>
  <c r="F51" i="22" s="1"/>
  <c r="E52" i="22"/>
  <c r="F52" i="22" s="1"/>
  <c r="E53" i="22"/>
  <c r="F53" i="22" s="1"/>
  <c r="E66" i="29"/>
  <c r="F66" i="29" s="1"/>
  <c r="E69" i="29"/>
  <c r="F69" i="29" s="1"/>
  <c r="E65" i="29"/>
  <c r="F65" i="29" s="1"/>
  <c r="E64" i="29"/>
  <c r="F64" i="29" s="1"/>
  <c r="E68" i="29"/>
  <c r="F68" i="29" s="1"/>
  <c r="E63" i="29"/>
  <c r="F63" i="29" s="1"/>
  <c r="E67" i="29"/>
  <c r="F67" i="29" s="1"/>
  <c r="E62" i="29"/>
  <c r="F62" i="29" s="1"/>
  <c r="E61" i="29"/>
  <c r="F61" i="29" s="1"/>
  <c r="E60" i="29"/>
  <c r="F60" i="29" s="1"/>
  <c r="E52" i="29"/>
  <c r="F52" i="29" s="1"/>
  <c r="E59" i="29"/>
  <c r="F59" i="29" s="1"/>
  <c r="E53" i="29"/>
  <c r="F53" i="29" s="1"/>
  <c r="E54" i="29"/>
  <c r="F54" i="29" s="1"/>
  <c r="E55" i="29"/>
  <c r="F55" i="29" s="1"/>
  <c r="E48" i="29"/>
  <c r="F48" i="29" s="1"/>
  <c r="E49" i="29"/>
  <c r="F49" i="29" s="1"/>
  <c r="E56" i="29"/>
  <c r="F56" i="29" s="1"/>
  <c r="E51" i="29"/>
  <c r="F51" i="29" s="1"/>
  <c r="E58" i="29"/>
  <c r="F58" i="29" s="1"/>
  <c r="E57" i="29"/>
  <c r="F57" i="29" s="1"/>
  <c r="E50" i="29"/>
  <c r="F50" i="29" s="1"/>
  <c r="E47" i="29"/>
  <c r="F47" i="29" s="1"/>
  <c r="E45" i="29"/>
  <c r="F45" i="29" s="1"/>
  <c r="E46" i="29"/>
  <c r="F46" i="29" s="1"/>
  <c r="E44" i="29"/>
  <c r="F44" i="29" s="1"/>
  <c r="E29" i="44"/>
  <c r="F29" i="44" s="1"/>
  <c r="E59" i="44"/>
  <c r="F59" i="44" s="1"/>
  <c r="E64" i="44"/>
  <c r="F64" i="44" s="1"/>
  <c r="E63" i="44"/>
  <c r="F63" i="44" s="1"/>
  <c r="E58" i="44"/>
  <c r="F58" i="44" s="1"/>
  <c r="E62" i="44"/>
  <c r="F62" i="44" s="1"/>
  <c r="E60" i="44"/>
  <c r="F60" i="44" s="1"/>
  <c r="E61" i="44"/>
  <c r="F61" i="44" s="1"/>
  <c r="E51" i="44"/>
  <c r="F51" i="44" s="1"/>
  <c r="E57" i="44"/>
  <c r="F57" i="44" s="1"/>
  <c r="E52" i="44"/>
  <c r="F52" i="44" s="1"/>
  <c r="E47" i="44"/>
  <c r="F47" i="44" s="1"/>
  <c r="E53" i="44"/>
  <c r="F53" i="44" s="1"/>
  <c r="E48" i="44"/>
  <c r="F48" i="44" s="1"/>
  <c r="E54" i="44"/>
  <c r="F54" i="44" s="1"/>
  <c r="E49" i="44"/>
  <c r="F49" i="44" s="1"/>
  <c r="E56" i="44"/>
  <c r="F56" i="44" s="1"/>
  <c r="E50" i="44"/>
  <c r="F50" i="44" s="1"/>
  <c r="E55" i="44"/>
  <c r="F55" i="44" s="1"/>
  <c r="E46" i="44"/>
  <c r="F46" i="44" s="1"/>
  <c r="E45" i="44"/>
  <c r="F45" i="44" s="1"/>
  <c r="E43" i="44"/>
  <c r="F43" i="44" s="1"/>
  <c r="E44" i="44"/>
  <c r="F44" i="44" s="1"/>
  <c r="E8" i="53"/>
  <c r="F8" i="53" s="1"/>
  <c r="E32" i="62"/>
  <c r="F32" i="62" s="1"/>
  <c r="E63" i="62"/>
  <c r="F63" i="62" s="1"/>
  <c r="E58" i="62"/>
  <c r="F58" i="62" s="1"/>
  <c r="E62" i="62"/>
  <c r="F62" i="62" s="1"/>
  <c r="E61" i="62"/>
  <c r="F61" i="62" s="1"/>
  <c r="E59" i="62"/>
  <c r="F59" i="62" s="1"/>
  <c r="E60" i="62"/>
  <c r="F60" i="62" s="1"/>
  <c r="E49" i="62"/>
  <c r="F49" i="62" s="1"/>
  <c r="E56" i="62"/>
  <c r="F56" i="62" s="1"/>
  <c r="E57" i="62"/>
  <c r="F57" i="62" s="1"/>
  <c r="E51" i="62"/>
  <c r="F51" i="62" s="1"/>
  <c r="E52" i="62"/>
  <c r="F52" i="62" s="1"/>
  <c r="E53" i="62"/>
  <c r="F53" i="62" s="1"/>
  <c r="E50" i="62"/>
  <c r="F50" i="62" s="1"/>
  <c r="E54" i="62"/>
  <c r="F54" i="62" s="1"/>
  <c r="E48" i="62"/>
  <c r="F48" i="62" s="1"/>
  <c r="E55" i="62"/>
  <c r="F55" i="62" s="1"/>
  <c r="E47" i="62"/>
  <c r="F47" i="62" s="1"/>
  <c r="E46" i="62"/>
  <c r="F46" i="62" s="1"/>
  <c r="E45" i="62"/>
  <c r="F45" i="62" s="1"/>
  <c r="E42" i="62"/>
  <c r="F42" i="62" s="1"/>
  <c r="E43" i="62"/>
  <c r="F43" i="62" s="1"/>
  <c r="E44" i="62"/>
  <c r="F44" i="62" s="1"/>
  <c r="E78" i="70"/>
  <c r="F78" i="70" s="1"/>
  <c r="E70" i="70"/>
  <c r="F70" i="70" s="1"/>
  <c r="E66" i="70"/>
  <c r="F66" i="70" s="1"/>
  <c r="E61" i="78"/>
  <c r="F61" i="78" s="1"/>
  <c r="E56" i="78"/>
  <c r="F56" i="78" s="1"/>
  <c r="E13" i="94"/>
  <c r="F13" i="94" s="1"/>
  <c r="E54" i="94"/>
  <c r="F54" i="94" s="1"/>
  <c r="E53" i="94"/>
  <c r="F53" i="94" s="1"/>
  <c r="E56" i="94"/>
  <c r="F56" i="94" s="1"/>
  <c r="E55" i="94"/>
  <c r="F55" i="94" s="1"/>
  <c r="E52" i="94"/>
  <c r="F52" i="94" s="1"/>
  <c r="E39" i="94"/>
  <c r="F39" i="94" s="1"/>
  <c r="E46" i="94"/>
  <c r="F46" i="94" s="1"/>
  <c r="E43" i="94"/>
  <c r="F43" i="94" s="1"/>
  <c r="E47" i="94"/>
  <c r="F47" i="94" s="1"/>
  <c r="E40" i="94"/>
  <c r="F40" i="94" s="1"/>
  <c r="E48" i="94"/>
  <c r="F48" i="94" s="1"/>
  <c r="E50" i="94"/>
  <c r="F50" i="94" s="1"/>
  <c r="E41" i="94"/>
  <c r="F41" i="94" s="1"/>
  <c r="E44" i="94"/>
  <c r="F44" i="94" s="1"/>
  <c r="E42" i="94"/>
  <c r="F42" i="94" s="1"/>
  <c r="E49" i="94"/>
  <c r="F49" i="94" s="1"/>
  <c r="E45" i="94"/>
  <c r="F45" i="94" s="1"/>
  <c r="E51" i="94"/>
  <c r="F51" i="94" s="1"/>
  <c r="E38" i="94"/>
  <c r="F38" i="94" s="1"/>
  <c r="E37" i="94"/>
  <c r="F37" i="94" s="1"/>
  <c r="E53" i="101"/>
  <c r="F53" i="101" s="1"/>
  <c r="E35" i="101"/>
  <c r="F35" i="101" s="1"/>
  <c r="E46" i="101"/>
  <c r="F46" i="101" s="1"/>
  <c r="E51" i="101"/>
  <c r="F51" i="101" s="1"/>
  <c r="E43" i="101"/>
  <c r="F43" i="101" s="1"/>
  <c r="E40" i="101"/>
  <c r="F40" i="101" s="1"/>
  <c r="E36" i="101"/>
  <c r="F36" i="101" s="1"/>
  <c r="E41" i="101"/>
  <c r="F41" i="101" s="1"/>
  <c r="E52" i="101"/>
  <c r="F52" i="101" s="1"/>
  <c r="E42" i="101"/>
  <c r="F42" i="101" s="1"/>
  <c r="E47" i="101"/>
  <c r="F47" i="101" s="1"/>
  <c r="E39" i="101"/>
  <c r="F39" i="101" s="1"/>
  <c r="E37" i="101"/>
  <c r="F37" i="101" s="1"/>
  <c r="E48" i="101"/>
  <c r="F48" i="101" s="1"/>
  <c r="E38" i="101"/>
  <c r="F38" i="101" s="1"/>
  <c r="E50" i="101"/>
  <c r="F50" i="101" s="1"/>
  <c r="E44" i="101"/>
  <c r="F44" i="101" s="1"/>
  <c r="E49" i="101"/>
  <c r="F49" i="101" s="1"/>
  <c r="E34" i="101"/>
  <c r="F34" i="101" s="1"/>
  <c r="E45" i="101"/>
  <c r="F45" i="101" s="1"/>
  <c r="E54" i="105"/>
  <c r="F54" i="105" s="1"/>
  <c r="E59" i="105"/>
  <c r="F59" i="105" s="1"/>
  <c r="E53" i="105"/>
  <c r="F53" i="105" s="1"/>
  <c r="E58" i="105"/>
  <c r="F58" i="105" s="1"/>
  <c r="E57" i="105"/>
  <c r="F57" i="105" s="1"/>
  <c r="E55" i="105"/>
  <c r="F55" i="105" s="1"/>
  <c r="E56" i="105"/>
  <c r="F56" i="105" s="1"/>
  <c r="E52" i="105"/>
  <c r="F52" i="105" s="1"/>
  <c r="E45" i="105"/>
  <c r="F45" i="105" s="1"/>
  <c r="E46" i="105"/>
  <c r="F46" i="105" s="1"/>
  <c r="E47" i="105"/>
  <c r="F47" i="105" s="1"/>
  <c r="E48" i="105"/>
  <c r="F48" i="105" s="1"/>
  <c r="E42" i="105"/>
  <c r="F42" i="105" s="1"/>
  <c r="E49" i="105"/>
  <c r="F49" i="105" s="1"/>
  <c r="E44" i="105"/>
  <c r="F44" i="105" s="1"/>
  <c r="E51" i="105"/>
  <c r="F51" i="105" s="1"/>
  <c r="E43" i="105"/>
  <c r="F43" i="105" s="1"/>
  <c r="E50" i="105"/>
  <c r="F50" i="105" s="1"/>
  <c r="E41" i="105"/>
  <c r="F41" i="105" s="1"/>
  <c r="E39" i="105"/>
  <c r="F39" i="105" s="1"/>
  <c r="E40" i="105"/>
  <c r="F40" i="105" s="1"/>
  <c r="E38" i="105"/>
  <c r="F38" i="105" s="1"/>
  <c r="E56" i="107"/>
  <c r="F56" i="107" s="1"/>
  <c r="E55" i="107"/>
  <c r="F55" i="107" s="1"/>
  <c r="E57" i="107"/>
  <c r="F57" i="107" s="1"/>
  <c r="E52" i="107"/>
  <c r="F52" i="107" s="1"/>
  <c r="E40" i="107"/>
  <c r="F40" i="107" s="1"/>
  <c r="E46" i="107"/>
  <c r="F46" i="107" s="1"/>
  <c r="E53" i="107"/>
  <c r="F53" i="107" s="1"/>
  <c r="E41" i="107"/>
  <c r="F41" i="107" s="1"/>
  <c r="E47" i="107"/>
  <c r="F47" i="107" s="1"/>
  <c r="E54" i="107"/>
  <c r="F54" i="107" s="1"/>
  <c r="E42" i="107"/>
  <c r="F42" i="107" s="1"/>
  <c r="E48" i="107"/>
  <c r="F48" i="107" s="1"/>
  <c r="E43" i="107"/>
  <c r="F43" i="107" s="1"/>
  <c r="E49" i="107"/>
  <c r="F49" i="107" s="1"/>
  <c r="E45" i="107"/>
  <c r="F45" i="107" s="1"/>
  <c r="E51" i="107"/>
  <c r="F51" i="107" s="1"/>
  <c r="E44" i="107"/>
  <c r="F44" i="107" s="1"/>
  <c r="E50" i="107"/>
  <c r="F50" i="107" s="1"/>
  <c r="E39" i="107"/>
  <c r="F39" i="107" s="1"/>
  <c r="E37" i="107"/>
  <c r="F37" i="107" s="1"/>
  <c r="E38" i="107"/>
  <c r="F38" i="107" s="1"/>
  <c r="E36" i="107"/>
  <c r="F36" i="107" s="1"/>
  <c r="E54" i="110"/>
  <c r="F54" i="110" s="1"/>
  <c r="E55" i="110"/>
  <c r="F55" i="110" s="1"/>
  <c r="E53" i="110"/>
  <c r="F53" i="110" s="1"/>
  <c r="E52" i="110"/>
  <c r="F52" i="110" s="1"/>
  <c r="E51" i="110"/>
  <c r="F51" i="110" s="1"/>
  <c r="E49" i="110"/>
  <c r="F49" i="110" s="1"/>
  <c r="E50" i="110"/>
  <c r="F50" i="110" s="1"/>
  <c r="E45" i="110"/>
  <c r="F45" i="110" s="1"/>
  <c r="E44" i="110"/>
  <c r="F44" i="110" s="1"/>
  <c r="E46" i="110"/>
  <c r="F46" i="110" s="1"/>
  <c r="E47" i="110"/>
  <c r="F47" i="110" s="1"/>
  <c r="E48" i="110"/>
  <c r="F48" i="110" s="1"/>
  <c r="E43" i="110"/>
  <c r="F43" i="110" s="1"/>
  <c r="E42" i="110"/>
  <c r="F42" i="110" s="1"/>
  <c r="E40" i="110"/>
  <c r="F40" i="110" s="1"/>
  <c r="E41" i="110"/>
  <c r="F41" i="110" s="1"/>
  <c r="E39" i="110"/>
  <c r="F39" i="110" s="1"/>
  <c r="E38" i="110"/>
  <c r="F38" i="110" s="1"/>
  <c r="E37" i="110"/>
  <c r="F37" i="110" s="1"/>
  <c r="E35" i="110"/>
  <c r="F35" i="110" s="1"/>
  <c r="E36" i="110"/>
  <c r="F36" i="110" s="1"/>
  <c r="E34" i="110"/>
  <c r="F34" i="110" s="1"/>
  <c r="E52" i="113"/>
  <c r="F52" i="113" s="1"/>
  <c r="E51" i="113"/>
  <c r="F51" i="113" s="1"/>
  <c r="E50" i="113"/>
  <c r="F50" i="113" s="1"/>
  <c r="E53" i="113"/>
  <c r="F53" i="113" s="1"/>
  <c r="E49" i="113"/>
  <c r="F49" i="113" s="1"/>
  <c r="E48" i="113"/>
  <c r="F48" i="113" s="1"/>
  <c r="E47" i="113"/>
  <c r="F47" i="113" s="1"/>
  <c r="E46" i="113"/>
  <c r="F46" i="113" s="1"/>
  <c r="E44" i="113"/>
  <c r="F44" i="113" s="1"/>
  <c r="E39" i="113"/>
  <c r="F39" i="113" s="1"/>
  <c r="E40" i="113"/>
  <c r="F40" i="113" s="1"/>
  <c r="E45" i="113"/>
  <c r="F45" i="113" s="1"/>
  <c r="E41" i="113"/>
  <c r="F41" i="113" s="1"/>
  <c r="E42" i="113"/>
  <c r="F42" i="113" s="1"/>
  <c r="E38" i="113"/>
  <c r="F38" i="113" s="1"/>
  <c r="E43" i="113"/>
  <c r="F43" i="113" s="1"/>
  <c r="E37" i="113"/>
  <c r="F37" i="113" s="1"/>
  <c r="E34" i="113"/>
  <c r="F34" i="113" s="1"/>
  <c r="E36" i="113"/>
  <c r="F36" i="113" s="1"/>
  <c r="E35" i="113"/>
  <c r="F35" i="113" s="1"/>
  <c r="E33" i="113"/>
  <c r="F33" i="113" s="1"/>
  <c r="E60" i="18"/>
  <c r="F60" i="18" s="1"/>
  <c r="E23" i="65"/>
  <c r="F23" i="65" s="1"/>
  <c r="E25" i="66"/>
  <c r="F25" i="66" s="1"/>
  <c r="E63" i="69"/>
  <c r="F63" i="69" s="1"/>
  <c r="E63" i="70"/>
  <c r="F63" i="70" s="1"/>
  <c r="E20" i="4"/>
  <c r="F20" i="4" s="1"/>
  <c r="E19" i="83"/>
  <c r="F19" i="83" s="1"/>
  <c r="E15" i="62"/>
  <c r="F15" i="62" s="1"/>
  <c r="E8" i="33"/>
  <c r="F8" i="33" s="1"/>
  <c r="E10" i="2"/>
  <c r="F10" i="2" s="1"/>
  <c r="E13" i="26"/>
  <c r="F13" i="26" s="1"/>
  <c r="E13" i="2"/>
  <c r="F13" i="2" s="1"/>
  <c r="E20" i="2"/>
  <c r="F20" i="2" s="1"/>
  <c r="E28" i="2"/>
  <c r="F28" i="2" s="1"/>
  <c r="E27" i="5"/>
  <c r="F27" i="5" s="1"/>
  <c r="E9" i="10"/>
  <c r="F9" i="10" s="1"/>
  <c r="E7" i="15"/>
  <c r="E58" i="15" s="1"/>
  <c r="F58" i="15" s="1"/>
  <c r="E65" i="23"/>
  <c r="F65" i="23" s="1"/>
  <c r="E67" i="23"/>
  <c r="F67" i="23" s="1"/>
  <c r="E49" i="23"/>
  <c r="F49" i="23" s="1"/>
  <c r="E50" i="23"/>
  <c r="F50" i="23" s="1"/>
  <c r="E70" i="30"/>
  <c r="F70" i="30" s="1"/>
  <c r="E64" i="40"/>
  <c r="F64" i="40" s="1"/>
  <c r="E63" i="40"/>
  <c r="F63" i="40" s="1"/>
  <c r="E62" i="40"/>
  <c r="F62" i="40" s="1"/>
  <c r="E53" i="40"/>
  <c r="F53" i="40" s="1"/>
  <c r="E60" i="40"/>
  <c r="F60" i="40" s="1"/>
  <c r="E47" i="40"/>
  <c r="F47" i="40" s="1"/>
  <c r="E54" i="40"/>
  <c r="F54" i="40" s="1"/>
  <c r="E61" i="40"/>
  <c r="F61" i="40" s="1"/>
  <c r="E48" i="40"/>
  <c r="F48" i="40" s="1"/>
  <c r="E49" i="40"/>
  <c r="F49" i="40" s="1"/>
  <c r="E55" i="40"/>
  <c r="F55" i="40" s="1"/>
  <c r="E50" i="40"/>
  <c r="F50" i="40" s="1"/>
  <c r="E56" i="40"/>
  <c r="F56" i="40" s="1"/>
  <c r="E51" i="40"/>
  <c r="F51" i="40" s="1"/>
  <c r="E57" i="40"/>
  <c r="F57" i="40" s="1"/>
  <c r="E59" i="40"/>
  <c r="F59" i="40" s="1"/>
  <c r="E52" i="40"/>
  <c r="F52" i="40" s="1"/>
  <c r="E58" i="40"/>
  <c r="F58" i="40" s="1"/>
  <c r="E46" i="40"/>
  <c r="F46" i="40" s="1"/>
  <c r="E44" i="40"/>
  <c r="F44" i="40" s="1"/>
  <c r="E40" i="40"/>
  <c r="F40" i="40" s="1"/>
  <c r="E43" i="40"/>
  <c r="F43" i="40" s="1"/>
  <c r="E41" i="40"/>
  <c r="F41" i="40" s="1"/>
  <c r="E42" i="40"/>
  <c r="F42" i="40" s="1"/>
  <c r="E45" i="40"/>
  <c r="F45" i="40" s="1"/>
  <c r="E17" i="45"/>
  <c r="F17" i="45" s="1"/>
  <c r="E62" i="45"/>
  <c r="F62" i="45" s="1"/>
  <c r="E61" i="45"/>
  <c r="F61" i="45" s="1"/>
  <c r="E60" i="45"/>
  <c r="F60" i="45" s="1"/>
  <c r="E64" i="45"/>
  <c r="F64" i="45" s="1"/>
  <c r="E63" i="45"/>
  <c r="F63" i="45" s="1"/>
  <c r="E59" i="45"/>
  <c r="F59" i="45" s="1"/>
  <c r="E58" i="45"/>
  <c r="F58" i="45" s="1"/>
  <c r="E57" i="45"/>
  <c r="F57" i="45" s="1"/>
  <c r="E56" i="45"/>
  <c r="F56" i="45" s="1"/>
  <c r="E51" i="45"/>
  <c r="F51" i="45" s="1"/>
  <c r="E52" i="45"/>
  <c r="F52" i="45" s="1"/>
  <c r="E47" i="45"/>
  <c r="F47" i="45" s="1"/>
  <c r="E48" i="45"/>
  <c r="F48" i="45" s="1"/>
  <c r="E53" i="45"/>
  <c r="F53" i="45" s="1"/>
  <c r="E54" i="45"/>
  <c r="F54" i="45" s="1"/>
  <c r="E50" i="45"/>
  <c r="F50" i="45" s="1"/>
  <c r="E55" i="45"/>
  <c r="F55" i="45" s="1"/>
  <c r="E49" i="45"/>
  <c r="F49" i="45" s="1"/>
  <c r="E46" i="45"/>
  <c r="F46" i="45" s="1"/>
  <c r="E43" i="45"/>
  <c r="F43" i="45" s="1"/>
  <c r="E44" i="45"/>
  <c r="F44" i="45" s="1"/>
  <c r="E45" i="45"/>
  <c r="F45" i="45" s="1"/>
  <c r="E10" i="50"/>
  <c r="F10" i="50" s="1"/>
  <c r="E78" i="54"/>
  <c r="F78" i="54" s="1"/>
  <c r="E71" i="54"/>
  <c r="F71" i="54" s="1"/>
  <c r="E77" i="54"/>
  <c r="F77" i="54" s="1"/>
  <c r="E61" i="54"/>
  <c r="F61" i="54" s="1"/>
  <c r="E59" i="54"/>
  <c r="F59" i="54" s="1"/>
  <c r="E69" i="56"/>
  <c r="F69" i="56" s="1"/>
  <c r="E71" i="56"/>
  <c r="F71" i="56" s="1"/>
  <c r="E68" i="56"/>
  <c r="F68" i="56" s="1"/>
  <c r="E72" i="56"/>
  <c r="F72" i="56" s="1"/>
  <c r="E67" i="56"/>
  <c r="F67" i="56" s="1"/>
  <c r="E70" i="56"/>
  <c r="F70" i="56" s="1"/>
  <c r="E55" i="56"/>
  <c r="F55" i="56" s="1"/>
  <c r="E61" i="56"/>
  <c r="F61" i="56" s="1"/>
  <c r="E56" i="56"/>
  <c r="F56" i="56" s="1"/>
  <c r="E62" i="56"/>
  <c r="F62" i="56" s="1"/>
  <c r="E63" i="56"/>
  <c r="F63" i="56" s="1"/>
  <c r="E57" i="56"/>
  <c r="F57" i="56" s="1"/>
  <c r="E64" i="56"/>
  <c r="F64" i="56" s="1"/>
  <c r="E58" i="56"/>
  <c r="F58" i="56" s="1"/>
  <c r="E65" i="56"/>
  <c r="F65" i="56" s="1"/>
  <c r="E60" i="56"/>
  <c r="F60" i="56" s="1"/>
  <c r="E59" i="56"/>
  <c r="F59" i="56" s="1"/>
  <c r="E66" i="56"/>
  <c r="F66" i="56" s="1"/>
  <c r="E54" i="56"/>
  <c r="F54" i="56" s="1"/>
  <c r="E48" i="56"/>
  <c r="F48" i="56" s="1"/>
  <c r="E49" i="56"/>
  <c r="F49" i="56" s="1"/>
  <c r="E50" i="56"/>
  <c r="F50" i="56" s="1"/>
  <c r="E51" i="56"/>
  <c r="F51" i="56" s="1"/>
  <c r="E52" i="56"/>
  <c r="F52" i="56" s="1"/>
  <c r="E53" i="56"/>
  <c r="F53" i="56" s="1"/>
  <c r="E63" i="63"/>
  <c r="F63" i="63" s="1"/>
  <c r="E46" i="63"/>
  <c r="F46" i="63" s="1"/>
  <c r="E52" i="63"/>
  <c r="F52" i="63" s="1"/>
  <c r="E59" i="63"/>
  <c r="F59" i="63" s="1"/>
  <c r="E47" i="63"/>
  <c r="F47" i="63" s="1"/>
  <c r="E53" i="63"/>
  <c r="F53" i="63" s="1"/>
  <c r="E60" i="63"/>
  <c r="F60" i="63" s="1"/>
  <c r="E61" i="63"/>
  <c r="F61" i="63" s="1"/>
  <c r="E48" i="63"/>
  <c r="F48" i="63" s="1"/>
  <c r="E54" i="63"/>
  <c r="F54" i="63" s="1"/>
  <c r="E62" i="63"/>
  <c r="F62" i="63" s="1"/>
  <c r="E49" i="63"/>
  <c r="F49" i="63" s="1"/>
  <c r="E55" i="63"/>
  <c r="F55" i="63" s="1"/>
  <c r="E56" i="63"/>
  <c r="F56" i="63" s="1"/>
  <c r="E51" i="63"/>
  <c r="F51" i="63" s="1"/>
  <c r="E58" i="63"/>
  <c r="F58" i="63" s="1"/>
  <c r="E50" i="63"/>
  <c r="F50" i="63" s="1"/>
  <c r="E57" i="63"/>
  <c r="F57" i="63" s="1"/>
  <c r="E45" i="63"/>
  <c r="F45" i="63" s="1"/>
  <c r="E42" i="63"/>
  <c r="F42" i="63" s="1"/>
  <c r="E43" i="63"/>
  <c r="F43" i="63" s="1"/>
  <c r="E44" i="63"/>
  <c r="F44" i="63" s="1"/>
  <c r="E63" i="71"/>
  <c r="F63" i="71" s="1"/>
  <c r="E64" i="71"/>
  <c r="F64" i="71" s="1"/>
  <c r="E56" i="71"/>
  <c r="F56" i="71" s="1"/>
  <c r="E57" i="71"/>
  <c r="F57" i="71" s="1"/>
  <c r="E52" i="71"/>
  <c r="F52" i="71" s="1"/>
  <c r="E47" i="71"/>
  <c r="F47" i="71" s="1"/>
  <c r="E46" i="71"/>
  <c r="F46" i="71" s="1"/>
  <c r="E71" i="79"/>
  <c r="F71" i="79" s="1"/>
  <c r="E66" i="79"/>
  <c r="F66" i="79" s="1"/>
  <c r="E70" i="79"/>
  <c r="F70" i="79" s="1"/>
  <c r="E65" i="79"/>
  <c r="F65" i="79" s="1"/>
  <c r="E69" i="79"/>
  <c r="F69" i="79" s="1"/>
  <c r="E68" i="79"/>
  <c r="F68" i="79" s="1"/>
  <c r="E67" i="79"/>
  <c r="F67" i="79" s="1"/>
  <c r="E63" i="79"/>
  <c r="F63" i="79" s="1"/>
  <c r="E64" i="79"/>
  <c r="F64" i="79" s="1"/>
  <c r="E60" i="79"/>
  <c r="F60" i="79" s="1"/>
  <c r="E58" i="79"/>
  <c r="F58" i="79" s="1"/>
  <c r="E61" i="79"/>
  <c r="F61" i="79" s="1"/>
  <c r="E59" i="79"/>
  <c r="F59" i="79" s="1"/>
  <c r="E62" i="79"/>
  <c r="F62" i="79" s="1"/>
  <c r="E56" i="79"/>
  <c r="F56" i="79" s="1"/>
  <c r="E57" i="79"/>
  <c r="F57" i="79" s="1"/>
  <c r="E55" i="79"/>
  <c r="F55" i="79" s="1"/>
  <c r="E54" i="79"/>
  <c r="F54" i="79" s="1"/>
  <c r="E53" i="79"/>
  <c r="F53" i="79" s="1"/>
  <c r="E52" i="79"/>
  <c r="F52" i="79" s="1"/>
  <c r="E50" i="79"/>
  <c r="F50" i="79" s="1"/>
  <c r="E51" i="79"/>
  <c r="F51" i="79" s="1"/>
  <c r="E51" i="95"/>
  <c r="F51" i="95" s="1"/>
  <c r="E55" i="95"/>
  <c r="F55" i="95" s="1"/>
  <c r="E50" i="95"/>
  <c r="F50" i="95" s="1"/>
  <c r="E54" i="95"/>
  <c r="F54" i="95" s="1"/>
  <c r="E49" i="95"/>
  <c r="F49" i="95" s="1"/>
  <c r="E53" i="95"/>
  <c r="F53" i="95" s="1"/>
  <c r="E52" i="95"/>
  <c r="F52" i="95" s="1"/>
  <c r="E38" i="95"/>
  <c r="F38" i="95" s="1"/>
  <c r="E43" i="95"/>
  <c r="F43" i="95" s="1"/>
  <c r="E44" i="95"/>
  <c r="F44" i="95" s="1"/>
  <c r="E39" i="95"/>
  <c r="F39" i="95" s="1"/>
  <c r="E45" i="95"/>
  <c r="F45" i="95" s="1"/>
  <c r="E47" i="95"/>
  <c r="F47" i="95" s="1"/>
  <c r="E40" i="95"/>
  <c r="F40" i="95" s="1"/>
  <c r="E46" i="95"/>
  <c r="F46" i="95" s="1"/>
  <c r="E41" i="95"/>
  <c r="F41" i="95" s="1"/>
  <c r="E42" i="95"/>
  <c r="F42" i="95" s="1"/>
  <c r="E48" i="95"/>
  <c r="F48" i="95" s="1"/>
  <c r="E37" i="95"/>
  <c r="F37" i="95" s="1"/>
  <c r="E36" i="95"/>
  <c r="F36" i="95" s="1"/>
  <c r="E55" i="102"/>
  <c r="F55" i="102" s="1"/>
  <c r="E54" i="102"/>
  <c r="F54" i="102" s="1"/>
  <c r="E53" i="102"/>
  <c r="F53" i="102" s="1"/>
  <c r="E38" i="102"/>
  <c r="F38" i="102" s="1"/>
  <c r="E43" i="102"/>
  <c r="F43" i="102" s="1"/>
  <c r="E35" i="102"/>
  <c r="F35" i="102" s="1"/>
  <c r="E47" i="102"/>
  <c r="F47" i="102" s="1"/>
  <c r="E44" i="102"/>
  <c r="F44" i="102" s="1"/>
  <c r="E49" i="102"/>
  <c r="F49" i="102" s="1"/>
  <c r="E51" i="102"/>
  <c r="F51" i="102" s="1"/>
  <c r="E48" i="102"/>
  <c r="F48" i="102" s="1"/>
  <c r="E34" i="102"/>
  <c r="F34" i="102" s="1"/>
  <c r="E39" i="102"/>
  <c r="F39" i="102" s="1"/>
  <c r="E50" i="102"/>
  <c r="F50" i="102" s="1"/>
  <c r="E46" i="102"/>
  <c r="F46" i="102" s="1"/>
  <c r="E40" i="102"/>
  <c r="F40" i="102" s="1"/>
  <c r="E45" i="102"/>
  <c r="F45" i="102" s="1"/>
  <c r="E42" i="102"/>
  <c r="F42" i="102" s="1"/>
  <c r="E36" i="102"/>
  <c r="F36" i="102" s="1"/>
  <c r="E41" i="102"/>
  <c r="F41" i="102" s="1"/>
  <c r="E52" i="102"/>
  <c r="F52" i="102" s="1"/>
  <c r="E37" i="102"/>
  <c r="F37" i="102" s="1"/>
  <c r="E36" i="106"/>
  <c r="F36" i="106" s="1"/>
  <c r="E40" i="106"/>
  <c r="F40" i="106" s="1"/>
  <c r="E44" i="106"/>
  <c r="F44" i="106" s="1"/>
  <c r="E48" i="106"/>
  <c r="F48" i="106" s="1"/>
  <c r="E49" i="106"/>
  <c r="F49" i="106" s="1"/>
  <c r="E54" i="106"/>
  <c r="F54" i="106" s="1"/>
  <c r="E37" i="106"/>
  <c r="F37" i="106" s="1"/>
  <c r="E41" i="106"/>
  <c r="F41" i="106" s="1"/>
  <c r="E45" i="106"/>
  <c r="F45" i="106" s="1"/>
  <c r="E55" i="106"/>
  <c r="F55" i="106" s="1"/>
  <c r="E50" i="106"/>
  <c r="F50" i="106" s="1"/>
  <c r="E38" i="106"/>
  <c r="F38" i="106" s="1"/>
  <c r="E42" i="106"/>
  <c r="F42" i="106" s="1"/>
  <c r="E46" i="106"/>
  <c r="F46" i="106" s="1"/>
  <c r="E51" i="106"/>
  <c r="F51" i="106" s="1"/>
  <c r="E56" i="106"/>
  <c r="F56" i="106" s="1"/>
  <c r="E52" i="106"/>
  <c r="F52" i="106" s="1"/>
  <c r="E35" i="106"/>
  <c r="F35" i="106" s="1"/>
  <c r="E53" i="106"/>
  <c r="F53" i="106" s="1"/>
  <c r="E43" i="106"/>
  <c r="F43" i="106" s="1"/>
  <c r="E57" i="106"/>
  <c r="F57" i="106" s="1"/>
  <c r="E47" i="106"/>
  <c r="F47" i="106" s="1"/>
  <c r="E39" i="106"/>
  <c r="F39" i="106" s="1"/>
  <c r="E36" i="108"/>
  <c r="F36" i="108" s="1"/>
  <c r="E52" i="108"/>
  <c r="F52" i="108" s="1"/>
  <c r="E56" i="108"/>
  <c r="F56" i="108" s="1"/>
  <c r="E51" i="108"/>
  <c r="F51" i="108" s="1"/>
  <c r="E55" i="108"/>
  <c r="F55" i="108" s="1"/>
  <c r="E50" i="108"/>
  <c r="F50" i="108" s="1"/>
  <c r="E54" i="108"/>
  <c r="F54" i="108" s="1"/>
  <c r="E53" i="108"/>
  <c r="F53" i="108" s="1"/>
  <c r="E48" i="108"/>
  <c r="F48" i="108" s="1"/>
  <c r="E49" i="108"/>
  <c r="F49" i="108" s="1"/>
  <c r="E39" i="108"/>
  <c r="F39" i="108" s="1"/>
  <c r="E44" i="108"/>
  <c r="F44" i="108" s="1"/>
  <c r="E45" i="108"/>
  <c r="F45" i="108" s="1"/>
  <c r="E40" i="108"/>
  <c r="F40" i="108" s="1"/>
  <c r="E46" i="108"/>
  <c r="F46" i="108" s="1"/>
  <c r="E41" i="108"/>
  <c r="F41" i="108" s="1"/>
  <c r="E47" i="108"/>
  <c r="F47" i="108" s="1"/>
  <c r="E43" i="108"/>
  <c r="F43" i="108" s="1"/>
  <c r="E42" i="108"/>
  <c r="F42" i="108" s="1"/>
  <c r="E38" i="108"/>
  <c r="F38" i="108" s="1"/>
  <c r="E37" i="108"/>
  <c r="F37" i="108" s="1"/>
  <c r="E52" i="114"/>
  <c r="F52" i="114" s="1"/>
  <c r="E41" i="114"/>
  <c r="F41" i="114" s="1"/>
  <c r="E45" i="114"/>
  <c r="F45" i="114" s="1"/>
  <c r="E46" i="114"/>
  <c r="F46" i="114" s="1"/>
  <c r="E42" i="114"/>
  <c r="F42" i="114" s="1"/>
  <c r="E49" i="114"/>
  <c r="F49" i="114" s="1"/>
  <c r="E37" i="114"/>
  <c r="F37" i="114" s="1"/>
  <c r="E43" i="114"/>
  <c r="F43" i="114" s="1"/>
  <c r="E50" i="114"/>
  <c r="F50" i="114" s="1"/>
  <c r="E44" i="114"/>
  <c r="F44" i="114" s="1"/>
  <c r="E38" i="114"/>
  <c r="F38" i="114" s="1"/>
  <c r="E51" i="114"/>
  <c r="F51" i="114" s="1"/>
  <c r="E39" i="114"/>
  <c r="F39" i="114" s="1"/>
  <c r="E47" i="114"/>
  <c r="F47" i="114" s="1"/>
  <c r="E40" i="114"/>
  <c r="F40" i="114" s="1"/>
  <c r="E48" i="114"/>
  <c r="F48" i="114" s="1"/>
  <c r="E36" i="114"/>
  <c r="F36" i="114" s="1"/>
  <c r="E34" i="114"/>
  <c r="F34" i="114" s="1"/>
  <c r="E35" i="114"/>
  <c r="F35" i="114" s="1"/>
  <c r="E32" i="114"/>
  <c r="F32" i="114" s="1"/>
  <c r="E31" i="114"/>
  <c r="F31" i="114" s="1"/>
  <c r="E33" i="114"/>
  <c r="F33" i="114" s="1"/>
  <c r="E34" i="108"/>
  <c r="F34" i="108" s="1"/>
  <c r="E30" i="114"/>
  <c r="F30" i="114" s="1"/>
  <c r="E22" i="65"/>
  <c r="E24" i="66"/>
  <c r="F24" i="66" s="1"/>
  <c r="E62" i="69"/>
  <c r="F62" i="69" s="1"/>
  <c r="E50" i="77"/>
  <c r="F50" i="77" s="1"/>
  <c r="E24" i="87"/>
  <c r="F24" i="87" s="1"/>
  <c r="E19" i="35"/>
  <c r="F19" i="35" s="1"/>
  <c r="E46" i="55"/>
  <c r="F46" i="55" s="1"/>
  <c r="E31" i="85"/>
  <c r="F31" i="85" s="1"/>
  <c r="E42" i="80"/>
  <c r="F42" i="80" s="1"/>
  <c r="E40" i="79"/>
  <c r="F40" i="79" s="1"/>
  <c r="E41" i="80"/>
  <c r="F41" i="80" s="1"/>
  <c r="E37" i="79"/>
  <c r="F37" i="79" s="1"/>
  <c r="E18" i="79"/>
  <c r="F18" i="79" s="1"/>
  <c r="E39" i="80"/>
  <c r="F39" i="80" s="1"/>
  <c r="E41" i="79"/>
  <c r="F41" i="79" s="1"/>
  <c r="E28" i="87"/>
  <c r="F28" i="87" s="1"/>
  <c r="E52" i="87"/>
  <c r="F52" i="87" s="1"/>
  <c r="E45" i="22"/>
  <c r="F45" i="22" s="1"/>
  <c r="E11" i="72"/>
  <c r="F11" i="72" s="1"/>
  <c r="E10" i="22"/>
  <c r="F10" i="22" s="1"/>
  <c r="E38" i="22"/>
  <c r="F38" i="22" s="1"/>
  <c r="E27" i="22"/>
  <c r="F27" i="22" s="1"/>
  <c r="E18" i="22"/>
  <c r="F18" i="22" s="1"/>
  <c r="E41" i="22"/>
  <c r="F41" i="22" s="1"/>
  <c r="E19" i="22"/>
  <c r="F19" i="22" s="1"/>
  <c r="E14" i="22"/>
  <c r="F14" i="22" s="1"/>
  <c r="E12" i="22"/>
  <c r="F12" i="22" s="1"/>
  <c r="E30" i="22"/>
  <c r="F30" i="22" s="1"/>
  <c r="E11" i="22"/>
  <c r="F11" i="22" s="1"/>
  <c r="E8" i="22"/>
  <c r="F8" i="22" s="1"/>
  <c r="E23" i="22"/>
  <c r="F23" i="22" s="1"/>
  <c r="E37" i="22"/>
  <c r="F37" i="22" s="1"/>
  <c r="E40" i="22"/>
  <c r="F40" i="22" s="1"/>
  <c r="E44" i="22"/>
  <c r="F44" i="22" s="1"/>
  <c r="E24" i="22"/>
  <c r="F24" i="22" s="1"/>
  <c r="E21" i="22"/>
  <c r="F21" i="22" s="1"/>
  <c r="E17" i="22"/>
  <c r="F17" i="22" s="1"/>
  <c r="E31" i="22"/>
  <c r="F31" i="22" s="1"/>
  <c r="E39" i="22"/>
  <c r="F39" i="22" s="1"/>
  <c r="E19" i="79"/>
  <c r="F19" i="79" s="1"/>
  <c r="E49" i="79"/>
  <c r="F49" i="79" s="1"/>
  <c r="E14" i="79"/>
  <c r="F14" i="79" s="1"/>
  <c r="E44" i="79"/>
  <c r="F44" i="79" s="1"/>
  <c r="E25" i="79"/>
  <c r="F25" i="79" s="1"/>
  <c r="E36" i="79"/>
  <c r="F36" i="79" s="1"/>
  <c r="E30" i="79"/>
  <c r="F30" i="79" s="1"/>
  <c r="E12" i="79"/>
  <c r="F12" i="79" s="1"/>
  <c r="E21" i="79"/>
  <c r="F21" i="79" s="1"/>
  <c r="E42" i="79"/>
  <c r="F42" i="79" s="1"/>
  <c r="E32" i="79"/>
  <c r="F32" i="79" s="1"/>
  <c r="E9" i="79"/>
  <c r="F9" i="79" s="1"/>
  <c r="E24" i="79"/>
  <c r="F24" i="79" s="1"/>
  <c r="E39" i="79"/>
  <c r="F39" i="79" s="1"/>
  <c r="E26" i="79"/>
  <c r="F26" i="79" s="1"/>
  <c r="E10" i="79"/>
  <c r="F10" i="79" s="1"/>
  <c r="E43" i="79"/>
  <c r="F43" i="79" s="1"/>
  <c r="E16" i="79"/>
  <c r="F16" i="79" s="1"/>
  <c r="E28" i="79"/>
  <c r="F28" i="79" s="1"/>
  <c r="E17" i="79"/>
  <c r="F17" i="79" s="1"/>
  <c r="E33" i="79"/>
  <c r="F33" i="79" s="1"/>
  <c r="E35" i="11"/>
  <c r="F35" i="11" s="1"/>
  <c r="E41" i="11"/>
  <c r="F41" i="11" s="1"/>
  <c r="E40" i="11"/>
  <c r="F40" i="11" s="1"/>
  <c r="E15" i="11"/>
  <c r="F15" i="11" s="1"/>
  <c r="E34" i="11"/>
  <c r="F34" i="11" s="1"/>
  <c r="E29" i="11"/>
  <c r="F29" i="11" s="1"/>
  <c r="E27" i="11"/>
  <c r="F27" i="11" s="1"/>
  <c r="E25" i="11"/>
  <c r="F25" i="11" s="1"/>
  <c r="E12" i="11"/>
  <c r="F12" i="11" s="1"/>
  <c r="E24" i="11"/>
  <c r="F24" i="11" s="1"/>
  <c r="E31" i="11"/>
  <c r="F31" i="11" s="1"/>
  <c r="E20" i="11"/>
  <c r="F20" i="11" s="1"/>
  <c r="E21" i="11"/>
  <c r="F21" i="11" s="1"/>
  <c r="E13" i="11"/>
  <c r="F13" i="11" s="1"/>
  <c r="E11" i="11"/>
  <c r="F11" i="11" s="1"/>
  <c r="E28" i="11"/>
  <c r="F28" i="11" s="1"/>
  <c r="E23" i="11"/>
  <c r="F23" i="11" s="1"/>
  <c r="E9" i="11"/>
  <c r="F9" i="11" s="1"/>
  <c r="E39" i="11"/>
  <c r="F39" i="11" s="1"/>
  <c r="E14" i="11"/>
  <c r="F14" i="11" s="1"/>
  <c r="E30" i="11"/>
  <c r="F30" i="11" s="1"/>
  <c r="E19" i="11"/>
  <c r="F19" i="11" s="1"/>
  <c r="E22" i="11"/>
  <c r="F22" i="11" s="1"/>
  <c r="E10" i="11"/>
  <c r="F10" i="11" s="1"/>
  <c r="E26" i="11"/>
  <c r="F26" i="11" s="1"/>
  <c r="E17" i="11"/>
  <c r="F17" i="11" s="1"/>
  <c r="E18" i="11"/>
  <c r="F18" i="11" s="1"/>
  <c r="E33" i="11"/>
  <c r="F33" i="11" s="1"/>
  <c r="E14" i="14"/>
  <c r="F14" i="14" s="1"/>
  <c r="E8" i="14"/>
  <c r="F8" i="14" s="1"/>
  <c r="E12" i="14"/>
  <c r="F12" i="14" s="1"/>
  <c r="E9" i="14"/>
  <c r="F9" i="14" s="1"/>
  <c r="E21" i="14"/>
  <c r="F21" i="14" s="1"/>
  <c r="E42" i="14"/>
  <c r="F42" i="14" s="1"/>
  <c r="E36" i="14"/>
  <c r="F36" i="14" s="1"/>
  <c r="E34" i="14"/>
  <c r="F34" i="14" s="1"/>
  <c r="E32" i="14"/>
  <c r="F32" i="14" s="1"/>
  <c r="E28" i="14"/>
  <c r="F28" i="14" s="1"/>
  <c r="E13" i="14"/>
  <c r="F13" i="14" s="1"/>
  <c r="E44" i="14"/>
  <c r="F44" i="14" s="1"/>
  <c r="E37" i="14"/>
  <c r="F37" i="14" s="1"/>
  <c r="E30" i="14"/>
  <c r="F30" i="14" s="1"/>
  <c r="E24" i="14"/>
  <c r="F24" i="14" s="1"/>
  <c r="E25" i="14"/>
  <c r="F25" i="14" s="1"/>
  <c r="E50" i="14"/>
  <c r="F50" i="14" s="1"/>
  <c r="E16" i="14"/>
  <c r="F16" i="14" s="1"/>
  <c r="E22" i="14"/>
  <c r="F22" i="14" s="1"/>
  <c r="E41" i="14"/>
  <c r="F41" i="14" s="1"/>
  <c r="E29" i="14"/>
  <c r="F29" i="14" s="1"/>
  <c r="E38" i="14"/>
  <c r="F38" i="14" s="1"/>
  <c r="E31" i="14"/>
  <c r="F31" i="14" s="1"/>
  <c r="E23" i="14"/>
  <c r="F23" i="14" s="1"/>
  <c r="E40" i="14"/>
  <c r="F40" i="14" s="1"/>
  <c r="E7" i="72"/>
  <c r="E37" i="72" s="1"/>
  <c r="F37" i="72" s="1"/>
  <c r="E38" i="72"/>
  <c r="F38" i="72" s="1"/>
  <c r="E7" i="76"/>
  <c r="E58" i="76" s="1"/>
  <c r="F58" i="76" s="1"/>
  <c r="E47" i="80"/>
  <c r="F47" i="80" s="1"/>
  <c r="E14" i="80"/>
  <c r="F14" i="80" s="1"/>
  <c r="E16" i="80"/>
  <c r="F16" i="80" s="1"/>
  <c r="E15" i="80"/>
  <c r="F15" i="80" s="1"/>
  <c r="E21" i="80"/>
  <c r="F21" i="80" s="1"/>
  <c r="E37" i="80"/>
  <c r="F37" i="80" s="1"/>
  <c r="E28" i="80"/>
  <c r="F28" i="80" s="1"/>
  <c r="E17" i="80"/>
  <c r="F17" i="80" s="1"/>
  <c r="E29" i="80"/>
  <c r="F29" i="80" s="1"/>
  <c r="E26" i="80"/>
  <c r="F26" i="80" s="1"/>
  <c r="E35" i="80"/>
  <c r="F35" i="80" s="1"/>
  <c r="E11" i="80"/>
  <c r="F11" i="80" s="1"/>
  <c r="E36" i="80"/>
  <c r="F36" i="80" s="1"/>
  <c r="E12" i="80"/>
  <c r="F12" i="80" s="1"/>
  <c r="E24" i="80"/>
  <c r="F24" i="80" s="1"/>
  <c r="E30" i="80"/>
  <c r="F30" i="80" s="1"/>
  <c r="E32" i="80"/>
  <c r="F32" i="80" s="1"/>
  <c r="E7" i="84"/>
  <c r="E44" i="84"/>
  <c r="F44" i="84" s="1"/>
  <c r="E51" i="85"/>
  <c r="F51" i="85" s="1"/>
  <c r="E7" i="85"/>
  <c r="E33" i="85" s="1"/>
  <c r="F33" i="85" s="1"/>
  <c r="E45" i="85"/>
  <c r="F45" i="85" s="1"/>
  <c r="E29" i="85"/>
  <c r="F29" i="85" s="1"/>
  <c r="E9" i="85"/>
  <c r="F9" i="85" s="1"/>
  <c r="E43" i="85"/>
  <c r="F43" i="85" s="1"/>
  <c r="E21" i="85"/>
  <c r="F21" i="85" s="1"/>
  <c r="E47" i="85"/>
  <c r="F47" i="85" s="1"/>
  <c r="E44" i="85"/>
  <c r="F44" i="85" s="1"/>
  <c r="E34" i="85"/>
  <c r="F34" i="85" s="1"/>
  <c r="E7" i="86"/>
  <c r="E68" i="86" s="1"/>
  <c r="F68" i="86" s="1"/>
  <c r="E53" i="87"/>
  <c r="F53" i="87" s="1"/>
  <c r="E40" i="87"/>
  <c r="F40" i="87" s="1"/>
  <c r="E21" i="87"/>
  <c r="F21" i="87" s="1"/>
  <c r="E42" i="87"/>
  <c r="F42" i="87" s="1"/>
  <c r="E7" i="87"/>
  <c r="E62" i="87" s="1"/>
  <c r="F62" i="87" s="1"/>
  <c r="E27" i="87"/>
  <c r="F27" i="87" s="1"/>
  <c r="E8" i="87"/>
  <c r="F8" i="87" s="1"/>
  <c r="E20" i="87"/>
  <c r="F20" i="87" s="1"/>
  <c r="E11" i="87"/>
  <c r="F11" i="87" s="1"/>
  <c r="E43" i="87"/>
  <c r="F43" i="87" s="1"/>
  <c r="E25" i="87"/>
  <c r="F25" i="87" s="1"/>
  <c r="E30" i="87"/>
  <c r="F30" i="87" s="1"/>
  <c r="E47" i="87"/>
  <c r="F47" i="87" s="1"/>
  <c r="E17" i="87"/>
  <c r="F17" i="87" s="1"/>
  <c r="E15" i="87"/>
  <c r="F15" i="87" s="1"/>
  <c r="E39" i="87"/>
  <c r="F39" i="87" s="1"/>
  <c r="E10" i="87"/>
  <c r="F10" i="87" s="1"/>
  <c r="E14" i="87"/>
  <c r="F14" i="87" s="1"/>
  <c r="E32" i="87"/>
  <c r="F32" i="87" s="1"/>
  <c r="E50" i="87"/>
  <c r="F50" i="87" s="1"/>
  <c r="E33" i="87"/>
  <c r="F33" i="87" s="1"/>
  <c r="E29" i="87"/>
  <c r="F29" i="87" s="1"/>
  <c r="E49" i="87"/>
  <c r="F49" i="87" s="1"/>
  <c r="E11" i="88"/>
  <c r="F11" i="88" s="1"/>
  <c r="E27" i="88"/>
  <c r="F27" i="88" s="1"/>
  <c r="E7" i="88"/>
  <c r="E75" i="88" s="1"/>
  <c r="F75" i="88" s="1"/>
  <c r="E15" i="88"/>
  <c r="F15" i="88" s="1"/>
  <c r="E9" i="88"/>
  <c r="F9" i="88" s="1"/>
  <c r="E23" i="88"/>
  <c r="F23" i="88" s="1"/>
  <c r="E45" i="88"/>
  <c r="F45" i="88" s="1"/>
  <c r="E39" i="88"/>
  <c r="F39" i="88" s="1"/>
  <c r="E35" i="88"/>
  <c r="F35" i="88" s="1"/>
  <c r="E31" i="88"/>
  <c r="F31" i="88" s="1"/>
  <c r="E22" i="88"/>
  <c r="F22" i="88" s="1"/>
  <c r="E13" i="88"/>
  <c r="F13" i="88" s="1"/>
  <c r="E43" i="88"/>
  <c r="F43" i="88" s="1"/>
  <c r="E20" i="88"/>
  <c r="F20" i="88" s="1"/>
  <c r="E14" i="88"/>
  <c r="F14" i="88" s="1"/>
  <c r="E46" i="88"/>
  <c r="F46" i="88" s="1"/>
  <c r="E10" i="88"/>
  <c r="F10" i="88" s="1"/>
  <c r="E52" i="88"/>
  <c r="F52" i="88" s="1"/>
  <c r="E47" i="88"/>
  <c r="F47" i="88" s="1"/>
  <c r="E37" i="88"/>
  <c r="F37" i="88" s="1"/>
  <c r="E40" i="88"/>
  <c r="F40" i="88" s="1"/>
  <c r="E53" i="88"/>
  <c r="F53" i="88" s="1"/>
  <c r="E36" i="88"/>
  <c r="F36" i="88" s="1"/>
  <c r="E22" i="80"/>
  <c r="F22" i="80" s="1"/>
  <c r="E41" i="84"/>
  <c r="F41" i="84" s="1"/>
  <c r="E22" i="79"/>
  <c r="F22" i="79" s="1"/>
  <c r="E24" i="85"/>
  <c r="F24" i="85" s="1"/>
  <c r="E33" i="80"/>
  <c r="F33" i="80" s="1"/>
  <c r="E34" i="87"/>
  <c r="F34" i="87" s="1"/>
  <c r="E20" i="79"/>
  <c r="F20" i="79" s="1"/>
  <c r="E23" i="80"/>
  <c r="F23" i="80" s="1"/>
  <c r="E22" i="87"/>
  <c r="F22" i="87" s="1"/>
  <c r="E29" i="79"/>
  <c r="F29" i="79" s="1"/>
  <c r="E23" i="85"/>
  <c r="F23" i="85" s="1"/>
  <c r="E20" i="80"/>
  <c r="F20" i="80" s="1"/>
  <c r="E37" i="87"/>
  <c r="F37" i="87" s="1"/>
  <c r="E8" i="79"/>
  <c r="F8" i="79" s="1"/>
  <c r="E25" i="22"/>
  <c r="F25" i="22" s="1"/>
  <c r="E39" i="76"/>
  <c r="F39" i="76" s="1"/>
  <c r="E28" i="22"/>
  <c r="F28" i="22" s="1"/>
  <c r="E26" i="14"/>
  <c r="F26" i="14" s="1"/>
  <c r="E39" i="14"/>
  <c r="F39" i="14" s="1"/>
  <c r="E26" i="88"/>
  <c r="F26" i="88" s="1"/>
  <c r="E20" i="22"/>
  <c r="F20" i="22" s="1"/>
  <c r="E21" i="17"/>
  <c r="F21" i="17" s="1"/>
  <c r="E54" i="17"/>
  <c r="F54" i="17" s="1"/>
  <c r="E12" i="17"/>
  <c r="F12" i="17" s="1"/>
  <c r="E53" i="17"/>
  <c r="F53" i="17" s="1"/>
  <c r="E28" i="17"/>
  <c r="F28" i="17" s="1"/>
  <c r="E9" i="17"/>
  <c r="F9" i="17" s="1"/>
  <c r="E14" i="17"/>
  <c r="F14" i="17" s="1"/>
  <c r="E15" i="17"/>
  <c r="F15" i="17" s="1"/>
  <c r="E36" i="17"/>
  <c r="F36" i="17" s="1"/>
  <c r="E32" i="17"/>
  <c r="F32" i="17" s="1"/>
  <c r="E13" i="17"/>
  <c r="F13" i="17" s="1"/>
  <c r="E41" i="17"/>
  <c r="F41" i="17" s="1"/>
  <c r="E25" i="17"/>
  <c r="F25" i="17" s="1"/>
  <c r="E30" i="17"/>
  <c r="F30" i="17" s="1"/>
  <c r="E27" i="17"/>
  <c r="F27" i="17" s="1"/>
  <c r="E26" i="17"/>
  <c r="F26" i="17" s="1"/>
  <c r="E38" i="17"/>
  <c r="F38" i="17" s="1"/>
  <c r="E43" i="17"/>
  <c r="F43" i="17" s="1"/>
  <c r="E48" i="17"/>
  <c r="F48" i="17" s="1"/>
  <c r="E44" i="17"/>
  <c r="F44" i="17" s="1"/>
  <c r="E16" i="17"/>
  <c r="F16" i="17" s="1"/>
  <c r="E49" i="17"/>
  <c r="F49" i="17" s="1"/>
  <c r="E29" i="17"/>
  <c r="F29" i="17" s="1"/>
  <c r="E55" i="17"/>
  <c r="F55" i="17" s="1"/>
  <c r="E45" i="17"/>
  <c r="F45" i="17" s="1"/>
  <c r="E40" i="17"/>
  <c r="F40" i="17" s="1"/>
  <c r="E9" i="87"/>
  <c r="F9" i="87" s="1"/>
  <c r="E45" i="56"/>
  <c r="F45" i="56" s="1"/>
  <c r="E44" i="56"/>
  <c r="F44" i="56" s="1"/>
  <c r="E20" i="56"/>
  <c r="F20" i="56" s="1"/>
  <c r="E15" i="56"/>
  <c r="F15" i="56" s="1"/>
  <c r="E38" i="56"/>
  <c r="F38" i="56" s="1"/>
  <c r="E13" i="56"/>
  <c r="F13" i="56" s="1"/>
  <c r="E30" i="56"/>
  <c r="F30" i="56" s="1"/>
  <c r="E26" i="56"/>
  <c r="F26" i="56" s="1"/>
  <c r="E39" i="56"/>
  <c r="F39" i="56" s="1"/>
  <c r="E8" i="56"/>
  <c r="F8" i="56" s="1"/>
  <c r="E32" i="56"/>
  <c r="F32" i="56" s="1"/>
  <c r="E27" i="56"/>
  <c r="F27" i="56" s="1"/>
  <c r="E17" i="56"/>
  <c r="F17" i="56" s="1"/>
  <c r="E34" i="56"/>
  <c r="F34" i="56" s="1"/>
  <c r="E16" i="56"/>
  <c r="F16" i="56" s="1"/>
  <c r="E33" i="56"/>
  <c r="F33" i="56" s="1"/>
  <c r="E29" i="56"/>
  <c r="F29" i="56" s="1"/>
  <c r="E37" i="56"/>
  <c r="F37" i="56" s="1"/>
  <c r="E11" i="56"/>
  <c r="F11" i="56" s="1"/>
  <c r="E23" i="56"/>
  <c r="F23" i="56" s="1"/>
  <c r="E32" i="11"/>
  <c r="F32" i="11" s="1"/>
  <c r="E15" i="14"/>
  <c r="F15" i="14" s="1"/>
  <c r="E18" i="24"/>
  <c r="F18" i="24" s="1"/>
  <c r="E26" i="24"/>
  <c r="F26" i="24" s="1"/>
  <c r="E40" i="24"/>
  <c r="F40" i="24" s="1"/>
  <c r="E31" i="24"/>
  <c r="F31" i="24" s="1"/>
  <c r="E24" i="57"/>
  <c r="F24" i="57" s="1"/>
  <c r="E21" i="57"/>
  <c r="F21" i="57" s="1"/>
  <c r="E30" i="57"/>
  <c r="F30" i="57" s="1"/>
  <c r="E20" i="57"/>
  <c r="F20" i="57" s="1"/>
  <c r="E31" i="57"/>
  <c r="F31" i="57" s="1"/>
  <c r="E8" i="92"/>
  <c r="F8" i="92" s="1"/>
  <c r="E12" i="92"/>
  <c r="F12" i="92" s="1"/>
  <c r="E13" i="92"/>
  <c r="F13" i="92" s="1"/>
  <c r="E36" i="92"/>
  <c r="F36" i="92" s="1"/>
  <c r="E30" i="92"/>
  <c r="F30" i="92" s="1"/>
  <c r="E23" i="92"/>
  <c r="F23" i="92" s="1"/>
  <c r="E20" i="92"/>
  <c r="F20" i="92" s="1"/>
  <c r="E10" i="92"/>
  <c r="F10" i="92" s="1"/>
  <c r="E13" i="55"/>
  <c r="F13" i="55" s="1"/>
  <c r="E27" i="35"/>
  <c r="F27" i="35" s="1"/>
  <c r="E44" i="57"/>
  <c r="F44" i="57" s="1"/>
  <c r="E22" i="57"/>
  <c r="F22" i="57" s="1"/>
  <c r="E39" i="24"/>
  <c r="F39" i="24" s="1"/>
  <c r="E22" i="24"/>
  <c r="F22" i="24" s="1"/>
  <c r="E37" i="32"/>
  <c r="F37" i="32" s="1"/>
  <c r="E14" i="32"/>
  <c r="F14" i="32" s="1"/>
  <c r="E13" i="24"/>
  <c r="F13" i="24" s="1"/>
  <c r="E19" i="24"/>
  <c r="F19" i="24" s="1"/>
  <c r="E43" i="57"/>
  <c r="F43" i="57" s="1"/>
  <c r="E28" i="24"/>
  <c r="F28" i="24" s="1"/>
  <c r="E44" i="32"/>
  <c r="F44" i="32" s="1"/>
  <c r="E45" i="57"/>
  <c r="F45" i="57" s="1"/>
  <c r="E34" i="57"/>
  <c r="F34" i="57" s="1"/>
  <c r="E14" i="57"/>
  <c r="F14" i="57" s="1"/>
  <c r="E10" i="57"/>
  <c r="F10" i="57" s="1"/>
  <c r="E37" i="24"/>
  <c r="F37" i="24" s="1"/>
  <c r="E34" i="32"/>
  <c r="F34" i="32" s="1"/>
  <c r="E8" i="32"/>
  <c r="F8" i="32" s="1"/>
  <c r="E28" i="32"/>
  <c r="F28" i="32" s="1"/>
  <c r="E29" i="57"/>
  <c r="F29" i="57" s="1"/>
  <c r="E23" i="24"/>
  <c r="F23" i="24" s="1"/>
  <c r="E14" i="92"/>
  <c r="F14" i="92" s="1"/>
  <c r="E21" i="92"/>
  <c r="F21" i="92" s="1"/>
  <c r="E25" i="92"/>
  <c r="F25" i="92" s="1"/>
  <c r="E31" i="70"/>
  <c r="F31" i="70" s="1"/>
  <c r="E40" i="53"/>
  <c r="F40" i="53" s="1"/>
  <c r="E35" i="53"/>
  <c r="F35" i="53" s="1"/>
  <c r="E46" i="53"/>
  <c r="F46" i="53" s="1"/>
  <c r="E23" i="32"/>
  <c r="F23" i="32" s="1"/>
  <c r="E21" i="33"/>
  <c r="F21" i="33" s="1"/>
  <c r="E28" i="33"/>
  <c r="F28" i="33" s="1"/>
  <c r="E56" i="68"/>
  <c r="F56" i="68" s="1"/>
  <c r="E44" i="68"/>
  <c r="F44" i="68" s="1"/>
  <c r="E41" i="68"/>
  <c r="F41" i="68" s="1"/>
  <c r="E16" i="62"/>
  <c r="F16" i="62" s="1"/>
  <c r="E22" i="62"/>
  <c r="F22" i="62" s="1"/>
  <c r="E35" i="35"/>
  <c r="F35" i="35" s="1"/>
  <c r="E43" i="21"/>
  <c r="F43" i="21" s="1"/>
  <c r="E36" i="21"/>
  <c r="F36" i="21" s="1"/>
  <c r="E33" i="21"/>
  <c r="F33" i="21" s="1"/>
  <c r="E34" i="21"/>
  <c r="F34" i="21" s="1"/>
  <c r="E26" i="21"/>
  <c r="F26" i="21" s="1"/>
  <c r="E42" i="21"/>
  <c r="F42" i="21" s="1"/>
  <c r="E31" i="21"/>
  <c r="F31" i="21" s="1"/>
  <c r="E25" i="21"/>
  <c r="F25" i="21" s="1"/>
  <c r="E18" i="21"/>
  <c r="F18" i="21" s="1"/>
  <c r="E13" i="21"/>
  <c r="F13" i="21" s="1"/>
  <c r="E11" i="21"/>
  <c r="F11" i="21" s="1"/>
  <c r="E15" i="21"/>
  <c r="F15" i="21" s="1"/>
  <c r="E28" i="21"/>
  <c r="F28" i="21" s="1"/>
  <c r="E9" i="59"/>
  <c r="F9" i="59" s="1"/>
  <c r="E27" i="94"/>
  <c r="F27" i="94" s="1"/>
  <c r="E10" i="94"/>
  <c r="F10" i="94" s="1"/>
  <c r="E26" i="89"/>
  <c r="F26" i="89" s="1"/>
  <c r="E40" i="89"/>
  <c r="F40" i="89" s="1"/>
  <c r="E28" i="89"/>
  <c r="F28" i="89" s="1"/>
  <c r="E14" i="89"/>
  <c r="F14" i="89" s="1"/>
  <c r="E11" i="89"/>
  <c r="F11" i="89" s="1"/>
  <c r="E22" i="89"/>
  <c r="F22" i="89" s="1"/>
  <c r="E36" i="89"/>
  <c r="F36" i="89" s="1"/>
  <c r="E20" i="59"/>
  <c r="F20" i="59" s="1"/>
  <c r="E23" i="59"/>
  <c r="F23" i="59" s="1"/>
  <c r="E16" i="57"/>
  <c r="F16" i="57" s="1"/>
  <c r="E26" i="53"/>
  <c r="F26" i="53" s="1"/>
  <c r="E9" i="53"/>
  <c r="F9" i="53" s="1"/>
  <c r="E19" i="44"/>
  <c r="F19" i="44" s="1"/>
  <c r="E26" i="44"/>
  <c r="F26" i="44" s="1"/>
  <c r="E7" i="7"/>
  <c r="E49" i="7" s="1"/>
  <c r="F49" i="7" s="1"/>
  <c r="E43" i="7"/>
  <c r="F43" i="7" s="1"/>
  <c r="E8" i="15"/>
  <c r="F8" i="15" s="1"/>
  <c r="E34" i="15"/>
  <c r="F34" i="15" s="1"/>
  <c r="E29" i="15"/>
  <c r="F29" i="15" s="1"/>
  <c r="E30" i="15"/>
  <c r="F30" i="15" s="1"/>
  <c r="E20" i="15"/>
  <c r="F20" i="15" s="1"/>
  <c r="E19" i="15"/>
  <c r="F19" i="15" s="1"/>
  <c r="E13" i="15"/>
  <c r="F13" i="15" s="1"/>
  <c r="E37" i="15"/>
  <c r="F37" i="15" s="1"/>
  <c r="E31" i="15"/>
  <c r="F31" i="15" s="1"/>
  <c r="E27" i="15"/>
  <c r="F27" i="15" s="1"/>
  <c r="E23" i="15"/>
  <c r="F23" i="15" s="1"/>
  <c r="E9" i="15"/>
  <c r="F9" i="15" s="1"/>
  <c r="E12" i="15"/>
  <c r="F12" i="15" s="1"/>
  <c r="E32" i="15"/>
  <c r="F32" i="15" s="1"/>
  <c r="E26" i="15"/>
  <c r="F26" i="15" s="1"/>
  <c r="E17" i="15"/>
  <c r="F17" i="15" s="1"/>
  <c r="E10" i="15"/>
  <c r="F10" i="15" s="1"/>
  <c r="E15" i="15"/>
  <c r="F15" i="15" s="1"/>
  <c r="E11" i="15"/>
  <c r="F11" i="15" s="1"/>
  <c r="E36" i="15"/>
  <c r="F36" i="15" s="1"/>
  <c r="E25" i="15"/>
  <c r="F25" i="15" s="1"/>
  <c r="E16" i="15"/>
  <c r="F16" i="15" s="1"/>
  <c r="E33" i="15"/>
  <c r="F33" i="15" s="1"/>
  <c r="E21" i="15"/>
  <c r="F21" i="15" s="1"/>
  <c r="E60" i="19"/>
  <c r="F60" i="19" s="1"/>
  <c r="E7" i="19"/>
  <c r="E28" i="19"/>
  <c r="F28" i="19" s="1"/>
  <c r="E20" i="19"/>
  <c r="F20" i="19" s="1"/>
  <c r="E12" i="19"/>
  <c r="F12" i="19" s="1"/>
  <c r="E7" i="23"/>
  <c r="E54" i="23" s="1"/>
  <c r="F54" i="23" s="1"/>
  <c r="E13" i="23"/>
  <c r="F13" i="23" s="1"/>
  <c r="E7" i="30"/>
  <c r="E68" i="30" s="1"/>
  <c r="F68" i="30" s="1"/>
  <c r="E22" i="30"/>
  <c r="F22" i="30" s="1"/>
  <c r="E20" i="30"/>
  <c r="F20" i="30" s="1"/>
  <c r="E44" i="71"/>
  <c r="F44" i="71" s="1"/>
  <c r="E10" i="71"/>
  <c r="F10" i="71" s="1"/>
  <c r="E20" i="71"/>
  <c r="F20" i="71" s="1"/>
  <c r="E7" i="71"/>
  <c r="E62" i="71" s="1"/>
  <c r="F62" i="71" s="1"/>
  <c r="E38" i="71"/>
  <c r="F38" i="71" s="1"/>
  <c r="E29" i="71"/>
  <c r="F29" i="71" s="1"/>
  <c r="E28" i="71"/>
  <c r="F28" i="71" s="1"/>
  <c r="E15" i="71"/>
  <c r="F15" i="71" s="1"/>
  <c r="E54" i="32"/>
  <c r="F54" i="32" s="1"/>
  <c r="E40" i="32"/>
  <c r="F40" i="32" s="1"/>
  <c r="E19" i="32"/>
  <c r="F19" i="32" s="1"/>
  <c r="E50" i="32"/>
  <c r="F50" i="32" s="1"/>
  <c r="E31" i="32"/>
  <c r="F31" i="32" s="1"/>
  <c r="E11" i="32"/>
  <c r="F11" i="32" s="1"/>
  <c r="E20" i="32"/>
  <c r="F20" i="32" s="1"/>
  <c r="E25" i="32"/>
  <c r="F25" i="32" s="1"/>
  <c r="E24" i="32"/>
  <c r="F24" i="32" s="1"/>
  <c r="E35" i="32"/>
  <c r="F35" i="32" s="1"/>
  <c r="E25" i="33"/>
  <c r="F25" i="33" s="1"/>
  <c r="E9" i="33"/>
  <c r="F9" i="33" s="1"/>
  <c r="E13" i="33"/>
  <c r="F13" i="33" s="1"/>
  <c r="E18" i="33"/>
  <c r="F18" i="33" s="1"/>
  <c r="E36" i="33"/>
  <c r="F36" i="33" s="1"/>
  <c r="E31" i="33"/>
  <c r="F31" i="33" s="1"/>
  <c r="E29" i="33"/>
  <c r="F29" i="33" s="1"/>
  <c r="E24" i="33"/>
  <c r="F24" i="33" s="1"/>
  <c r="E11" i="33"/>
  <c r="F11" i="33" s="1"/>
  <c r="E37" i="33"/>
  <c r="F37" i="33" s="1"/>
  <c r="E33" i="33"/>
  <c r="F33" i="33" s="1"/>
  <c r="E22" i="33"/>
  <c r="F22" i="33" s="1"/>
  <c r="E7" i="35"/>
  <c r="E71" i="35" s="1"/>
  <c r="F71" i="35" s="1"/>
  <c r="E8" i="35"/>
  <c r="F8" i="35" s="1"/>
  <c r="E48" i="35"/>
  <c r="F48" i="35" s="1"/>
  <c r="E45" i="35"/>
  <c r="F45" i="35" s="1"/>
  <c r="E39" i="35"/>
  <c r="F39" i="35" s="1"/>
  <c r="E36" i="35"/>
  <c r="F36" i="35" s="1"/>
  <c r="E40" i="35"/>
  <c r="F40" i="35" s="1"/>
  <c r="E38" i="35"/>
  <c r="F38" i="35" s="1"/>
  <c r="E42" i="35"/>
  <c r="F42" i="35" s="1"/>
  <c r="E37" i="35"/>
  <c r="F37" i="35" s="1"/>
  <c r="E34" i="35"/>
  <c r="F34" i="35" s="1"/>
  <c r="E7" i="36"/>
  <c r="E40" i="36" s="1"/>
  <c r="F40" i="36" s="1"/>
  <c r="E27" i="36"/>
  <c r="F27" i="36" s="1"/>
  <c r="E48" i="36"/>
  <c r="F48" i="36" s="1"/>
  <c r="E10" i="36"/>
  <c r="F10" i="36" s="1"/>
  <c r="E23" i="37"/>
  <c r="F23" i="37" s="1"/>
  <c r="E44" i="37"/>
  <c r="F44" i="37" s="1"/>
  <c r="E35" i="37"/>
  <c r="F35" i="37" s="1"/>
  <c r="E21" i="37"/>
  <c r="F21" i="37" s="1"/>
  <c r="E16" i="37"/>
  <c r="F16" i="37" s="1"/>
  <c r="E7" i="37"/>
  <c r="E64" i="37" s="1"/>
  <c r="F64" i="37" s="1"/>
  <c r="E12" i="37"/>
  <c r="F12" i="37" s="1"/>
  <c r="E49" i="37"/>
  <c r="F49" i="37" s="1"/>
  <c r="E46" i="37"/>
  <c r="F46" i="37" s="1"/>
  <c r="E37" i="37"/>
  <c r="F37" i="37" s="1"/>
  <c r="E24" i="37"/>
  <c r="F24" i="37" s="1"/>
  <c r="E26" i="37"/>
  <c r="F26" i="37" s="1"/>
  <c r="E11" i="37"/>
  <c r="F11" i="37" s="1"/>
  <c r="E43" i="37"/>
  <c r="F43" i="37" s="1"/>
  <c r="E38" i="37"/>
  <c r="F38" i="37" s="1"/>
  <c r="E32" i="37"/>
  <c r="F32" i="37" s="1"/>
  <c r="E22" i="37"/>
  <c r="F22" i="37" s="1"/>
  <c r="E41" i="37"/>
  <c r="F41" i="37" s="1"/>
  <c r="E36" i="37"/>
  <c r="F36" i="37" s="1"/>
  <c r="E42" i="44"/>
  <c r="F42" i="44" s="1"/>
  <c r="E37" i="44"/>
  <c r="F37" i="44" s="1"/>
  <c r="E38" i="44"/>
  <c r="F38" i="44" s="1"/>
  <c r="E13" i="44"/>
  <c r="F13" i="44" s="1"/>
  <c r="E14" i="44"/>
  <c r="F14" i="44" s="1"/>
  <c r="E35" i="44"/>
  <c r="F35" i="44" s="1"/>
  <c r="E10" i="44"/>
  <c r="F10" i="44" s="1"/>
  <c r="E33" i="44"/>
  <c r="F33" i="44" s="1"/>
  <c r="E27" i="44"/>
  <c r="F27" i="44" s="1"/>
  <c r="E28" i="44"/>
  <c r="F28" i="44" s="1"/>
  <c r="E17" i="44"/>
  <c r="F17" i="44" s="1"/>
  <c r="E24" i="44"/>
  <c r="F24" i="44" s="1"/>
  <c r="E15" i="44"/>
  <c r="F15" i="44" s="1"/>
  <c r="E9" i="44"/>
  <c r="F9" i="44" s="1"/>
  <c r="E34" i="44"/>
  <c r="F34" i="44" s="1"/>
  <c r="E25" i="44"/>
  <c r="F25" i="44" s="1"/>
  <c r="E18" i="44"/>
  <c r="F18" i="44" s="1"/>
  <c r="E21" i="44"/>
  <c r="F21" i="44" s="1"/>
  <c r="E12" i="44"/>
  <c r="F12" i="44" s="1"/>
  <c r="E36" i="52"/>
  <c r="F36" i="52" s="1"/>
  <c r="E28" i="52"/>
  <c r="F28" i="52" s="1"/>
  <c r="E33" i="52"/>
  <c r="F33" i="52" s="1"/>
  <c r="E24" i="52"/>
  <c r="F24" i="52" s="1"/>
  <c r="E16" i="52"/>
  <c r="F16" i="52" s="1"/>
  <c r="E14" i="52"/>
  <c r="F14" i="52" s="1"/>
  <c r="E37" i="52"/>
  <c r="F37" i="52" s="1"/>
  <c r="E31" i="52"/>
  <c r="F31" i="52" s="1"/>
  <c r="E29" i="52"/>
  <c r="F29" i="52" s="1"/>
  <c r="E19" i="52"/>
  <c r="F19" i="52" s="1"/>
  <c r="E15" i="52"/>
  <c r="F15" i="52" s="1"/>
  <c r="E8" i="52"/>
  <c r="F8" i="52" s="1"/>
  <c r="E32" i="52"/>
  <c r="F32" i="52" s="1"/>
  <c r="E25" i="52"/>
  <c r="F25" i="52" s="1"/>
  <c r="E20" i="52"/>
  <c r="F20" i="52" s="1"/>
  <c r="E10" i="52"/>
  <c r="F10" i="52" s="1"/>
  <c r="E34" i="52"/>
  <c r="F34" i="52" s="1"/>
  <c r="E21" i="52"/>
  <c r="F21" i="52" s="1"/>
  <c r="E18" i="52"/>
  <c r="F18" i="52" s="1"/>
  <c r="E26" i="52"/>
  <c r="F26" i="52" s="1"/>
  <c r="E22" i="52"/>
  <c r="F22" i="52" s="1"/>
  <c r="E9" i="52"/>
  <c r="F9" i="52" s="1"/>
  <c r="E13" i="53"/>
  <c r="F13" i="53" s="1"/>
  <c r="E14" i="53"/>
  <c r="F14" i="53" s="1"/>
  <c r="E11" i="53"/>
  <c r="F11" i="53" s="1"/>
  <c r="E23" i="53"/>
  <c r="F23" i="53" s="1"/>
  <c r="E52" i="53"/>
  <c r="F52" i="53" s="1"/>
  <c r="E47" i="53"/>
  <c r="F47" i="53" s="1"/>
  <c r="E41" i="53"/>
  <c r="F41" i="53" s="1"/>
  <c r="E34" i="53"/>
  <c r="F34" i="53" s="1"/>
  <c r="E32" i="53"/>
  <c r="F32" i="53" s="1"/>
  <c r="E33" i="53"/>
  <c r="F33" i="53" s="1"/>
  <c r="E22" i="53"/>
  <c r="F22" i="53" s="1"/>
  <c r="E18" i="53"/>
  <c r="F18" i="53" s="1"/>
  <c r="E16" i="53"/>
  <c r="F16" i="53" s="1"/>
  <c r="E28" i="53"/>
  <c r="F28" i="53" s="1"/>
  <c r="E53" i="53"/>
  <c r="F53" i="53" s="1"/>
  <c r="E48" i="53"/>
  <c r="F48" i="53" s="1"/>
  <c r="E44" i="53"/>
  <c r="F44" i="53" s="1"/>
  <c r="E45" i="53"/>
  <c r="F45" i="53" s="1"/>
  <c r="E37" i="53"/>
  <c r="F37" i="53" s="1"/>
  <c r="E40" i="55"/>
  <c r="F40" i="55" s="1"/>
  <c r="E37" i="55"/>
  <c r="F37" i="55" s="1"/>
  <c r="E41" i="59"/>
  <c r="F41" i="59" s="1"/>
  <c r="E10" i="59"/>
  <c r="F10" i="59" s="1"/>
  <c r="E14" i="59"/>
  <c r="F14" i="59" s="1"/>
  <c r="E17" i="59"/>
  <c r="F17" i="59" s="1"/>
  <c r="E33" i="59"/>
  <c r="F33" i="59" s="1"/>
  <c r="E30" i="59"/>
  <c r="F30" i="59" s="1"/>
  <c r="E16" i="59"/>
  <c r="F16" i="59" s="1"/>
  <c r="E35" i="59"/>
  <c r="F35" i="59" s="1"/>
  <c r="E15" i="59"/>
  <c r="F15" i="59" s="1"/>
  <c r="E13" i="59"/>
  <c r="F13" i="59" s="1"/>
  <c r="E29" i="59"/>
  <c r="F29" i="59" s="1"/>
  <c r="E34" i="59"/>
  <c r="F34" i="59" s="1"/>
  <c r="E32" i="59"/>
  <c r="F32" i="59" s="1"/>
  <c r="E28" i="59"/>
  <c r="F28" i="59" s="1"/>
  <c r="E8" i="59"/>
  <c r="F8" i="59" s="1"/>
  <c r="E41" i="62"/>
  <c r="F41" i="62" s="1"/>
  <c r="E13" i="62"/>
  <c r="F13" i="62" s="1"/>
  <c r="E12" i="62"/>
  <c r="F12" i="62" s="1"/>
  <c r="E14" i="62"/>
  <c r="F14" i="62" s="1"/>
  <c r="E10" i="62"/>
  <c r="F10" i="62" s="1"/>
  <c r="E8" i="62"/>
  <c r="F8" i="62" s="1"/>
  <c r="E35" i="62"/>
  <c r="F35" i="62" s="1"/>
  <c r="E31" i="62"/>
  <c r="F31" i="62" s="1"/>
  <c r="E27" i="62"/>
  <c r="F27" i="62" s="1"/>
  <c r="E25" i="62"/>
  <c r="F25" i="62" s="1"/>
  <c r="E21" i="62"/>
  <c r="F21" i="62" s="1"/>
  <c r="E9" i="62"/>
  <c r="F9" i="62" s="1"/>
  <c r="E34" i="62"/>
  <c r="F34" i="62" s="1"/>
  <c r="E26" i="62"/>
  <c r="F26" i="62" s="1"/>
  <c r="E18" i="62"/>
  <c r="F18" i="62" s="1"/>
  <c r="E20" i="62"/>
  <c r="F20" i="62" s="1"/>
  <c r="F23" i="66"/>
  <c r="E18" i="66"/>
  <c r="F18" i="66" s="1"/>
  <c r="E15" i="66"/>
  <c r="F15" i="66" s="1"/>
  <c r="E9" i="66"/>
  <c r="F9" i="66" s="1"/>
  <c r="E62" i="70"/>
  <c r="F62" i="70" s="1"/>
  <c r="E61" i="70"/>
  <c r="F61" i="70" s="1"/>
  <c r="E21" i="70"/>
  <c r="F21" i="70" s="1"/>
  <c r="E11" i="70"/>
  <c r="F11" i="70" s="1"/>
  <c r="E16" i="70"/>
  <c r="F16" i="70" s="1"/>
  <c r="E7" i="70"/>
  <c r="E77" i="70" s="1"/>
  <c r="F77" i="70" s="1"/>
  <c r="E29" i="70"/>
  <c r="F29" i="70" s="1"/>
  <c r="E26" i="70"/>
  <c r="F26" i="70" s="1"/>
  <c r="E25" i="70"/>
  <c r="F25" i="70" s="1"/>
  <c r="E9" i="70"/>
  <c r="F9" i="70" s="1"/>
  <c r="E19" i="70"/>
  <c r="F19" i="70" s="1"/>
  <c r="E8" i="70"/>
  <c r="F8" i="70" s="1"/>
  <c r="E28" i="70"/>
  <c r="F28" i="70" s="1"/>
  <c r="E18" i="70"/>
  <c r="F18" i="70" s="1"/>
  <c r="E27" i="70"/>
  <c r="F27" i="70" s="1"/>
  <c r="E15" i="70"/>
  <c r="F15" i="70" s="1"/>
  <c r="E53" i="70"/>
  <c r="F53" i="70" s="1"/>
  <c r="E49" i="70"/>
  <c r="F49" i="70" s="1"/>
  <c r="E45" i="70"/>
  <c r="F45" i="70" s="1"/>
  <c r="E46" i="70"/>
  <c r="F46" i="70" s="1"/>
  <c r="E32" i="70"/>
  <c r="F32" i="70" s="1"/>
  <c r="E22" i="70"/>
  <c r="F22" i="70" s="1"/>
  <c r="E56" i="70"/>
  <c r="F56" i="70" s="1"/>
  <c r="E40" i="70"/>
  <c r="F40" i="70" s="1"/>
  <c r="E39" i="70"/>
  <c r="F39" i="70" s="1"/>
  <c r="E36" i="70"/>
  <c r="F36" i="70" s="1"/>
  <c r="E30" i="94"/>
  <c r="F30" i="94" s="1"/>
  <c r="E36" i="94"/>
  <c r="F36" i="94" s="1"/>
  <c r="E35" i="94"/>
  <c r="F35" i="94" s="1"/>
  <c r="E34" i="94"/>
  <c r="F34" i="94" s="1"/>
  <c r="E20" i="94"/>
  <c r="F20" i="94" s="1"/>
  <c r="E17" i="94"/>
  <c r="F17" i="94" s="1"/>
  <c r="E28" i="94"/>
  <c r="F28" i="94" s="1"/>
  <c r="E8" i="94"/>
  <c r="F8" i="94" s="1"/>
  <c r="E23" i="94"/>
  <c r="F23" i="94" s="1"/>
  <c r="E29" i="94"/>
  <c r="F29" i="94" s="1"/>
  <c r="E9" i="94"/>
  <c r="F9" i="94" s="1"/>
  <c r="E24" i="94"/>
  <c r="F24" i="94" s="1"/>
  <c r="E11" i="94"/>
  <c r="F11" i="94" s="1"/>
  <c r="E26" i="94"/>
  <c r="F26" i="94" s="1"/>
  <c r="E10" i="101"/>
  <c r="F10" i="101" s="1"/>
  <c r="E33" i="101"/>
  <c r="F33" i="101" s="1"/>
  <c r="E41" i="52"/>
  <c r="F41" i="52" s="1"/>
  <c r="E14" i="20"/>
  <c r="F14" i="20" s="1"/>
  <c r="E13" i="20"/>
  <c r="F13" i="20" s="1"/>
  <c r="E16" i="20"/>
  <c r="F16" i="20" s="1"/>
  <c r="E15" i="20"/>
  <c r="F15" i="20" s="1"/>
  <c r="E22" i="20"/>
  <c r="F22" i="20" s="1"/>
  <c r="E45" i="20"/>
  <c r="F45" i="20" s="1"/>
  <c r="E40" i="20"/>
  <c r="F40" i="20" s="1"/>
  <c r="E35" i="20"/>
  <c r="F35" i="20" s="1"/>
  <c r="E32" i="20"/>
  <c r="F32" i="20" s="1"/>
  <c r="E27" i="20"/>
  <c r="F27" i="20" s="1"/>
  <c r="E24" i="20"/>
  <c r="F24" i="20" s="1"/>
  <c r="E19" i="3"/>
  <c r="F19" i="3" s="1"/>
  <c r="E12" i="3"/>
  <c r="F12" i="3" s="1"/>
  <c r="E16" i="3"/>
  <c r="F16" i="3" s="1"/>
  <c r="E40" i="3"/>
  <c r="F40" i="3" s="1"/>
  <c r="E8" i="3"/>
  <c r="F8" i="3" s="1"/>
  <c r="E34" i="3"/>
  <c r="F34" i="3" s="1"/>
  <c r="E28" i="3"/>
  <c r="F28" i="3" s="1"/>
  <c r="E23" i="3"/>
  <c r="F23" i="3" s="1"/>
  <c r="E9" i="3"/>
  <c r="F9" i="3" s="1"/>
  <c r="E17" i="3"/>
  <c r="F17" i="3" s="1"/>
  <c r="E37" i="97"/>
  <c r="F37" i="97" s="1"/>
  <c r="E10" i="97"/>
  <c r="F10" i="97" s="1"/>
  <c r="E15" i="97"/>
  <c r="F15" i="97" s="1"/>
  <c r="E8" i="97"/>
  <c r="F8" i="97" s="1"/>
  <c r="E18" i="97"/>
  <c r="F18" i="97" s="1"/>
  <c r="E9" i="97"/>
  <c r="F9" i="97" s="1"/>
  <c r="E19" i="97"/>
  <c r="F19" i="97" s="1"/>
  <c r="E16" i="97"/>
  <c r="F16" i="97" s="1"/>
  <c r="E17" i="97"/>
  <c r="F17" i="97" s="1"/>
  <c r="E20" i="97"/>
  <c r="F20" i="97" s="1"/>
  <c r="E13" i="97"/>
  <c r="F13" i="97" s="1"/>
  <c r="E22" i="97"/>
  <c r="F22" i="97" s="1"/>
  <c r="E21" i="97"/>
  <c r="F21" i="97" s="1"/>
  <c r="E28" i="100"/>
  <c r="F28" i="100" s="1"/>
  <c r="E32" i="100"/>
  <c r="F32" i="100" s="1"/>
  <c r="E14" i="90"/>
  <c r="F14" i="90" s="1"/>
  <c r="E22" i="90"/>
  <c r="F22" i="90" s="1"/>
  <c r="E20" i="90"/>
  <c r="F20" i="90" s="1"/>
  <c r="E38" i="4"/>
  <c r="F38" i="4" s="1"/>
  <c r="E14" i="4"/>
  <c r="F14" i="4" s="1"/>
  <c r="E15" i="4"/>
  <c r="F15" i="4" s="1"/>
  <c r="E33" i="4"/>
  <c r="F33" i="4" s="1"/>
  <c r="E30" i="4"/>
  <c r="F30" i="4" s="1"/>
  <c r="E23" i="4"/>
  <c r="F23" i="4" s="1"/>
  <c r="E24" i="4"/>
  <c r="F24" i="4" s="1"/>
  <c r="E16" i="4"/>
  <c r="F16" i="4" s="1"/>
  <c r="E8" i="4"/>
  <c r="F8" i="4" s="1"/>
  <c r="E11" i="4"/>
  <c r="F11" i="4" s="1"/>
  <c r="E27" i="4"/>
  <c r="F27" i="4" s="1"/>
  <c r="E22" i="4"/>
  <c r="F22" i="4" s="1"/>
  <c r="E17" i="4"/>
  <c r="F17" i="4" s="1"/>
  <c r="E12" i="4"/>
  <c r="F12" i="4" s="1"/>
  <c r="E28" i="4"/>
  <c r="F28" i="4" s="1"/>
  <c r="E18" i="4"/>
  <c r="F18" i="4" s="1"/>
  <c r="E13" i="4"/>
  <c r="F13" i="4" s="1"/>
  <c r="E41" i="6"/>
  <c r="F41" i="6" s="1"/>
  <c r="E42" i="6"/>
  <c r="F42" i="6" s="1"/>
  <c r="E40" i="6"/>
  <c r="F40" i="6" s="1"/>
  <c r="E11" i="6"/>
  <c r="F11" i="6" s="1"/>
  <c r="E16" i="6"/>
  <c r="F16" i="6" s="1"/>
  <c r="E37" i="10"/>
  <c r="F37" i="10" s="1"/>
  <c r="E43" i="10"/>
  <c r="F43" i="10" s="1"/>
  <c r="E42" i="10"/>
  <c r="F42" i="10" s="1"/>
  <c r="E41" i="10"/>
  <c r="F41" i="10" s="1"/>
  <c r="E17" i="10"/>
  <c r="F17" i="10" s="1"/>
  <c r="E36" i="10"/>
  <c r="F36" i="10" s="1"/>
  <c r="E29" i="10"/>
  <c r="F29" i="10" s="1"/>
  <c r="E26" i="10"/>
  <c r="F26" i="10" s="1"/>
  <c r="E24" i="10"/>
  <c r="F24" i="10" s="1"/>
  <c r="E18" i="10"/>
  <c r="F18" i="10" s="1"/>
  <c r="E10" i="10"/>
  <c r="F10" i="10" s="1"/>
  <c r="E34" i="10"/>
  <c r="F34" i="10" s="1"/>
  <c r="E27" i="10"/>
  <c r="F27" i="10" s="1"/>
  <c r="E25" i="10"/>
  <c r="F25" i="10" s="1"/>
  <c r="E19" i="10"/>
  <c r="F19" i="10" s="1"/>
  <c r="E8" i="10"/>
  <c r="F8" i="10" s="1"/>
  <c r="E60" i="17"/>
  <c r="F60" i="17" s="1"/>
  <c r="E50" i="21"/>
  <c r="F50" i="21" s="1"/>
  <c r="E16" i="28"/>
  <c r="F16" i="28" s="1"/>
  <c r="E12" i="28"/>
  <c r="F12" i="28" s="1"/>
  <c r="E35" i="103"/>
  <c r="F35" i="103" s="1"/>
  <c r="E22" i="103"/>
  <c r="F22" i="103" s="1"/>
  <c r="E17" i="103"/>
  <c r="F17" i="103" s="1"/>
  <c r="E35" i="1"/>
  <c r="F35" i="1" s="1"/>
  <c r="E27" i="1"/>
  <c r="F27" i="1" s="1"/>
  <c r="E28" i="1"/>
  <c r="F28" i="1" s="1"/>
  <c r="E22" i="1"/>
  <c r="F22" i="1" s="1"/>
  <c r="E18" i="1"/>
  <c r="F18" i="1" s="1"/>
  <c r="E12" i="1"/>
  <c r="F12" i="1" s="1"/>
  <c r="E9" i="1"/>
  <c r="F9" i="1" s="1"/>
  <c r="E33" i="1"/>
  <c r="F33" i="1" s="1"/>
  <c r="E30" i="1"/>
  <c r="F30" i="1" s="1"/>
  <c r="E19" i="1"/>
  <c r="F19" i="1" s="1"/>
  <c r="E17" i="1"/>
  <c r="F17" i="1" s="1"/>
  <c r="E8" i="1"/>
  <c r="F8" i="1" s="1"/>
  <c r="E13" i="31"/>
  <c r="F13" i="31" s="1"/>
  <c r="E20" i="31"/>
  <c r="F20" i="31" s="1"/>
  <c r="E7" i="31"/>
  <c r="E42" i="46"/>
  <c r="F42" i="46" s="1"/>
  <c r="E9" i="46"/>
  <c r="F9" i="46" s="1"/>
  <c r="E8" i="46"/>
  <c r="F8" i="46" s="1"/>
  <c r="E15" i="46"/>
  <c r="F15" i="46" s="1"/>
  <c r="E12" i="46"/>
  <c r="F12" i="46" s="1"/>
  <c r="E11" i="49"/>
  <c r="F11" i="49" s="1"/>
  <c r="E41" i="49"/>
  <c r="F41" i="49" s="1"/>
  <c r="E14" i="49"/>
  <c r="F14" i="49" s="1"/>
  <c r="E7" i="55"/>
  <c r="E70" i="55" s="1"/>
  <c r="F70" i="55" s="1"/>
  <c r="E50" i="57"/>
  <c r="F50" i="57" s="1"/>
  <c r="E15" i="75"/>
  <c r="F15" i="75" s="1"/>
  <c r="E17" i="75"/>
  <c r="F17" i="75" s="1"/>
  <c r="E18" i="90"/>
  <c r="F18" i="90" s="1"/>
  <c r="E27" i="90"/>
  <c r="F27" i="90" s="1"/>
  <c r="E24" i="90"/>
  <c r="F24" i="90" s="1"/>
  <c r="E11" i="90"/>
  <c r="F11" i="90" s="1"/>
  <c r="E17" i="91"/>
  <c r="F17" i="91" s="1"/>
  <c r="E7" i="91"/>
  <c r="E14" i="91" s="1"/>
  <c r="F14" i="91" s="1"/>
  <c r="E21" i="91"/>
  <c r="F21" i="91" s="1"/>
  <c r="E12" i="91"/>
  <c r="F12" i="91" s="1"/>
  <c r="E42" i="9"/>
  <c r="F42" i="9" s="1"/>
  <c r="E41" i="9"/>
  <c r="F41" i="9" s="1"/>
  <c r="E9" i="9"/>
  <c r="F9" i="9" s="1"/>
  <c r="E33" i="9"/>
  <c r="F33" i="9" s="1"/>
  <c r="E30" i="9"/>
  <c r="F30" i="9" s="1"/>
  <c r="E27" i="9"/>
  <c r="F27" i="9" s="1"/>
  <c r="E25" i="9"/>
  <c r="F25" i="9" s="1"/>
  <c r="E8" i="9"/>
  <c r="F8" i="9" s="1"/>
  <c r="E9" i="12"/>
  <c r="F9" i="12" s="1"/>
  <c r="E39" i="12"/>
  <c r="F39" i="12" s="1"/>
  <c r="E40" i="12"/>
  <c r="F40" i="12" s="1"/>
  <c r="E34" i="12"/>
  <c r="F34" i="12" s="1"/>
  <c r="E31" i="12"/>
  <c r="F31" i="12" s="1"/>
  <c r="E25" i="12"/>
  <c r="F25" i="12" s="1"/>
  <c r="E21" i="12"/>
  <c r="F21" i="12" s="1"/>
  <c r="E26" i="12"/>
  <c r="F26" i="12" s="1"/>
  <c r="E12" i="12"/>
  <c r="F12" i="12" s="1"/>
  <c r="E15" i="12"/>
  <c r="F15" i="12" s="1"/>
  <c r="E51" i="14"/>
  <c r="F51" i="14" s="1"/>
  <c r="E49" i="14"/>
  <c r="F49" i="14" s="1"/>
  <c r="E18" i="14"/>
  <c r="F18" i="14" s="1"/>
  <c r="E17" i="14"/>
  <c r="F17" i="14" s="1"/>
  <c r="E20" i="14"/>
  <c r="F20" i="14" s="1"/>
  <c r="E51" i="16"/>
  <c r="F51" i="16" s="1"/>
  <c r="E52" i="20"/>
  <c r="F52" i="20" s="1"/>
  <c r="E50" i="20"/>
  <c r="F50" i="20" s="1"/>
  <c r="E51" i="20"/>
  <c r="F51" i="20" s="1"/>
  <c r="E9" i="20"/>
  <c r="F9" i="20" s="1"/>
  <c r="E48" i="24"/>
  <c r="F48" i="24" s="1"/>
  <c r="E38" i="28"/>
  <c r="F38" i="28" s="1"/>
  <c r="E8" i="28"/>
  <c r="F8" i="28" s="1"/>
  <c r="E11" i="28"/>
  <c r="F11" i="28" s="1"/>
  <c r="E13" i="28"/>
  <c r="F13" i="28" s="1"/>
  <c r="E12" i="33"/>
  <c r="F12" i="33" s="1"/>
  <c r="E20" i="33"/>
  <c r="F20" i="33" s="1"/>
  <c r="E7" i="38"/>
  <c r="E39" i="40"/>
  <c r="F39" i="40" s="1"/>
  <c r="E9" i="40"/>
  <c r="F9" i="40" s="1"/>
  <c r="E10" i="40"/>
  <c r="F10" i="40" s="1"/>
  <c r="E54" i="53"/>
  <c r="F54" i="53" s="1"/>
  <c r="E58" i="53"/>
  <c r="F58" i="53" s="1"/>
  <c r="E19" i="53"/>
  <c r="F19" i="53" s="1"/>
  <c r="E15" i="55"/>
  <c r="F15" i="55" s="1"/>
  <c r="E8" i="60"/>
  <c r="F8" i="60" s="1"/>
  <c r="E41" i="60"/>
  <c r="F41" i="60" s="1"/>
  <c r="E8" i="63"/>
  <c r="F8" i="63" s="1"/>
  <c r="E41" i="63"/>
  <c r="F41" i="63" s="1"/>
  <c r="E47" i="73"/>
  <c r="F47" i="73" s="1"/>
  <c r="E12" i="95"/>
  <c r="F12" i="95" s="1"/>
  <c r="E34" i="95"/>
  <c r="F34" i="95" s="1"/>
  <c r="E35" i="95"/>
  <c r="F35" i="95" s="1"/>
  <c r="E33" i="95"/>
  <c r="F33" i="95" s="1"/>
  <c r="E8" i="95"/>
  <c r="F8" i="95" s="1"/>
  <c r="E18" i="95"/>
  <c r="F18" i="95" s="1"/>
  <c r="E17" i="95"/>
  <c r="F17" i="95" s="1"/>
  <c r="E27" i="95"/>
  <c r="F27" i="95" s="1"/>
  <c r="E16" i="95"/>
  <c r="F16" i="95" s="1"/>
  <c r="E11" i="95"/>
  <c r="F11" i="95" s="1"/>
  <c r="E25" i="95"/>
  <c r="F25" i="95" s="1"/>
  <c r="E37" i="98"/>
  <c r="F37" i="98" s="1"/>
  <c r="E8" i="98"/>
  <c r="F8" i="98" s="1"/>
  <c r="E20" i="98"/>
  <c r="F20" i="98" s="1"/>
  <c r="E19" i="98"/>
  <c r="F19" i="98" s="1"/>
  <c r="E11" i="105"/>
  <c r="F11" i="105" s="1"/>
  <c r="E37" i="105"/>
  <c r="F37" i="105" s="1"/>
  <c r="E19" i="105"/>
  <c r="F19" i="105" s="1"/>
  <c r="E8" i="105"/>
  <c r="F8" i="105" s="1"/>
  <c r="E31" i="107"/>
  <c r="F31" i="107" s="1"/>
  <c r="E35" i="107"/>
  <c r="F35" i="107" s="1"/>
  <c r="E22" i="110"/>
  <c r="F22" i="110" s="1"/>
  <c r="E33" i="110"/>
  <c r="F33" i="110" s="1"/>
  <c r="E18" i="110"/>
  <c r="F18" i="110" s="1"/>
  <c r="E13" i="110"/>
  <c r="F13" i="110" s="1"/>
  <c r="E16" i="110"/>
  <c r="F16" i="110" s="1"/>
  <c r="E14" i="113"/>
  <c r="F14" i="113" s="1"/>
  <c r="E22" i="113"/>
  <c r="F22" i="113" s="1"/>
  <c r="E42" i="33"/>
  <c r="F42" i="33" s="1"/>
  <c r="E42" i="45"/>
  <c r="F42" i="45" s="1"/>
  <c r="E41" i="12"/>
  <c r="F41" i="12" s="1"/>
  <c r="E34" i="5"/>
  <c r="F34" i="5" s="1"/>
  <c r="E39" i="5"/>
  <c r="F39" i="5" s="1"/>
  <c r="E38" i="5"/>
  <c r="F38" i="5" s="1"/>
  <c r="E39" i="15"/>
  <c r="F39" i="15" s="1"/>
  <c r="E43" i="15"/>
  <c r="F43" i="15" s="1"/>
  <c r="E50" i="22"/>
  <c r="F50" i="22" s="1"/>
  <c r="E43" i="29"/>
  <c r="F43" i="29" s="1"/>
  <c r="E57" i="32"/>
  <c r="F57" i="32" s="1"/>
  <c r="E56" i="32"/>
  <c r="F56" i="32" s="1"/>
  <c r="E55" i="32"/>
  <c r="F55" i="32" s="1"/>
  <c r="E53" i="35"/>
  <c r="F53" i="35" s="1"/>
  <c r="E53" i="37"/>
  <c r="F53" i="37" s="1"/>
  <c r="E11" i="39"/>
  <c r="F11" i="39" s="1"/>
  <c r="E42" i="39"/>
  <c r="F42" i="39" s="1"/>
  <c r="E44" i="42"/>
  <c r="F44" i="42" s="1"/>
  <c r="E43" i="42"/>
  <c r="F43" i="42" s="1"/>
  <c r="E60" i="69"/>
  <c r="F60" i="69" s="1"/>
  <c r="E45" i="89"/>
  <c r="F45" i="89" s="1"/>
  <c r="E56" i="90"/>
  <c r="F56" i="90" s="1"/>
  <c r="E37" i="96"/>
  <c r="F37" i="96" s="1"/>
  <c r="E39" i="96"/>
  <c r="F39" i="96" s="1"/>
  <c r="E38" i="96"/>
  <c r="F38" i="96" s="1"/>
  <c r="E33" i="99"/>
  <c r="F33" i="99" s="1"/>
  <c r="E22" i="99"/>
  <c r="F22" i="99" s="1"/>
  <c r="E11" i="99"/>
  <c r="F11" i="99" s="1"/>
  <c r="E20" i="99"/>
  <c r="F20" i="99" s="1"/>
  <c r="E28" i="111"/>
  <c r="F28" i="111" s="1"/>
  <c r="E9" i="111"/>
  <c r="F9" i="111" s="1"/>
  <c r="E17" i="111"/>
  <c r="F17" i="111" s="1"/>
  <c r="E9" i="112"/>
  <c r="F9" i="112" s="1"/>
  <c r="E23" i="112"/>
  <c r="F23" i="112" s="1"/>
  <c r="E42" i="47"/>
  <c r="F42" i="47" s="1"/>
  <c r="E37" i="13"/>
  <c r="F37" i="13" s="1"/>
  <c r="E41" i="50"/>
  <c r="F41" i="50" s="1"/>
  <c r="E40" i="5"/>
  <c r="F40" i="5" s="1"/>
  <c r="E42" i="50"/>
  <c r="F42" i="50" s="1"/>
  <c r="E29" i="115"/>
  <c r="F29" i="115" s="1"/>
  <c r="E37" i="19"/>
  <c r="F37" i="19" s="1"/>
  <c r="E41" i="19"/>
  <c r="F41" i="19" s="1"/>
  <c r="E32" i="89"/>
  <c r="F32" i="89" s="1"/>
  <c r="E13" i="57"/>
  <c r="F13" i="57" s="1"/>
  <c r="E37" i="57"/>
  <c r="F37" i="57" s="1"/>
  <c r="E15" i="22"/>
  <c r="F15" i="22" s="1"/>
  <c r="E13" i="22"/>
  <c r="F13" i="22" s="1"/>
  <c r="E29" i="22"/>
  <c r="F29" i="22" s="1"/>
  <c r="E35" i="22"/>
  <c r="F35" i="22" s="1"/>
  <c r="E42" i="22"/>
  <c r="F42" i="22" s="1"/>
  <c r="E27" i="19"/>
  <c r="F27" i="19" s="1"/>
  <c r="E11" i="19"/>
  <c r="F11" i="19" s="1"/>
  <c r="E8" i="19"/>
  <c r="F8" i="19" s="1"/>
  <c r="E45" i="19"/>
  <c r="F45" i="19" s="1"/>
  <c r="E42" i="19"/>
  <c r="F42" i="19" s="1"/>
  <c r="E43" i="19"/>
  <c r="F43" i="19" s="1"/>
  <c r="E31" i="19"/>
  <c r="F31" i="19" s="1"/>
  <c r="E15" i="19"/>
  <c r="F15" i="19" s="1"/>
  <c r="E26" i="19"/>
  <c r="F26" i="19" s="1"/>
  <c r="E32" i="19"/>
  <c r="F32" i="19" s="1"/>
  <c r="E34" i="19"/>
  <c r="F34" i="19" s="1"/>
  <c r="E47" i="19"/>
  <c r="F47" i="19" s="1"/>
  <c r="E54" i="19"/>
  <c r="F54" i="19" s="1"/>
  <c r="E46" i="21"/>
  <c r="F46" i="21" s="1"/>
  <c r="E36" i="38"/>
  <c r="F36" i="38" s="1"/>
  <c r="E28" i="38"/>
  <c r="F28" i="38" s="1"/>
  <c r="E16" i="22"/>
  <c r="F16" i="22" s="1"/>
  <c r="E26" i="22"/>
  <c r="F26" i="22" s="1"/>
  <c r="E33" i="22"/>
  <c r="F33" i="22" s="1"/>
  <c r="E38" i="19"/>
  <c r="F38" i="19" s="1"/>
  <c r="E19" i="19"/>
  <c r="F19" i="19" s="1"/>
  <c r="E22" i="19"/>
  <c r="F22" i="19" s="1"/>
  <c r="E24" i="19"/>
  <c r="F24" i="19" s="1"/>
  <c r="E36" i="19"/>
  <c r="F36" i="19" s="1"/>
  <c r="E35" i="19"/>
  <c r="F35" i="19" s="1"/>
  <c r="E46" i="56"/>
  <c r="F46" i="56" s="1"/>
  <c r="E38" i="6"/>
  <c r="F38" i="6" s="1"/>
  <c r="E39" i="6"/>
  <c r="F39" i="6" s="1"/>
  <c r="E37" i="6"/>
  <c r="F37" i="6" s="1"/>
  <c r="E39" i="8"/>
  <c r="F39" i="8" s="1"/>
  <c r="E40" i="8"/>
  <c r="F40" i="8" s="1"/>
  <c r="E38" i="8"/>
  <c r="F38" i="8" s="1"/>
  <c r="E40" i="9"/>
  <c r="F40" i="9" s="1"/>
  <c r="E38" i="9"/>
  <c r="F38" i="9" s="1"/>
  <c r="E39" i="9"/>
  <c r="F39" i="9" s="1"/>
  <c r="E49" i="20"/>
  <c r="F49" i="20" s="1"/>
  <c r="E47" i="20"/>
  <c r="F47" i="20" s="1"/>
  <c r="E48" i="20"/>
  <c r="F48" i="20" s="1"/>
  <c r="E47" i="24"/>
  <c r="F47" i="24" s="1"/>
  <c r="E45" i="24"/>
  <c r="F45" i="24" s="1"/>
  <c r="E46" i="24"/>
  <c r="F46" i="24" s="1"/>
  <c r="E53" i="32"/>
  <c r="F53" i="32" s="1"/>
  <c r="E51" i="32"/>
  <c r="F51" i="32" s="1"/>
  <c r="E52" i="32"/>
  <c r="F52" i="32" s="1"/>
  <c r="E40" i="46"/>
  <c r="F40" i="46" s="1"/>
  <c r="E41" i="46"/>
  <c r="F41" i="46" s="1"/>
  <c r="E39" i="46"/>
  <c r="F39" i="46" s="1"/>
  <c r="E40" i="48"/>
  <c r="F40" i="48" s="1"/>
  <c r="E41" i="48"/>
  <c r="F41" i="48" s="1"/>
  <c r="E39" i="48"/>
  <c r="F39" i="48" s="1"/>
  <c r="E39" i="52"/>
  <c r="F39" i="52" s="1"/>
  <c r="E40" i="52"/>
  <c r="F40" i="52" s="1"/>
  <c r="E38" i="52"/>
  <c r="F38" i="52" s="1"/>
  <c r="E39" i="58"/>
  <c r="F39" i="58" s="1"/>
  <c r="E40" i="58"/>
  <c r="F40" i="58" s="1"/>
  <c r="E38" i="58"/>
  <c r="F38" i="58" s="1"/>
  <c r="E39" i="62"/>
  <c r="F39" i="62" s="1"/>
  <c r="E40" i="62"/>
  <c r="F40" i="62" s="1"/>
  <c r="E38" i="62"/>
  <c r="F38" i="62" s="1"/>
  <c r="F22" i="66"/>
  <c r="F20" i="66"/>
  <c r="F21" i="66"/>
  <c r="E59" i="69"/>
  <c r="F59" i="69" s="1"/>
  <c r="E57" i="69"/>
  <c r="F57" i="69" s="1"/>
  <c r="E58" i="69"/>
  <c r="F58" i="69" s="1"/>
  <c r="E51" i="83"/>
  <c r="F51" i="83" s="1"/>
  <c r="E52" i="83"/>
  <c r="F52" i="83" s="1"/>
  <c r="E50" i="83"/>
  <c r="F50" i="83" s="1"/>
  <c r="E54" i="90"/>
  <c r="F54" i="90" s="1"/>
  <c r="E55" i="90"/>
  <c r="F55" i="90" s="1"/>
  <c r="E53" i="90"/>
  <c r="F53" i="90" s="1"/>
  <c r="E58" i="91"/>
  <c r="F58" i="91" s="1"/>
  <c r="E56" i="91"/>
  <c r="F56" i="91" s="1"/>
  <c r="E57" i="91"/>
  <c r="F57" i="91" s="1"/>
  <c r="E31" i="102"/>
  <c r="F31" i="102" s="1"/>
  <c r="E32" i="102"/>
  <c r="F32" i="102" s="1"/>
  <c r="E30" i="102"/>
  <c r="F30" i="102" s="1"/>
  <c r="E34" i="103"/>
  <c r="F34" i="103" s="1"/>
  <c r="E32" i="103"/>
  <c r="F32" i="103" s="1"/>
  <c r="E33" i="103"/>
  <c r="F33" i="103" s="1"/>
  <c r="E33" i="106"/>
  <c r="F33" i="106" s="1"/>
  <c r="E34" i="106"/>
  <c r="F34" i="106" s="1"/>
  <c r="E32" i="106"/>
  <c r="F32" i="106" s="1"/>
  <c r="E33" i="108"/>
  <c r="F33" i="108" s="1"/>
  <c r="E31" i="108"/>
  <c r="F31" i="108" s="1"/>
  <c r="E32" i="108"/>
  <c r="F32" i="108" s="1"/>
  <c r="E29" i="114"/>
  <c r="F29" i="114" s="1"/>
  <c r="E27" i="114"/>
  <c r="F27" i="114" s="1"/>
  <c r="E28" i="114"/>
  <c r="F28" i="114" s="1"/>
  <c r="E27" i="115"/>
  <c r="F27" i="115" s="1"/>
  <c r="E28" i="115"/>
  <c r="F28" i="115" s="1"/>
  <c r="E26" i="115"/>
  <c r="F26" i="115" s="1"/>
  <c r="E27" i="112"/>
  <c r="F27" i="112" s="1"/>
  <c r="E28" i="112"/>
  <c r="F28" i="112" s="1"/>
  <c r="E14" i="58"/>
  <c r="F14" i="58" s="1"/>
  <c r="E14" i="66"/>
  <c r="F14" i="66" s="1"/>
  <c r="E19" i="9"/>
  <c r="F19" i="9" s="1"/>
  <c r="E26" i="6"/>
  <c r="F26" i="6" s="1"/>
  <c r="E25" i="101"/>
  <c r="F25" i="101" s="1"/>
  <c r="E21" i="101"/>
  <c r="F21" i="101" s="1"/>
  <c r="E17" i="101"/>
  <c r="F17" i="101" s="1"/>
  <c r="E13" i="101"/>
  <c r="F13" i="101" s="1"/>
  <c r="E9" i="101"/>
  <c r="F9" i="101" s="1"/>
  <c r="E34" i="1"/>
  <c r="F34" i="1" s="1"/>
  <c r="E36" i="3"/>
  <c r="F36" i="3" s="1"/>
  <c r="E37" i="8"/>
  <c r="F37" i="8" s="1"/>
  <c r="E35" i="12"/>
  <c r="F35" i="12" s="1"/>
  <c r="E37" i="58"/>
  <c r="F37" i="58" s="1"/>
  <c r="E37" i="62"/>
  <c r="F37" i="62" s="1"/>
  <c r="E55" i="91"/>
  <c r="F55" i="91" s="1"/>
  <c r="E35" i="2"/>
  <c r="F35" i="2" s="1"/>
  <c r="E36" i="2"/>
  <c r="F36" i="2" s="1"/>
  <c r="E34" i="2"/>
  <c r="F34" i="2" s="1"/>
  <c r="E36" i="4"/>
  <c r="F36" i="4" s="1"/>
  <c r="E37" i="4"/>
  <c r="F37" i="4" s="1"/>
  <c r="E35" i="4"/>
  <c r="F35" i="4" s="1"/>
  <c r="E48" i="14"/>
  <c r="F48" i="14" s="1"/>
  <c r="E46" i="14"/>
  <c r="F46" i="14" s="1"/>
  <c r="E47" i="14"/>
  <c r="F47" i="14" s="1"/>
  <c r="E58" i="19"/>
  <c r="F58" i="19" s="1"/>
  <c r="E59" i="19"/>
  <c r="F59" i="19" s="1"/>
  <c r="E57" i="19"/>
  <c r="F57" i="19" s="1"/>
  <c r="E47" i="23"/>
  <c r="F47" i="23" s="1"/>
  <c r="E41" i="29"/>
  <c r="F41" i="29" s="1"/>
  <c r="E42" i="29"/>
  <c r="F42" i="29" s="1"/>
  <c r="E40" i="29"/>
  <c r="F40" i="29" s="1"/>
  <c r="E52" i="31"/>
  <c r="F52" i="31" s="1"/>
  <c r="E53" i="31"/>
  <c r="F53" i="31" s="1"/>
  <c r="E40" i="33"/>
  <c r="F40" i="33" s="1"/>
  <c r="E41" i="33"/>
  <c r="F41" i="33" s="1"/>
  <c r="E39" i="33"/>
  <c r="F39" i="33" s="1"/>
  <c r="E41" i="41"/>
  <c r="F41" i="41" s="1"/>
  <c r="E39" i="41"/>
  <c r="F39" i="41" s="1"/>
  <c r="E40" i="41"/>
  <c r="F40" i="41" s="1"/>
  <c r="E41" i="45"/>
  <c r="F41" i="45" s="1"/>
  <c r="E39" i="45"/>
  <c r="F39" i="45" s="1"/>
  <c r="E40" i="45"/>
  <c r="F40" i="45" s="1"/>
  <c r="E38" i="50"/>
  <c r="F38" i="50" s="1"/>
  <c r="E39" i="50"/>
  <c r="F39" i="50" s="1"/>
  <c r="E37" i="50"/>
  <c r="F37" i="50" s="1"/>
  <c r="E40" i="51"/>
  <c r="F40" i="51" s="1"/>
  <c r="E38" i="51"/>
  <c r="F38" i="51" s="1"/>
  <c r="E39" i="51"/>
  <c r="F39" i="51" s="1"/>
  <c r="E49" i="57"/>
  <c r="F49" i="57" s="1"/>
  <c r="E47" i="57"/>
  <c r="F47" i="57" s="1"/>
  <c r="E48" i="57"/>
  <c r="F48" i="57" s="1"/>
  <c r="E40" i="61"/>
  <c r="F40" i="61" s="1"/>
  <c r="E38" i="61"/>
  <c r="F38" i="61" s="1"/>
  <c r="E39" i="61"/>
  <c r="F39" i="61" s="1"/>
  <c r="F21" i="65"/>
  <c r="F22" i="65"/>
  <c r="F20" i="65"/>
  <c r="E58" i="68"/>
  <c r="F58" i="68" s="1"/>
  <c r="E59" i="68"/>
  <c r="F59" i="68" s="1"/>
  <c r="E57" i="68"/>
  <c r="F57" i="68" s="1"/>
  <c r="E41" i="71"/>
  <c r="F41" i="71" s="1"/>
  <c r="E42" i="71"/>
  <c r="F42" i="71" s="1"/>
  <c r="E40" i="71"/>
  <c r="F40" i="71" s="1"/>
  <c r="E45" i="73"/>
  <c r="F45" i="73" s="1"/>
  <c r="E46" i="73"/>
  <c r="F46" i="73" s="1"/>
  <c r="E44" i="73"/>
  <c r="F44" i="73" s="1"/>
  <c r="E46" i="80"/>
  <c r="F46" i="80" s="1"/>
  <c r="E44" i="80"/>
  <c r="F44" i="80" s="1"/>
  <c r="E45" i="80"/>
  <c r="F45" i="80" s="1"/>
  <c r="E57" i="88"/>
  <c r="F57" i="88" s="1"/>
  <c r="E55" i="88"/>
  <c r="F55" i="88" s="1"/>
  <c r="E56" i="88"/>
  <c r="F56" i="88" s="1"/>
  <c r="E44" i="89"/>
  <c r="F44" i="89" s="1"/>
  <c r="E42" i="89"/>
  <c r="F42" i="89" s="1"/>
  <c r="E43" i="89"/>
  <c r="F43" i="89" s="1"/>
  <c r="E35" i="96"/>
  <c r="F35" i="96" s="1"/>
  <c r="E36" i="96"/>
  <c r="F36" i="96" s="1"/>
  <c r="E34" i="96"/>
  <c r="F34" i="96" s="1"/>
  <c r="E36" i="98"/>
  <c r="F36" i="98" s="1"/>
  <c r="E34" i="98"/>
  <c r="F34" i="98" s="1"/>
  <c r="E35" i="98"/>
  <c r="F35" i="98" s="1"/>
  <c r="E33" i="107"/>
  <c r="F33" i="107" s="1"/>
  <c r="E34" i="107"/>
  <c r="F34" i="107" s="1"/>
  <c r="E32" i="107"/>
  <c r="F32" i="107" s="1"/>
  <c r="E32" i="109"/>
  <c r="F32" i="109" s="1"/>
  <c r="E30" i="109"/>
  <c r="F30" i="109" s="1"/>
  <c r="E31" i="109"/>
  <c r="F31" i="109" s="1"/>
  <c r="E13" i="35"/>
  <c r="F13" i="35" s="1"/>
  <c r="E44" i="87"/>
  <c r="F44" i="87" s="1"/>
  <c r="E12" i="73"/>
  <c r="F12" i="73" s="1"/>
  <c r="E17" i="23"/>
  <c r="F17" i="23" s="1"/>
  <c r="E10" i="80"/>
  <c r="F10" i="80" s="1"/>
  <c r="E27" i="80"/>
  <c r="F27" i="80" s="1"/>
  <c r="E16" i="91"/>
  <c r="F16" i="91" s="1"/>
  <c r="E17" i="90"/>
  <c r="F17" i="90" s="1"/>
  <c r="E8" i="90"/>
  <c r="F8" i="90" s="1"/>
  <c r="E24" i="91"/>
  <c r="F24" i="91" s="1"/>
  <c r="E19" i="90"/>
  <c r="F19" i="90" s="1"/>
  <c r="E21" i="90"/>
  <c r="F21" i="90" s="1"/>
  <c r="E17" i="53"/>
  <c r="F17" i="53" s="1"/>
  <c r="E22" i="91"/>
  <c r="F22" i="91" s="1"/>
  <c r="E10" i="90"/>
  <c r="F10" i="90" s="1"/>
  <c r="E23" i="91"/>
  <c r="F23" i="91" s="1"/>
  <c r="E15" i="91"/>
  <c r="F15" i="91" s="1"/>
  <c r="E23" i="90"/>
  <c r="F23" i="90" s="1"/>
  <c r="E9" i="90"/>
  <c r="F9" i="90" s="1"/>
  <c r="E20" i="53"/>
  <c r="F20" i="53" s="1"/>
  <c r="E20" i="20"/>
  <c r="F20" i="20" s="1"/>
  <c r="E11" i="14"/>
  <c r="F11" i="14" s="1"/>
  <c r="E14" i="6"/>
  <c r="F14" i="6" s="1"/>
  <c r="E18" i="9"/>
  <c r="F18" i="9" s="1"/>
  <c r="E13" i="6"/>
  <c r="F13" i="6" s="1"/>
  <c r="E10" i="3"/>
  <c r="F10" i="3" s="1"/>
  <c r="E13" i="5"/>
  <c r="F13" i="5" s="1"/>
  <c r="E17" i="8"/>
  <c r="F17" i="8" s="1"/>
  <c r="E13" i="10"/>
  <c r="F13" i="10" s="1"/>
  <c r="E7" i="16"/>
  <c r="E68" i="16" s="1"/>
  <c r="F68" i="16" s="1"/>
  <c r="E7" i="27"/>
  <c r="E45" i="27" s="1"/>
  <c r="F45" i="27" s="1"/>
  <c r="E14" i="41"/>
  <c r="F14" i="41" s="1"/>
  <c r="E13" i="48"/>
  <c r="F13" i="48" s="1"/>
  <c r="E7" i="54"/>
  <c r="E12" i="58"/>
  <c r="F12" i="58" s="1"/>
  <c r="E12" i="66"/>
  <c r="F12" i="66" s="1"/>
  <c r="E7" i="77"/>
  <c r="E63" i="77" s="1"/>
  <c r="F63" i="77" s="1"/>
  <c r="E36" i="90"/>
  <c r="F36" i="90" s="1"/>
  <c r="E23" i="95"/>
  <c r="F23" i="95" s="1"/>
  <c r="E15" i="95"/>
  <c r="F15" i="95" s="1"/>
  <c r="E26" i="95"/>
  <c r="F26" i="95" s="1"/>
  <c r="E24" i="95"/>
  <c r="F24" i="95" s="1"/>
  <c r="E16" i="99"/>
  <c r="F16" i="99" s="1"/>
  <c r="E15" i="99"/>
  <c r="F15" i="99" s="1"/>
  <c r="E19" i="102"/>
  <c r="F19" i="102" s="1"/>
  <c r="E18" i="103"/>
  <c r="F18" i="103" s="1"/>
  <c r="E13" i="103"/>
  <c r="F13" i="103" s="1"/>
  <c r="E29" i="103"/>
  <c r="F29" i="103" s="1"/>
  <c r="E25" i="106"/>
  <c r="F25" i="106" s="1"/>
  <c r="E9" i="106"/>
  <c r="F9" i="106" s="1"/>
  <c r="E12" i="106"/>
  <c r="F12" i="106" s="1"/>
  <c r="E30" i="106"/>
  <c r="F30" i="106" s="1"/>
  <c r="E27" i="108"/>
  <c r="F27" i="108" s="1"/>
  <c r="E19" i="108"/>
  <c r="F19" i="108" s="1"/>
  <c r="E11" i="108"/>
  <c r="F11" i="108" s="1"/>
  <c r="E22" i="108"/>
  <c r="F22" i="108" s="1"/>
  <c r="E14" i="108"/>
  <c r="F14" i="108" s="1"/>
  <c r="E17" i="110"/>
  <c r="F17" i="110" s="1"/>
  <c r="E13" i="112"/>
  <c r="F13" i="112" s="1"/>
  <c r="E14" i="112"/>
  <c r="F14" i="112" s="1"/>
  <c r="E14" i="114"/>
  <c r="F14" i="114" s="1"/>
  <c r="E15" i="114"/>
  <c r="F15" i="114" s="1"/>
  <c r="E20" i="114"/>
  <c r="F20" i="114" s="1"/>
  <c r="E19" i="109"/>
  <c r="F19" i="109" s="1"/>
  <c r="E15" i="115"/>
  <c r="F15" i="115" s="1"/>
  <c r="E10" i="115"/>
  <c r="F10" i="115" s="1"/>
  <c r="E22" i="114"/>
  <c r="F22" i="114" s="1"/>
  <c r="E26" i="101"/>
  <c r="F26" i="101" s="1"/>
  <c r="E22" i="101"/>
  <c r="F22" i="101" s="1"/>
  <c r="E18" i="101"/>
  <c r="F18" i="101" s="1"/>
  <c r="E14" i="101"/>
  <c r="F14" i="101" s="1"/>
  <c r="E32" i="93"/>
  <c r="F32" i="93" s="1"/>
  <c r="E36" i="6"/>
  <c r="F36" i="6" s="1"/>
  <c r="E46" i="20"/>
  <c r="F46" i="20" s="1"/>
  <c r="E44" i="24"/>
  <c r="F44" i="24" s="1"/>
  <c r="E26" i="114"/>
  <c r="F26" i="114" s="1"/>
  <c r="E37" i="51"/>
  <c r="F37" i="51" s="1"/>
  <c r="E37" i="61"/>
  <c r="F37" i="61" s="1"/>
  <c r="E43" i="73"/>
  <c r="F43" i="73" s="1"/>
  <c r="E31" i="106"/>
  <c r="F31" i="106" s="1"/>
  <c r="E38" i="7"/>
  <c r="F38" i="7" s="1"/>
  <c r="E37" i="12"/>
  <c r="F37" i="12" s="1"/>
  <c r="E38" i="12"/>
  <c r="F38" i="12" s="1"/>
  <c r="E36" i="12"/>
  <c r="F36" i="12" s="1"/>
  <c r="E59" i="18"/>
  <c r="F59" i="18" s="1"/>
  <c r="E57" i="18"/>
  <c r="F57" i="18" s="1"/>
  <c r="E58" i="18"/>
  <c r="F58" i="18" s="1"/>
  <c r="E49" i="22"/>
  <c r="F49" i="22" s="1"/>
  <c r="E47" i="22"/>
  <c r="F47" i="22" s="1"/>
  <c r="E48" i="22"/>
  <c r="F48" i="22" s="1"/>
  <c r="E52" i="35"/>
  <c r="F52" i="35" s="1"/>
  <c r="E50" i="35"/>
  <c r="F50" i="35" s="1"/>
  <c r="E51" i="35"/>
  <c r="F51" i="35" s="1"/>
  <c r="E51" i="36"/>
  <c r="F51" i="36" s="1"/>
  <c r="E52" i="37"/>
  <c r="F52" i="37" s="1"/>
  <c r="E50" i="37"/>
  <c r="F50" i="37" s="1"/>
  <c r="E51" i="37"/>
  <c r="F51" i="37" s="1"/>
  <c r="E41" i="39"/>
  <c r="F41" i="39" s="1"/>
  <c r="E39" i="39"/>
  <c r="F39" i="39" s="1"/>
  <c r="E40" i="39"/>
  <c r="F40" i="39" s="1"/>
  <c r="E40" i="44"/>
  <c r="F40" i="44" s="1"/>
  <c r="E41" i="44"/>
  <c r="F41" i="44" s="1"/>
  <c r="E39" i="44"/>
  <c r="F39" i="44" s="1"/>
  <c r="E41" i="47"/>
  <c r="F41" i="47" s="1"/>
  <c r="E39" i="47"/>
  <c r="F39" i="47" s="1"/>
  <c r="E40" i="47"/>
  <c r="F40" i="47" s="1"/>
  <c r="E40" i="49"/>
  <c r="F40" i="49" s="1"/>
  <c r="E38" i="49"/>
  <c r="F38" i="49" s="1"/>
  <c r="E39" i="49"/>
  <c r="F39" i="49" s="1"/>
  <c r="E57" i="53"/>
  <c r="F57" i="53" s="1"/>
  <c r="E55" i="53"/>
  <c r="F55" i="53" s="1"/>
  <c r="E56" i="53"/>
  <c r="F56" i="53" s="1"/>
  <c r="E55" i="55"/>
  <c r="F55" i="55" s="1"/>
  <c r="E56" i="55"/>
  <c r="F56" i="55" s="1"/>
  <c r="E39" i="60"/>
  <c r="F39" i="60" s="1"/>
  <c r="E40" i="60"/>
  <c r="F40" i="60" s="1"/>
  <c r="E38" i="60"/>
  <c r="F38" i="60" s="1"/>
  <c r="E40" i="63"/>
  <c r="F40" i="63" s="1"/>
  <c r="E38" i="63"/>
  <c r="F38" i="63" s="1"/>
  <c r="E39" i="63"/>
  <c r="F39" i="63" s="1"/>
  <c r="E39" i="75"/>
  <c r="F39" i="75" s="1"/>
  <c r="E40" i="75"/>
  <c r="F40" i="75" s="1"/>
  <c r="E38" i="75"/>
  <c r="F38" i="75" s="1"/>
  <c r="E47" i="79"/>
  <c r="F47" i="79" s="1"/>
  <c r="E48" i="79"/>
  <c r="F48" i="79" s="1"/>
  <c r="E46" i="79"/>
  <c r="F46" i="79" s="1"/>
  <c r="E35" i="92"/>
  <c r="F35" i="92" s="1"/>
  <c r="E33" i="92"/>
  <c r="F33" i="92" s="1"/>
  <c r="E34" i="92"/>
  <c r="F34" i="92" s="1"/>
  <c r="E32" i="95"/>
  <c r="F32" i="95" s="1"/>
  <c r="E30" i="95"/>
  <c r="F30" i="95" s="1"/>
  <c r="E31" i="95"/>
  <c r="F31" i="95" s="1"/>
  <c r="E30" i="100"/>
  <c r="F30" i="100" s="1"/>
  <c r="E31" i="100"/>
  <c r="F31" i="100" s="1"/>
  <c r="E29" i="100"/>
  <c r="F29" i="100" s="1"/>
  <c r="E32" i="101"/>
  <c r="F32" i="101" s="1"/>
  <c r="E30" i="101"/>
  <c r="F30" i="101" s="1"/>
  <c r="E31" i="101"/>
  <c r="F31" i="101" s="1"/>
  <c r="E35" i="105"/>
  <c r="F35" i="105" s="1"/>
  <c r="E36" i="105"/>
  <c r="F36" i="105" s="1"/>
  <c r="E34" i="105"/>
  <c r="F34" i="105" s="1"/>
  <c r="E41" i="43"/>
  <c r="F41" i="43" s="1"/>
  <c r="E39" i="43"/>
  <c r="F39" i="43" s="1"/>
  <c r="E40" i="43"/>
  <c r="F40" i="43" s="1"/>
  <c r="E31" i="113"/>
  <c r="F31" i="113" s="1"/>
  <c r="E32" i="113"/>
  <c r="F32" i="113" s="1"/>
  <c r="E30" i="113"/>
  <c r="F30" i="113" s="1"/>
  <c r="E31" i="86"/>
  <c r="F31" i="86" s="1"/>
  <c r="E21" i="73"/>
  <c r="F21" i="73" s="1"/>
  <c r="E15" i="6"/>
  <c r="F15" i="6" s="1"/>
  <c r="E13" i="8"/>
  <c r="F13" i="8" s="1"/>
  <c r="E7" i="25"/>
  <c r="E70" i="25" s="1"/>
  <c r="F70" i="25" s="1"/>
  <c r="E14" i="47"/>
  <c r="F14" i="47" s="1"/>
  <c r="E8" i="54"/>
  <c r="F8" i="54" s="1"/>
  <c r="E47" i="56"/>
  <c r="F47" i="56" s="1"/>
  <c r="E10" i="58"/>
  <c r="F10" i="58" s="1"/>
  <c r="E14" i="60"/>
  <c r="F14" i="60" s="1"/>
  <c r="E10" i="66"/>
  <c r="F10" i="66" s="1"/>
  <c r="E7" i="78"/>
  <c r="E62" i="78" s="1"/>
  <c r="F62" i="78" s="1"/>
  <c r="E38" i="88"/>
  <c r="F38" i="88" s="1"/>
  <c r="E12" i="88"/>
  <c r="F12" i="88" s="1"/>
  <c r="E14" i="103"/>
  <c r="F14" i="103" s="1"/>
  <c r="E9" i="103"/>
  <c r="F9" i="103" s="1"/>
  <c r="E25" i="103"/>
  <c r="F25" i="103" s="1"/>
  <c r="E13" i="106"/>
  <c r="F13" i="106" s="1"/>
  <c r="E16" i="106"/>
  <c r="F16" i="106" s="1"/>
  <c r="E21" i="108"/>
  <c r="F21" i="108" s="1"/>
  <c r="E13" i="108"/>
  <c r="F13" i="108" s="1"/>
  <c r="E24" i="108"/>
  <c r="F24" i="108" s="1"/>
  <c r="E16" i="108"/>
  <c r="F16" i="108" s="1"/>
  <c r="E8" i="108"/>
  <c r="F8" i="108" s="1"/>
  <c r="E22" i="58"/>
  <c r="F22" i="58" s="1"/>
  <c r="E17" i="112"/>
  <c r="F17" i="112" s="1"/>
  <c r="E18" i="112"/>
  <c r="F18" i="112" s="1"/>
  <c r="E18" i="114"/>
  <c r="F18" i="114" s="1"/>
  <c r="E17" i="114"/>
  <c r="F17" i="114" s="1"/>
  <c r="E14" i="115"/>
  <c r="F14" i="115" s="1"/>
  <c r="E12" i="115"/>
  <c r="F12" i="115" s="1"/>
  <c r="E27" i="101"/>
  <c r="F27" i="101" s="1"/>
  <c r="E23" i="101"/>
  <c r="F23" i="101" s="1"/>
  <c r="E19" i="101"/>
  <c r="F19" i="101" s="1"/>
  <c r="E15" i="101"/>
  <c r="F15" i="101" s="1"/>
  <c r="E11" i="101"/>
  <c r="F11" i="101" s="1"/>
  <c r="E32" i="92"/>
  <c r="F32" i="92" s="1"/>
  <c r="E29" i="109"/>
  <c r="F29" i="109" s="1"/>
  <c r="E45" i="14"/>
  <c r="F45" i="14" s="1"/>
  <c r="E56" i="19"/>
  <c r="F56" i="19" s="1"/>
  <c r="E44" i="23"/>
  <c r="F44" i="23" s="1"/>
  <c r="E38" i="48"/>
  <c r="F38" i="48" s="1"/>
  <c r="E36" i="50"/>
  <c r="F36" i="50" s="1"/>
  <c r="E54" i="55"/>
  <c r="F54" i="55" s="1"/>
  <c r="E37" i="60"/>
  <c r="F37" i="60" s="1"/>
  <c r="E39" i="71"/>
  <c r="F39" i="71" s="1"/>
  <c r="E37" i="75"/>
  <c r="F37" i="75" s="1"/>
  <c r="E43" i="80"/>
  <c r="F43" i="80" s="1"/>
  <c r="E27" i="111"/>
  <c r="F27" i="111" s="1"/>
  <c r="E39" i="3"/>
  <c r="F39" i="3" s="1"/>
  <c r="E37" i="3"/>
  <c r="F37" i="3" s="1"/>
  <c r="E38" i="3"/>
  <c r="F38" i="3" s="1"/>
  <c r="E37" i="5"/>
  <c r="F37" i="5" s="1"/>
  <c r="E35" i="5"/>
  <c r="F35" i="5" s="1"/>
  <c r="E36" i="5"/>
  <c r="F36" i="5" s="1"/>
  <c r="E39" i="10"/>
  <c r="F39" i="10" s="1"/>
  <c r="E40" i="10"/>
  <c r="F40" i="10" s="1"/>
  <c r="E38" i="10"/>
  <c r="F38" i="10" s="1"/>
  <c r="E38" i="11"/>
  <c r="F38" i="11" s="1"/>
  <c r="E36" i="11"/>
  <c r="F36" i="11" s="1"/>
  <c r="E37" i="11"/>
  <c r="F37" i="11" s="1"/>
  <c r="E35" i="13"/>
  <c r="F35" i="13" s="1"/>
  <c r="E36" i="13"/>
  <c r="F36" i="13" s="1"/>
  <c r="E34" i="13"/>
  <c r="F34" i="13" s="1"/>
  <c r="E41" i="15"/>
  <c r="F41" i="15" s="1"/>
  <c r="E42" i="15"/>
  <c r="F42" i="15" s="1"/>
  <c r="E40" i="15"/>
  <c r="F40" i="15" s="1"/>
  <c r="E58" i="17"/>
  <c r="F58" i="17" s="1"/>
  <c r="E59" i="17"/>
  <c r="F59" i="17" s="1"/>
  <c r="E57" i="17"/>
  <c r="F57" i="17" s="1"/>
  <c r="E48" i="21"/>
  <c r="F48" i="21" s="1"/>
  <c r="E49" i="21"/>
  <c r="F49" i="21" s="1"/>
  <c r="E47" i="21"/>
  <c r="F47" i="21" s="1"/>
  <c r="E31" i="26"/>
  <c r="F31" i="26" s="1"/>
  <c r="E29" i="26"/>
  <c r="F29" i="26" s="1"/>
  <c r="E30" i="26"/>
  <c r="F30" i="26" s="1"/>
  <c r="E37" i="28"/>
  <c r="F37" i="28" s="1"/>
  <c r="E35" i="28"/>
  <c r="F35" i="28" s="1"/>
  <c r="E36" i="28"/>
  <c r="F36" i="28" s="1"/>
  <c r="E40" i="42"/>
  <c r="F40" i="42" s="1"/>
  <c r="E41" i="42"/>
  <c r="F41" i="42" s="1"/>
  <c r="E39" i="42"/>
  <c r="F39" i="42" s="1"/>
  <c r="E40" i="59"/>
  <c r="F40" i="59" s="1"/>
  <c r="E38" i="59"/>
  <c r="F38" i="59" s="1"/>
  <c r="E39" i="59"/>
  <c r="F39" i="59" s="1"/>
  <c r="E58" i="70"/>
  <c r="F58" i="70" s="1"/>
  <c r="E59" i="70"/>
  <c r="F59" i="70" s="1"/>
  <c r="E57" i="70"/>
  <c r="F57" i="70" s="1"/>
  <c r="E56" i="86"/>
  <c r="F56" i="86" s="1"/>
  <c r="E55" i="87"/>
  <c r="F55" i="87" s="1"/>
  <c r="E56" i="87"/>
  <c r="F56" i="87" s="1"/>
  <c r="E54" i="87"/>
  <c r="F54" i="87" s="1"/>
  <c r="E32" i="94"/>
  <c r="F32" i="94" s="1"/>
  <c r="E33" i="94"/>
  <c r="F33" i="94" s="1"/>
  <c r="E31" i="94"/>
  <c r="F31" i="94" s="1"/>
  <c r="E36" i="97"/>
  <c r="F36" i="97" s="1"/>
  <c r="E34" i="97"/>
  <c r="F34" i="97" s="1"/>
  <c r="E35" i="97"/>
  <c r="F35" i="97" s="1"/>
  <c r="E35" i="99"/>
  <c r="F35" i="99" s="1"/>
  <c r="E36" i="99"/>
  <c r="F36" i="99" s="1"/>
  <c r="E34" i="99"/>
  <c r="F34" i="99" s="1"/>
  <c r="E35" i="104"/>
  <c r="F35" i="104" s="1"/>
  <c r="E36" i="104"/>
  <c r="F36" i="104" s="1"/>
  <c r="E34" i="104"/>
  <c r="F34" i="104" s="1"/>
  <c r="E32" i="110"/>
  <c r="F32" i="110" s="1"/>
  <c r="E30" i="110"/>
  <c r="F30" i="110" s="1"/>
  <c r="E31" i="110"/>
  <c r="F31" i="110" s="1"/>
  <c r="E8" i="73"/>
  <c r="F8" i="73" s="1"/>
  <c r="E8" i="80"/>
  <c r="F8" i="80" s="1"/>
  <c r="E26" i="91"/>
  <c r="F26" i="91" s="1"/>
  <c r="E12" i="90"/>
  <c r="F12" i="90" s="1"/>
  <c r="E26" i="90"/>
  <c r="F26" i="90" s="1"/>
  <c r="E24" i="53"/>
  <c r="F24" i="53" s="1"/>
  <c r="E20" i="91"/>
  <c r="F20" i="91" s="1"/>
  <c r="E28" i="91"/>
  <c r="F28" i="91" s="1"/>
  <c r="E27" i="91"/>
  <c r="F27" i="91" s="1"/>
  <c r="E19" i="91"/>
  <c r="F19" i="91" s="1"/>
  <c r="E11" i="91"/>
  <c r="F11" i="91" s="1"/>
  <c r="E10" i="91"/>
  <c r="F10" i="91" s="1"/>
  <c r="E19" i="14"/>
  <c r="F19" i="14" s="1"/>
  <c r="E13" i="9"/>
  <c r="F13" i="9" s="1"/>
  <c r="E10" i="6"/>
  <c r="F10" i="6" s="1"/>
  <c r="E12" i="16"/>
  <c r="F12" i="16" s="1"/>
  <c r="E10" i="9"/>
  <c r="F10" i="9" s="1"/>
  <c r="E17" i="6"/>
  <c r="F17" i="6" s="1"/>
  <c r="E9" i="6"/>
  <c r="F9" i="6" s="1"/>
  <c r="E11" i="1"/>
  <c r="F11" i="1" s="1"/>
  <c r="E14" i="3"/>
  <c r="F14" i="3" s="1"/>
  <c r="E9" i="8"/>
  <c r="F9" i="8" s="1"/>
  <c r="E26" i="25"/>
  <c r="F26" i="25" s="1"/>
  <c r="E7" i="34"/>
  <c r="E50" i="34" s="1"/>
  <c r="F50" i="34" s="1"/>
  <c r="E10" i="41"/>
  <c r="F10" i="41" s="1"/>
  <c r="E18" i="47"/>
  <c r="F18" i="47" s="1"/>
  <c r="E12" i="47"/>
  <c r="F12" i="47" s="1"/>
  <c r="E11" i="48"/>
  <c r="F11" i="48" s="1"/>
  <c r="E13" i="52"/>
  <c r="F13" i="52" s="1"/>
  <c r="E8" i="58"/>
  <c r="F8" i="58" s="1"/>
  <c r="E12" i="60"/>
  <c r="F12" i="60" s="1"/>
  <c r="E17" i="63"/>
  <c r="F17" i="63" s="1"/>
  <c r="E7" i="64"/>
  <c r="E78" i="64" s="1"/>
  <c r="F78" i="64" s="1"/>
  <c r="E8" i="66"/>
  <c r="F8" i="66" s="1"/>
  <c r="E16" i="66"/>
  <c r="F16" i="66" s="1"/>
  <c r="E7" i="74"/>
  <c r="E66" i="74" s="1"/>
  <c r="F66" i="74" s="1"/>
  <c r="E7" i="81"/>
  <c r="E69" i="81" s="1"/>
  <c r="F69" i="81" s="1"/>
  <c r="E7" i="82"/>
  <c r="E71" i="82" s="1"/>
  <c r="F71" i="82" s="1"/>
  <c r="E29" i="88"/>
  <c r="F29" i="88" s="1"/>
  <c r="E9" i="92"/>
  <c r="F9" i="92" s="1"/>
  <c r="E15" i="92"/>
  <c r="F15" i="92" s="1"/>
  <c r="E8" i="101"/>
  <c r="F8" i="101" s="1"/>
  <c r="E10" i="103"/>
  <c r="F10" i="103" s="1"/>
  <c r="E26" i="103"/>
  <c r="F26" i="103" s="1"/>
  <c r="E21" i="103"/>
  <c r="F21" i="103" s="1"/>
  <c r="E27" i="105"/>
  <c r="F27" i="105" s="1"/>
  <c r="E20" i="105"/>
  <c r="F20" i="105" s="1"/>
  <c r="E17" i="106"/>
  <c r="F17" i="106" s="1"/>
  <c r="E20" i="106"/>
  <c r="F20" i="106" s="1"/>
  <c r="E27" i="43"/>
  <c r="F27" i="43" s="1"/>
  <c r="E23" i="108"/>
  <c r="F23" i="108" s="1"/>
  <c r="E15" i="108"/>
  <c r="F15" i="108" s="1"/>
  <c r="E26" i="108"/>
  <c r="F26" i="108" s="1"/>
  <c r="E18" i="108"/>
  <c r="F18" i="108" s="1"/>
  <c r="E10" i="108"/>
  <c r="F10" i="108" s="1"/>
  <c r="E33" i="37"/>
  <c r="F33" i="37" s="1"/>
  <c r="E8" i="111"/>
  <c r="F8" i="111" s="1"/>
  <c r="E21" i="112"/>
  <c r="F21" i="112" s="1"/>
  <c r="E22" i="112"/>
  <c r="F22" i="112" s="1"/>
  <c r="E23" i="113"/>
  <c r="F23" i="113" s="1"/>
  <c r="E12" i="113"/>
  <c r="F12" i="113" s="1"/>
  <c r="E19" i="114"/>
  <c r="F19" i="114" s="1"/>
  <c r="E18" i="113"/>
  <c r="F18" i="113" s="1"/>
  <c r="E25" i="3"/>
  <c r="F25" i="3" s="1"/>
  <c r="E18" i="115"/>
  <c r="F18" i="115" s="1"/>
  <c r="E21" i="110"/>
  <c r="F21" i="110" s="1"/>
  <c r="E28" i="101"/>
  <c r="F28" i="101" s="1"/>
  <c r="E24" i="101"/>
  <c r="F24" i="101" s="1"/>
  <c r="E20" i="101"/>
  <c r="F20" i="101" s="1"/>
  <c r="E16" i="101"/>
  <c r="F16" i="101" s="1"/>
  <c r="E12" i="101"/>
  <c r="F12" i="101" s="1"/>
  <c r="E29" i="101"/>
  <c r="F29" i="101" s="1"/>
  <c r="E33" i="2"/>
  <c r="F33" i="2" s="1"/>
  <c r="E34" i="4"/>
  <c r="F34" i="4" s="1"/>
  <c r="E37" i="9"/>
  <c r="F37" i="9" s="1"/>
  <c r="E33" i="13"/>
  <c r="F33" i="13" s="1"/>
  <c r="E56" i="18"/>
  <c r="F56" i="18" s="1"/>
  <c r="E46" i="22"/>
  <c r="F46" i="22" s="1"/>
  <c r="E30" i="108"/>
  <c r="F30" i="108" s="1"/>
  <c r="E37" i="49"/>
  <c r="F37" i="49" s="1"/>
  <c r="E54" i="54"/>
  <c r="F54" i="54" s="1"/>
  <c r="E37" i="59"/>
  <c r="F37" i="59" s="1"/>
  <c r="E37" i="63"/>
  <c r="F37" i="63" s="1"/>
  <c r="E33" i="97"/>
  <c r="F33" i="97" s="1"/>
  <c r="E45" i="79"/>
  <c r="F45" i="79" s="1"/>
  <c r="E49" i="83"/>
  <c r="F49" i="83" s="1"/>
  <c r="E26" i="112"/>
  <c r="F26" i="112" s="1"/>
  <c r="E31" i="84" l="1"/>
  <c r="F31" i="84" s="1"/>
  <c r="E79" i="84"/>
  <c r="F79" i="84" s="1"/>
  <c r="E66" i="84"/>
  <c r="F66" i="84" s="1"/>
  <c r="E70" i="84"/>
  <c r="F70" i="84" s="1"/>
  <c r="E74" i="84"/>
  <c r="F74" i="84" s="1"/>
  <c r="E72" i="84"/>
  <c r="F72" i="84" s="1"/>
  <c r="E62" i="84"/>
  <c r="F62" i="84" s="1"/>
  <c r="E78" i="84"/>
  <c r="F78" i="84" s="1"/>
  <c r="E67" i="84"/>
  <c r="F67" i="84" s="1"/>
  <c r="E61" i="84"/>
  <c r="F61" i="84" s="1"/>
  <c r="E77" i="84"/>
  <c r="F77" i="84" s="1"/>
  <c r="E63" i="84"/>
  <c r="F63" i="84" s="1"/>
  <c r="E59" i="84"/>
  <c r="F59" i="84" s="1"/>
  <c r="E71" i="84"/>
  <c r="F71" i="84" s="1"/>
  <c r="E64" i="84"/>
  <c r="F64" i="84" s="1"/>
  <c r="E49" i="76"/>
  <c r="F49" i="76" s="1"/>
  <c r="E45" i="76"/>
  <c r="F45" i="76" s="1"/>
  <c r="E40" i="72"/>
  <c r="F40" i="72" s="1"/>
  <c r="E16" i="38"/>
  <c r="F16" i="38" s="1"/>
  <c r="E70" i="38"/>
  <c r="F70" i="38" s="1"/>
  <c r="E74" i="38"/>
  <c r="F74" i="38" s="1"/>
  <c r="E56" i="38"/>
  <c r="F56" i="38" s="1"/>
  <c r="E61" i="38"/>
  <c r="F61" i="38" s="1"/>
  <c r="E73" i="38"/>
  <c r="F73" i="38" s="1"/>
  <c r="E66" i="38"/>
  <c r="F66" i="38" s="1"/>
  <c r="E58" i="38"/>
  <c r="F58" i="38" s="1"/>
  <c r="E59" i="38"/>
  <c r="F59" i="38" s="1"/>
  <c r="E71" i="38"/>
  <c r="F71" i="38" s="1"/>
  <c r="E63" i="38"/>
  <c r="F63" i="38" s="1"/>
  <c r="E69" i="38"/>
  <c r="F69" i="38" s="1"/>
  <c r="E62" i="38"/>
  <c r="F62" i="38" s="1"/>
  <c r="E68" i="38"/>
  <c r="F68" i="38" s="1"/>
  <c r="E60" i="38"/>
  <c r="F60" i="38" s="1"/>
  <c r="E64" i="38"/>
  <c r="F64" i="38" s="1"/>
  <c r="E55" i="38"/>
  <c r="F55" i="38" s="1"/>
  <c r="E55" i="86"/>
  <c r="F55" i="86" s="1"/>
  <c r="E56" i="54"/>
  <c r="F56" i="54" s="1"/>
  <c r="E69" i="54"/>
  <c r="F69" i="54" s="1"/>
  <c r="E72" i="54"/>
  <c r="F72" i="54" s="1"/>
  <c r="E60" i="54"/>
  <c r="F60" i="54" s="1"/>
  <c r="E76" i="54"/>
  <c r="F76" i="54" s="1"/>
  <c r="E68" i="54"/>
  <c r="F68" i="54" s="1"/>
  <c r="E32" i="38"/>
  <c r="F32" i="38" s="1"/>
  <c r="E29" i="31"/>
  <c r="F29" i="31" s="1"/>
  <c r="E69" i="31"/>
  <c r="F69" i="31" s="1"/>
  <c r="E62" i="31"/>
  <c r="F62" i="31" s="1"/>
  <c r="E73" i="31"/>
  <c r="F73" i="31" s="1"/>
  <c r="E68" i="31"/>
  <c r="F68" i="31" s="1"/>
  <c r="E60" i="31"/>
  <c r="F60" i="31" s="1"/>
  <c r="E72" i="31"/>
  <c r="F72" i="31" s="1"/>
  <c r="E67" i="31"/>
  <c r="F67" i="31" s="1"/>
  <c r="E58" i="31"/>
  <c r="F58" i="31" s="1"/>
  <c r="E76" i="31"/>
  <c r="F76" i="31" s="1"/>
  <c r="E63" i="31"/>
  <c r="F63" i="31" s="1"/>
  <c r="E59" i="31"/>
  <c r="F59" i="31" s="1"/>
  <c r="E71" i="31"/>
  <c r="F71" i="31" s="1"/>
  <c r="E65" i="31"/>
  <c r="F65" i="31" s="1"/>
  <c r="E56" i="31"/>
  <c r="F56" i="31" s="1"/>
  <c r="E70" i="31"/>
  <c r="F70" i="31" s="1"/>
  <c r="E61" i="31"/>
  <c r="F61" i="31" s="1"/>
  <c r="E28" i="55"/>
  <c r="F28" i="55" s="1"/>
  <c r="E22" i="36"/>
  <c r="F22" i="36" s="1"/>
  <c r="E8" i="30"/>
  <c r="F8" i="30" s="1"/>
  <c r="E25" i="30"/>
  <c r="F25" i="30" s="1"/>
  <c r="E34" i="7"/>
  <c r="F34" i="7" s="1"/>
  <c r="E35" i="72"/>
  <c r="F35" i="72" s="1"/>
  <c r="E41" i="86"/>
  <c r="F41" i="86" s="1"/>
  <c r="E18" i="86"/>
  <c r="F18" i="86" s="1"/>
  <c r="E32" i="85"/>
  <c r="F32" i="85" s="1"/>
  <c r="E19" i="85"/>
  <c r="F19" i="85" s="1"/>
  <c r="E51" i="84"/>
  <c r="F51" i="84" s="1"/>
  <c r="E30" i="84"/>
  <c r="F30" i="84" s="1"/>
  <c r="E49" i="84"/>
  <c r="F49" i="84" s="1"/>
  <c r="E43" i="76"/>
  <c r="F43" i="76" s="1"/>
  <c r="E25" i="76"/>
  <c r="F25" i="76" s="1"/>
  <c r="E39" i="72"/>
  <c r="F39" i="72" s="1"/>
  <c r="E12" i="85"/>
  <c r="F12" i="85" s="1"/>
  <c r="E52" i="77"/>
  <c r="F52" i="77" s="1"/>
  <c r="E58" i="71"/>
  <c r="F58" i="71" s="1"/>
  <c r="E65" i="54"/>
  <c r="F65" i="54" s="1"/>
  <c r="E80" i="54"/>
  <c r="F80" i="54" s="1"/>
  <c r="E65" i="30"/>
  <c r="F65" i="30" s="1"/>
  <c r="E74" i="30"/>
  <c r="F74" i="30" s="1"/>
  <c r="E53" i="23"/>
  <c r="F53" i="23" s="1"/>
  <c r="E53" i="78"/>
  <c r="F53" i="78" s="1"/>
  <c r="E65" i="78"/>
  <c r="F65" i="78" s="1"/>
  <c r="E59" i="77"/>
  <c r="F59" i="77" s="1"/>
  <c r="E62" i="37"/>
  <c r="F62" i="37" s="1"/>
  <c r="E67" i="35"/>
  <c r="F67" i="35" s="1"/>
  <c r="E69" i="35"/>
  <c r="F69" i="35" s="1"/>
  <c r="E76" i="86"/>
  <c r="F76" i="86" s="1"/>
  <c r="E76" i="84"/>
  <c r="F76" i="84" s="1"/>
  <c r="E64" i="76"/>
  <c r="F64" i="76" s="1"/>
  <c r="E47" i="34"/>
  <c r="F47" i="34" s="1"/>
  <c r="E66" i="64"/>
  <c r="F66" i="64" s="1"/>
  <c r="E58" i="7"/>
  <c r="F58" i="7" s="1"/>
  <c r="E53" i="72"/>
  <c r="F53" i="72" s="1"/>
  <c r="E55" i="16"/>
  <c r="F55" i="16" s="1"/>
  <c r="E72" i="38"/>
  <c r="F72" i="38" s="1"/>
  <c r="E72" i="36"/>
  <c r="F72" i="36" s="1"/>
  <c r="E61" i="25"/>
  <c r="F61" i="25" s="1"/>
  <c r="E66" i="31"/>
  <c r="F66" i="31" s="1"/>
  <c r="E49" i="82"/>
  <c r="F49" i="82" s="1"/>
  <c r="E69" i="82"/>
  <c r="F69" i="82" s="1"/>
  <c r="E68" i="82"/>
  <c r="F68" i="82" s="1"/>
  <c r="E55" i="82"/>
  <c r="F55" i="82" s="1"/>
  <c r="E74" i="82"/>
  <c r="F74" i="82" s="1"/>
  <c r="E63" i="82"/>
  <c r="F63" i="82" s="1"/>
  <c r="E56" i="82"/>
  <c r="F56" i="82" s="1"/>
  <c r="E72" i="82"/>
  <c r="F72" i="82" s="1"/>
  <c r="E61" i="82"/>
  <c r="F61" i="82" s="1"/>
  <c r="E57" i="82"/>
  <c r="F57" i="82" s="1"/>
  <c r="E73" i="82"/>
  <c r="F73" i="82" s="1"/>
  <c r="E60" i="82"/>
  <c r="F60" i="82" s="1"/>
  <c r="E64" i="82"/>
  <c r="F64" i="82" s="1"/>
  <c r="E62" i="82"/>
  <c r="F62" i="82" s="1"/>
  <c r="E75" i="82"/>
  <c r="F75" i="82" s="1"/>
  <c r="E67" i="82"/>
  <c r="F67" i="82" s="1"/>
  <c r="E54" i="82"/>
  <c r="F54" i="82" s="1"/>
  <c r="E29" i="76"/>
  <c r="F29" i="76" s="1"/>
  <c r="E69" i="76"/>
  <c r="F69" i="76" s="1"/>
  <c r="E68" i="81"/>
  <c r="F68" i="81" s="1"/>
  <c r="E58" i="81"/>
  <c r="F58" i="81" s="1"/>
  <c r="E54" i="81"/>
  <c r="F54" i="81" s="1"/>
  <c r="E67" i="81"/>
  <c r="F67" i="81" s="1"/>
  <c r="E59" i="81"/>
  <c r="F59" i="81" s="1"/>
  <c r="E51" i="81"/>
  <c r="F51" i="81" s="1"/>
  <c r="E66" i="81"/>
  <c r="F66" i="81" s="1"/>
  <c r="E60" i="81"/>
  <c r="F60" i="81" s="1"/>
  <c r="E50" i="81"/>
  <c r="F50" i="81" s="1"/>
  <c r="E71" i="81"/>
  <c r="F71" i="81" s="1"/>
  <c r="E61" i="81"/>
  <c r="F61" i="81" s="1"/>
  <c r="E52" i="81"/>
  <c r="F52" i="81" s="1"/>
  <c r="E70" i="81"/>
  <c r="F70" i="81" s="1"/>
  <c r="E56" i="81"/>
  <c r="F56" i="81" s="1"/>
  <c r="E65" i="81"/>
  <c r="F65" i="81" s="1"/>
  <c r="E62" i="81"/>
  <c r="F62" i="81" s="1"/>
  <c r="E53" i="81"/>
  <c r="F53" i="81" s="1"/>
  <c r="E54" i="84"/>
  <c r="F54" i="84" s="1"/>
  <c r="E28" i="84"/>
  <c r="F28" i="84" s="1"/>
  <c r="E18" i="76"/>
  <c r="F18" i="76" s="1"/>
  <c r="E47" i="76"/>
  <c r="F47" i="76" s="1"/>
  <c r="E38" i="76"/>
  <c r="F38" i="76" s="1"/>
  <c r="E63" i="30"/>
  <c r="F63" i="30" s="1"/>
  <c r="E71" i="86"/>
  <c r="F71" i="86" s="1"/>
  <c r="E58" i="84"/>
  <c r="F58" i="84" s="1"/>
  <c r="E50" i="76"/>
  <c r="F50" i="76" s="1"/>
  <c r="E59" i="72"/>
  <c r="F59" i="72" s="1"/>
  <c r="E67" i="16"/>
  <c r="F67" i="16" s="1"/>
  <c r="E54" i="74"/>
  <c r="F54" i="74" s="1"/>
  <c r="E14" i="78"/>
  <c r="F14" i="78" s="1"/>
  <c r="E22" i="54"/>
  <c r="F22" i="54" s="1"/>
  <c r="E22" i="86"/>
  <c r="F22" i="86" s="1"/>
  <c r="E56" i="84"/>
  <c r="F56" i="84" s="1"/>
  <c r="E34" i="77"/>
  <c r="F34" i="77" s="1"/>
  <c r="E24" i="54"/>
  <c r="F24" i="54" s="1"/>
  <c r="E50" i="36"/>
  <c r="F50" i="36" s="1"/>
  <c r="E37" i="27"/>
  <c r="F37" i="27" s="1"/>
  <c r="E60" i="27"/>
  <c r="F60" i="27" s="1"/>
  <c r="E46" i="27"/>
  <c r="F46" i="27" s="1"/>
  <c r="E50" i="27"/>
  <c r="F50" i="27" s="1"/>
  <c r="E59" i="27"/>
  <c r="F59" i="27" s="1"/>
  <c r="E52" i="27"/>
  <c r="F52" i="27" s="1"/>
  <c r="E55" i="27"/>
  <c r="F55" i="27" s="1"/>
  <c r="E62" i="27"/>
  <c r="F62" i="27" s="1"/>
  <c r="E47" i="27"/>
  <c r="F47" i="27" s="1"/>
  <c r="E44" i="27"/>
  <c r="F44" i="27" s="1"/>
  <c r="E61" i="27"/>
  <c r="F61" i="27" s="1"/>
  <c r="E48" i="27"/>
  <c r="F48" i="27" s="1"/>
  <c r="E41" i="27"/>
  <c r="F41" i="27" s="1"/>
  <c r="E58" i="27"/>
  <c r="F58" i="27" s="1"/>
  <c r="E53" i="27"/>
  <c r="F53" i="27" s="1"/>
  <c r="E42" i="27"/>
  <c r="F42" i="27" s="1"/>
  <c r="E57" i="27"/>
  <c r="F57" i="27" s="1"/>
  <c r="E56" i="27"/>
  <c r="F56" i="27" s="1"/>
  <c r="E51" i="31"/>
  <c r="F51" i="31" s="1"/>
  <c r="E52" i="30"/>
  <c r="F52" i="30" s="1"/>
  <c r="E21" i="38"/>
  <c r="F21" i="38" s="1"/>
  <c r="E53" i="36"/>
  <c r="F53" i="36" s="1"/>
  <c r="E64" i="70"/>
  <c r="F64" i="70" s="1"/>
  <c r="E79" i="70"/>
  <c r="F79" i="70" s="1"/>
  <c r="E67" i="70"/>
  <c r="F67" i="70" s="1"/>
  <c r="E71" i="70"/>
  <c r="F71" i="70" s="1"/>
  <c r="E68" i="70"/>
  <c r="F68" i="70" s="1"/>
  <c r="E65" i="70"/>
  <c r="F65" i="70" s="1"/>
  <c r="E82" i="70"/>
  <c r="F82" i="70" s="1"/>
  <c r="E72" i="70"/>
  <c r="F72" i="70" s="1"/>
  <c r="E80" i="70"/>
  <c r="F80" i="70" s="1"/>
  <c r="E69" i="70"/>
  <c r="F69" i="70" s="1"/>
  <c r="E47" i="55"/>
  <c r="F47" i="55" s="1"/>
  <c r="E45" i="71"/>
  <c r="F45" i="71" s="1"/>
  <c r="E60" i="71"/>
  <c r="F60" i="71" s="1"/>
  <c r="E51" i="71"/>
  <c r="F51" i="71" s="1"/>
  <c r="E65" i="71"/>
  <c r="F65" i="71" s="1"/>
  <c r="E9" i="30"/>
  <c r="F9" i="30" s="1"/>
  <c r="E54" i="30"/>
  <c r="F54" i="30" s="1"/>
  <c r="E10" i="19"/>
  <c r="F10" i="19" s="1"/>
  <c r="E78" i="19"/>
  <c r="F78" i="19" s="1"/>
  <c r="E68" i="19"/>
  <c r="F68" i="19" s="1"/>
  <c r="E74" i="19"/>
  <c r="F74" i="19" s="1"/>
  <c r="E72" i="19"/>
  <c r="F72" i="19" s="1"/>
  <c r="E81" i="19"/>
  <c r="F81" i="19" s="1"/>
  <c r="E75" i="19"/>
  <c r="F75" i="19" s="1"/>
  <c r="E73" i="19"/>
  <c r="F73" i="19" s="1"/>
  <c r="E82" i="19"/>
  <c r="F82" i="19" s="1"/>
  <c r="E69" i="19"/>
  <c r="F69" i="19" s="1"/>
  <c r="E67" i="19"/>
  <c r="F67" i="19" s="1"/>
  <c r="E80" i="19"/>
  <c r="F80" i="19" s="1"/>
  <c r="E66" i="19"/>
  <c r="F66" i="19" s="1"/>
  <c r="E64" i="19"/>
  <c r="F64" i="19" s="1"/>
  <c r="E77" i="19"/>
  <c r="F77" i="19" s="1"/>
  <c r="E71" i="19"/>
  <c r="F71" i="19" s="1"/>
  <c r="E61" i="19"/>
  <c r="F61" i="19" s="1"/>
  <c r="E14" i="37"/>
  <c r="F14" i="37" s="1"/>
  <c r="E36" i="55"/>
  <c r="F36" i="55" s="1"/>
  <c r="E40" i="76"/>
  <c r="F40" i="76" s="1"/>
  <c r="E29" i="84"/>
  <c r="F29" i="84" s="1"/>
  <c r="E10" i="85"/>
  <c r="F10" i="85" s="1"/>
  <c r="E48" i="88"/>
  <c r="F48" i="88" s="1"/>
  <c r="E76" i="88"/>
  <c r="F76" i="88" s="1"/>
  <c r="E66" i="88"/>
  <c r="F66" i="88" s="1"/>
  <c r="E59" i="88"/>
  <c r="F59" i="88" s="1"/>
  <c r="E77" i="88"/>
  <c r="F77" i="88" s="1"/>
  <c r="E74" i="88"/>
  <c r="F74" i="88" s="1"/>
  <c r="E60" i="88"/>
  <c r="F60" i="88" s="1"/>
  <c r="E63" i="88"/>
  <c r="F63" i="88" s="1"/>
  <c r="E67" i="88"/>
  <c r="F67" i="88" s="1"/>
  <c r="E79" i="88"/>
  <c r="F79" i="88" s="1"/>
  <c r="E64" i="88"/>
  <c r="F64" i="88" s="1"/>
  <c r="E70" i="88"/>
  <c r="F70" i="88" s="1"/>
  <c r="E80" i="88"/>
  <c r="F80" i="88" s="1"/>
  <c r="E73" i="88"/>
  <c r="F73" i="88" s="1"/>
  <c r="E61" i="88"/>
  <c r="F61" i="88" s="1"/>
  <c r="E74" i="87"/>
  <c r="F74" i="87" s="1"/>
  <c r="E65" i="87"/>
  <c r="F65" i="87" s="1"/>
  <c r="E70" i="87"/>
  <c r="F70" i="87" s="1"/>
  <c r="E79" i="87"/>
  <c r="F79" i="87" s="1"/>
  <c r="E72" i="87"/>
  <c r="F72" i="87" s="1"/>
  <c r="E61" i="87"/>
  <c r="F61" i="87" s="1"/>
  <c r="E78" i="87"/>
  <c r="F78" i="87" s="1"/>
  <c r="E69" i="87"/>
  <c r="F69" i="87" s="1"/>
  <c r="E58" i="87"/>
  <c r="F58" i="87" s="1"/>
  <c r="E77" i="87"/>
  <c r="F77" i="87" s="1"/>
  <c r="E66" i="87"/>
  <c r="F66" i="87" s="1"/>
  <c r="E59" i="87"/>
  <c r="F59" i="87" s="1"/>
  <c r="E76" i="87"/>
  <c r="F76" i="87" s="1"/>
  <c r="E73" i="87"/>
  <c r="F73" i="87" s="1"/>
  <c r="E60" i="87"/>
  <c r="F60" i="87" s="1"/>
  <c r="E75" i="87"/>
  <c r="F75" i="87" s="1"/>
  <c r="E63" i="87"/>
  <c r="F63" i="87" s="1"/>
  <c r="E68" i="87"/>
  <c r="F68" i="87" s="1"/>
  <c r="E38" i="86"/>
  <c r="F38" i="86" s="1"/>
  <c r="E28" i="86"/>
  <c r="F28" i="86" s="1"/>
  <c r="E48" i="85"/>
  <c r="F48" i="85" s="1"/>
  <c r="E17" i="85"/>
  <c r="F17" i="85" s="1"/>
  <c r="E35" i="84"/>
  <c r="F35" i="84" s="1"/>
  <c r="E46" i="84"/>
  <c r="F46" i="84" s="1"/>
  <c r="E10" i="76"/>
  <c r="F10" i="76" s="1"/>
  <c r="E8" i="72"/>
  <c r="F8" i="72" s="1"/>
  <c r="E19" i="76"/>
  <c r="F19" i="76" s="1"/>
  <c r="E42" i="37"/>
  <c r="F42" i="37" s="1"/>
  <c r="E48" i="71"/>
  <c r="F48" i="71" s="1"/>
  <c r="E55" i="71"/>
  <c r="F55" i="71" s="1"/>
  <c r="E62" i="54"/>
  <c r="F62" i="54" s="1"/>
  <c r="E64" i="54"/>
  <c r="F64" i="54" s="1"/>
  <c r="E57" i="30"/>
  <c r="F57" i="30" s="1"/>
  <c r="E69" i="30"/>
  <c r="F69" i="30" s="1"/>
  <c r="E57" i="23"/>
  <c r="F57" i="23" s="1"/>
  <c r="E68" i="23"/>
  <c r="F68" i="23" s="1"/>
  <c r="E58" i="78"/>
  <c r="F58" i="78" s="1"/>
  <c r="E75" i="70"/>
  <c r="F75" i="70" s="1"/>
  <c r="E69" i="77"/>
  <c r="F69" i="77" s="1"/>
  <c r="E54" i="37"/>
  <c r="F54" i="37" s="1"/>
  <c r="E72" i="37"/>
  <c r="F72" i="37" s="1"/>
  <c r="E59" i="35"/>
  <c r="F59" i="35" s="1"/>
  <c r="E69" i="88"/>
  <c r="F69" i="88" s="1"/>
  <c r="E64" i="86"/>
  <c r="F64" i="86" s="1"/>
  <c r="E69" i="84"/>
  <c r="F69" i="84" s="1"/>
  <c r="E52" i="76"/>
  <c r="F52" i="76" s="1"/>
  <c r="E82" i="64"/>
  <c r="F82" i="64" s="1"/>
  <c r="E59" i="55"/>
  <c r="F59" i="55" s="1"/>
  <c r="E70" i="19"/>
  <c r="F70" i="19" s="1"/>
  <c r="E58" i="82"/>
  <c r="F58" i="82" s="1"/>
  <c r="E59" i="74"/>
  <c r="F59" i="74" s="1"/>
  <c r="E8" i="24"/>
  <c r="F8" i="24" s="1"/>
  <c r="E65" i="38"/>
  <c r="F65" i="38" s="1"/>
  <c r="E32" i="84"/>
  <c r="F32" i="84" s="1"/>
  <c r="E51" i="30"/>
  <c r="F51" i="30" s="1"/>
  <c r="E18" i="7"/>
  <c r="F18" i="7" s="1"/>
  <c r="E9" i="55"/>
  <c r="F9" i="55" s="1"/>
  <c r="E23" i="55"/>
  <c r="F23" i="55" s="1"/>
  <c r="E27" i="55"/>
  <c r="F27" i="55" s="1"/>
  <c r="E18" i="36"/>
  <c r="F18" i="36" s="1"/>
  <c r="E75" i="36"/>
  <c r="F75" i="36" s="1"/>
  <c r="E65" i="36"/>
  <c r="F65" i="36" s="1"/>
  <c r="E55" i="36"/>
  <c r="F55" i="36" s="1"/>
  <c r="E74" i="36"/>
  <c r="F74" i="36" s="1"/>
  <c r="E59" i="36"/>
  <c r="F59" i="36" s="1"/>
  <c r="E54" i="36"/>
  <c r="F54" i="36" s="1"/>
  <c r="E62" i="36"/>
  <c r="F62" i="36" s="1"/>
  <c r="E66" i="36"/>
  <c r="F66" i="36" s="1"/>
  <c r="E56" i="36"/>
  <c r="F56" i="36" s="1"/>
  <c r="E69" i="36"/>
  <c r="F69" i="36" s="1"/>
  <c r="E61" i="36"/>
  <c r="F61" i="36" s="1"/>
  <c r="E63" i="36"/>
  <c r="F63" i="36" s="1"/>
  <c r="E68" i="36"/>
  <c r="F68" i="36" s="1"/>
  <c r="E71" i="36"/>
  <c r="F71" i="36" s="1"/>
  <c r="E58" i="36"/>
  <c r="F58" i="36" s="1"/>
  <c r="E57" i="36"/>
  <c r="F57" i="36" s="1"/>
  <c r="E18" i="30"/>
  <c r="F18" i="30" s="1"/>
  <c r="E55" i="30"/>
  <c r="F55" i="30" s="1"/>
  <c r="E11" i="84"/>
  <c r="F11" i="84" s="1"/>
  <c r="E11" i="86"/>
  <c r="F11" i="86" s="1"/>
  <c r="E43" i="86"/>
  <c r="F43" i="86" s="1"/>
  <c r="E52" i="84"/>
  <c r="F52" i="84" s="1"/>
  <c r="E37" i="84"/>
  <c r="F37" i="84" s="1"/>
  <c r="E35" i="76"/>
  <c r="F35" i="76" s="1"/>
  <c r="E31" i="76"/>
  <c r="F31" i="76" s="1"/>
  <c r="E26" i="85"/>
  <c r="F26" i="85" s="1"/>
  <c r="E49" i="71"/>
  <c r="F49" i="71" s="1"/>
  <c r="E54" i="71"/>
  <c r="F54" i="71" s="1"/>
  <c r="E67" i="54"/>
  <c r="F67" i="54" s="1"/>
  <c r="E70" i="54"/>
  <c r="F70" i="54" s="1"/>
  <c r="E58" i="30"/>
  <c r="F58" i="30" s="1"/>
  <c r="E61" i="23"/>
  <c r="F61" i="23" s="1"/>
  <c r="E69" i="23"/>
  <c r="F69" i="23" s="1"/>
  <c r="E57" i="78"/>
  <c r="F57" i="78" s="1"/>
  <c r="E74" i="70"/>
  <c r="F74" i="70" s="1"/>
  <c r="E65" i="77"/>
  <c r="F65" i="77" s="1"/>
  <c r="E55" i="37"/>
  <c r="F55" i="37" s="1"/>
  <c r="E69" i="37"/>
  <c r="F69" i="37" s="1"/>
  <c r="E58" i="35"/>
  <c r="F58" i="35" s="1"/>
  <c r="E65" i="88"/>
  <c r="F65" i="88" s="1"/>
  <c r="E68" i="84"/>
  <c r="F68" i="84" s="1"/>
  <c r="E54" i="76"/>
  <c r="F54" i="76" s="1"/>
  <c r="E74" i="55"/>
  <c r="F74" i="55" s="1"/>
  <c r="E43" i="27"/>
  <c r="F43" i="27" s="1"/>
  <c r="E65" i="19"/>
  <c r="F65" i="19" s="1"/>
  <c r="E59" i="82"/>
  <c r="F59" i="82" s="1"/>
  <c r="E55" i="81"/>
  <c r="F55" i="81" s="1"/>
  <c r="E67" i="36"/>
  <c r="F67" i="36" s="1"/>
  <c r="E57" i="34"/>
  <c r="F57" i="34" s="1"/>
  <c r="E55" i="34"/>
  <c r="F55" i="34" s="1"/>
  <c r="E62" i="34"/>
  <c r="F62" i="34" s="1"/>
  <c r="E46" i="34"/>
  <c r="F46" i="34" s="1"/>
  <c r="E54" i="34"/>
  <c r="F54" i="34" s="1"/>
  <c r="E61" i="34"/>
  <c r="F61" i="34" s="1"/>
  <c r="E58" i="34"/>
  <c r="F58" i="34" s="1"/>
  <c r="E48" i="34"/>
  <c r="F48" i="34" s="1"/>
  <c r="E60" i="34"/>
  <c r="F60" i="34" s="1"/>
  <c r="E52" i="34"/>
  <c r="F52" i="34" s="1"/>
  <c r="E45" i="34"/>
  <c r="F45" i="34" s="1"/>
  <c r="E63" i="34"/>
  <c r="F63" i="34" s="1"/>
  <c r="E59" i="34"/>
  <c r="F59" i="34" s="1"/>
  <c r="E44" i="34"/>
  <c r="F44" i="34" s="1"/>
  <c r="E51" i="34"/>
  <c r="F51" i="34" s="1"/>
  <c r="E49" i="34"/>
  <c r="F49" i="34" s="1"/>
  <c r="E78" i="86"/>
  <c r="F78" i="86" s="1"/>
  <c r="E67" i="86"/>
  <c r="F67" i="86" s="1"/>
  <c r="E61" i="86"/>
  <c r="F61" i="86" s="1"/>
  <c r="E77" i="86"/>
  <c r="F77" i="86" s="1"/>
  <c r="E75" i="86"/>
  <c r="F75" i="86" s="1"/>
  <c r="E60" i="86"/>
  <c r="F60" i="86" s="1"/>
  <c r="E65" i="86"/>
  <c r="F65" i="86" s="1"/>
  <c r="E69" i="86"/>
  <c r="F69" i="86" s="1"/>
  <c r="E58" i="86"/>
  <c r="F58" i="86" s="1"/>
  <c r="E62" i="86"/>
  <c r="F62" i="86" s="1"/>
  <c r="E63" i="86"/>
  <c r="F63" i="86" s="1"/>
  <c r="E79" i="86"/>
  <c r="F79" i="86" s="1"/>
  <c r="E74" i="86"/>
  <c r="F74" i="86" s="1"/>
  <c r="E70" i="86"/>
  <c r="F70" i="86" s="1"/>
  <c r="E16" i="86"/>
  <c r="F16" i="86" s="1"/>
  <c r="E75" i="30"/>
  <c r="F75" i="30" s="1"/>
  <c r="E62" i="30"/>
  <c r="F62" i="30" s="1"/>
  <c r="E67" i="30"/>
  <c r="F67" i="30" s="1"/>
  <c r="E71" i="30"/>
  <c r="F71" i="30" s="1"/>
  <c r="E76" i="30"/>
  <c r="F76" i="30" s="1"/>
  <c r="E64" i="30"/>
  <c r="F64" i="30" s="1"/>
  <c r="E42" i="86"/>
  <c r="F42" i="86" s="1"/>
  <c r="E65" i="72"/>
  <c r="F65" i="72" s="1"/>
  <c r="E52" i="72"/>
  <c r="F52" i="72" s="1"/>
  <c r="E57" i="72"/>
  <c r="F57" i="72" s="1"/>
  <c r="E54" i="72"/>
  <c r="F54" i="72" s="1"/>
  <c r="E64" i="72"/>
  <c r="F64" i="72" s="1"/>
  <c r="E56" i="72"/>
  <c r="F56" i="72" s="1"/>
  <c r="E49" i="72"/>
  <c r="F49" i="72" s="1"/>
  <c r="E60" i="72"/>
  <c r="F60" i="72" s="1"/>
  <c r="E55" i="72"/>
  <c r="F55" i="72" s="1"/>
  <c r="E48" i="72"/>
  <c r="F48" i="72" s="1"/>
  <c r="E63" i="72"/>
  <c r="F63" i="72" s="1"/>
  <c r="E58" i="72"/>
  <c r="F58" i="72" s="1"/>
  <c r="E47" i="72"/>
  <c r="F47" i="72" s="1"/>
  <c r="E61" i="72"/>
  <c r="F61" i="72" s="1"/>
  <c r="E51" i="72"/>
  <c r="F51" i="72" s="1"/>
  <c r="E44" i="72"/>
  <c r="F44" i="72" s="1"/>
  <c r="E45" i="25"/>
  <c r="F45" i="25" s="1"/>
  <c r="E66" i="25"/>
  <c r="F66" i="25" s="1"/>
  <c r="E56" i="25"/>
  <c r="F56" i="25" s="1"/>
  <c r="E51" i="25"/>
  <c r="F51" i="25" s="1"/>
  <c r="E59" i="25"/>
  <c r="F59" i="25" s="1"/>
  <c r="E57" i="25"/>
  <c r="F57" i="25" s="1"/>
  <c r="E49" i="25"/>
  <c r="F49" i="25" s="1"/>
  <c r="E53" i="25"/>
  <c r="F53" i="25" s="1"/>
  <c r="E63" i="25"/>
  <c r="F63" i="25" s="1"/>
  <c r="E60" i="25"/>
  <c r="F60" i="25" s="1"/>
  <c r="E65" i="25"/>
  <c r="F65" i="25" s="1"/>
  <c r="E69" i="25"/>
  <c r="F69" i="25" s="1"/>
  <c r="E54" i="25"/>
  <c r="F54" i="25" s="1"/>
  <c r="E58" i="25"/>
  <c r="F58" i="25" s="1"/>
  <c r="E67" i="25"/>
  <c r="F67" i="25" s="1"/>
  <c r="E62" i="25"/>
  <c r="F62" i="25" s="1"/>
  <c r="E50" i="25"/>
  <c r="F50" i="25" s="1"/>
  <c r="E53" i="30"/>
  <c r="F53" i="30" s="1"/>
  <c r="E9" i="7"/>
  <c r="F9" i="7" s="1"/>
  <c r="E29" i="55"/>
  <c r="F29" i="55" s="1"/>
  <c r="E16" i="55"/>
  <c r="F16" i="55" s="1"/>
  <c r="E56" i="30"/>
  <c r="F56" i="30" s="1"/>
  <c r="E24" i="7"/>
  <c r="F24" i="7" s="1"/>
  <c r="E22" i="76"/>
  <c r="F22" i="76" s="1"/>
  <c r="E17" i="84"/>
  <c r="F17" i="84" s="1"/>
  <c r="E15" i="86"/>
  <c r="F15" i="86" s="1"/>
  <c r="E33" i="84"/>
  <c r="F33" i="84" s="1"/>
  <c r="E16" i="84"/>
  <c r="F16" i="84" s="1"/>
  <c r="E16" i="76"/>
  <c r="F16" i="76" s="1"/>
  <c r="E28" i="76"/>
  <c r="F28" i="76" s="1"/>
  <c r="E9" i="72"/>
  <c r="F9" i="72" s="1"/>
  <c r="E74" i="54"/>
  <c r="F74" i="54" s="1"/>
  <c r="E63" i="54"/>
  <c r="F63" i="54" s="1"/>
  <c r="E59" i="30"/>
  <c r="F59" i="30" s="1"/>
  <c r="E61" i="30"/>
  <c r="F61" i="30" s="1"/>
  <c r="E73" i="70"/>
  <c r="F73" i="70" s="1"/>
  <c r="E55" i="77"/>
  <c r="F55" i="77" s="1"/>
  <c r="E70" i="77"/>
  <c r="F70" i="77" s="1"/>
  <c r="E57" i="37"/>
  <c r="F57" i="37" s="1"/>
  <c r="E74" i="37"/>
  <c r="F74" i="37" s="1"/>
  <c r="E64" i="35"/>
  <c r="F64" i="35" s="1"/>
  <c r="E72" i="88"/>
  <c r="F72" i="88" s="1"/>
  <c r="E66" i="86"/>
  <c r="F66" i="86" s="1"/>
  <c r="E73" i="84"/>
  <c r="F73" i="84" s="1"/>
  <c r="E43" i="34"/>
  <c r="F43" i="34" s="1"/>
  <c r="E67" i="55"/>
  <c r="F67" i="55" s="1"/>
  <c r="E49" i="27"/>
  <c r="F49" i="27" s="1"/>
  <c r="E79" i="19"/>
  <c r="F79" i="19" s="1"/>
  <c r="E52" i="7"/>
  <c r="F52" i="7" s="1"/>
  <c r="E45" i="72"/>
  <c r="F45" i="72" s="1"/>
  <c r="E66" i="82"/>
  <c r="F66" i="82" s="1"/>
  <c r="E57" i="81"/>
  <c r="F57" i="81" s="1"/>
  <c r="E60" i="36"/>
  <c r="F60" i="36" s="1"/>
  <c r="E52" i="25"/>
  <c r="F52" i="25" s="1"/>
  <c r="E55" i="31"/>
  <c r="F55" i="31" s="1"/>
  <c r="E47" i="86"/>
  <c r="F47" i="86" s="1"/>
  <c r="E10" i="84"/>
  <c r="F10" i="84" s="1"/>
  <c r="E30" i="76"/>
  <c r="F30" i="76" s="1"/>
  <c r="E66" i="76"/>
  <c r="F66" i="76" s="1"/>
  <c r="E55" i="76"/>
  <c r="F55" i="76" s="1"/>
  <c r="E62" i="76"/>
  <c r="F62" i="76" s="1"/>
  <c r="E56" i="76"/>
  <c r="F56" i="76" s="1"/>
  <c r="E65" i="76"/>
  <c r="F65" i="76" s="1"/>
  <c r="E61" i="76"/>
  <c r="F61" i="76" s="1"/>
  <c r="E53" i="76"/>
  <c r="F53" i="76" s="1"/>
  <c r="E68" i="76"/>
  <c r="F68" i="76" s="1"/>
  <c r="E59" i="76"/>
  <c r="F59" i="76" s="1"/>
  <c r="E51" i="76"/>
  <c r="F51" i="76" s="1"/>
  <c r="E67" i="76"/>
  <c r="F67" i="76" s="1"/>
  <c r="E57" i="76"/>
  <c r="F57" i="76" s="1"/>
  <c r="E48" i="76"/>
  <c r="F48" i="76" s="1"/>
  <c r="E60" i="84"/>
  <c r="F60" i="84" s="1"/>
  <c r="E56" i="34"/>
  <c r="F56" i="34" s="1"/>
  <c r="E33" i="86"/>
  <c r="F33" i="86" s="1"/>
  <c r="E52" i="86"/>
  <c r="F52" i="86" s="1"/>
  <c r="E20" i="7"/>
  <c r="F20" i="7" s="1"/>
  <c r="E16" i="7"/>
  <c r="F16" i="7" s="1"/>
  <c r="E47" i="78"/>
  <c r="F47" i="78" s="1"/>
  <c r="E67" i="78"/>
  <c r="F67" i="78" s="1"/>
  <c r="E54" i="78"/>
  <c r="F54" i="78" s="1"/>
  <c r="E49" i="78"/>
  <c r="F49" i="78" s="1"/>
  <c r="E66" i="78"/>
  <c r="F66" i="78" s="1"/>
  <c r="E60" i="78"/>
  <c r="F60" i="78" s="1"/>
  <c r="E69" i="78"/>
  <c r="F69" i="78" s="1"/>
  <c r="E59" i="78"/>
  <c r="F59" i="78" s="1"/>
  <c r="E52" i="78"/>
  <c r="F52" i="78" s="1"/>
  <c r="E63" i="78"/>
  <c r="F63" i="78" s="1"/>
  <c r="E55" i="78"/>
  <c r="F55" i="78" s="1"/>
  <c r="E50" i="78"/>
  <c r="F50" i="78" s="1"/>
  <c r="E50" i="38"/>
  <c r="F50" i="38" s="1"/>
  <c r="E15" i="7"/>
  <c r="F15" i="7" s="1"/>
  <c r="E36" i="72"/>
  <c r="F36" i="72" s="1"/>
  <c r="E49" i="81"/>
  <c r="F49" i="81" s="1"/>
  <c r="E58" i="55"/>
  <c r="F58" i="55" s="1"/>
  <c r="E41" i="34"/>
  <c r="F41" i="34" s="1"/>
  <c r="E42" i="55"/>
  <c r="F42" i="55" s="1"/>
  <c r="E17" i="36"/>
  <c r="F17" i="36" s="1"/>
  <c r="E16" i="30"/>
  <c r="F16" i="30" s="1"/>
  <c r="E66" i="23"/>
  <c r="F66" i="23" s="1"/>
  <c r="E56" i="23"/>
  <c r="F56" i="23" s="1"/>
  <c r="E63" i="23"/>
  <c r="F63" i="23" s="1"/>
  <c r="E62" i="23"/>
  <c r="F62" i="23" s="1"/>
  <c r="E70" i="23"/>
  <c r="F70" i="23" s="1"/>
  <c r="E58" i="23"/>
  <c r="F58" i="23" s="1"/>
  <c r="E52" i="23"/>
  <c r="F52" i="23" s="1"/>
  <c r="E64" i="23"/>
  <c r="F64" i="23" s="1"/>
  <c r="E60" i="23"/>
  <c r="F60" i="23" s="1"/>
  <c r="E51" i="23"/>
  <c r="F51" i="23" s="1"/>
  <c r="E36" i="7"/>
  <c r="F36" i="7" s="1"/>
  <c r="E11" i="76"/>
  <c r="F11" i="76" s="1"/>
  <c r="E30" i="72"/>
  <c r="F30" i="72" s="1"/>
  <c r="E14" i="86"/>
  <c r="F14" i="86" s="1"/>
  <c r="E50" i="85"/>
  <c r="F50" i="85" s="1"/>
  <c r="E48" i="86"/>
  <c r="F48" i="86" s="1"/>
  <c r="E15" i="85"/>
  <c r="F15" i="85" s="1"/>
  <c r="E36" i="85"/>
  <c r="F36" i="85" s="1"/>
  <c r="E25" i="85"/>
  <c r="F25" i="85" s="1"/>
  <c r="E21" i="84"/>
  <c r="F21" i="84" s="1"/>
  <c r="E48" i="84"/>
  <c r="F48" i="84" s="1"/>
  <c r="E14" i="76"/>
  <c r="F14" i="76" s="1"/>
  <c r="E15" i="76"/>
  <c r="F15" i="76" s="1"/>
  <c r="E33" i="72"/>
  <c r="F33" i="72" s="1"/>
  <c r="E41" i="85"/>
  <c r="F41" i="85" s="1"/>
  <c r="E50" i="71"/>
  <c r="F50" i="71" s="1"/>
  <c r="E59" i="71"/>
  <c r="F59" i="71" s="1"/>
  <c r="E73" i="54"/>
  <c r="F73" i="54" s="1"/>
  <c r="E75" i="54"/>
  <c r="F75" i="54" s="1"/>
  <c r="E60" i="30"/>
  <c r="F60" i="30" s="1"/>
  <c r="E72" i="30"/>
  <c r="F72" i="30" s="1"/>
  <c r="E59" i="23"/>
  <c r="F59" i="23" s="1"/>
  <c r="E48" i="78"/>
  <c r="F48" i="78" s="1"/>
  <c r="E68" i="78"/>
  <c r="F68" i="78" s="1"/>
  <c r="E76" i="70"/>
  <c r="F76" i="70" s="1"/>
  <c r="E56" i="35"/>
  <c r="F56" i="35" s="1"/>
  <c r="E71" i="88"/>
  <c r="F71" i="88" s="1"/>
  <c r="E73" i="86"/>
  <c r="F73" i="86" s="1"/>
  <c r="E65" i="84"/>
  <c r="F65" i="84" s="1"/>
  <c r="E60" i="76"/>
  <c r="F60" i="76" s="1"/>
  <c r="E42" i="34"/>
  <c r="F42" i="34" s="1"/>
  <c r="E54" i="27"/>
  <c r="F54" i="27" s="1"/>
  <c r="E76" i="19"/>
  <c r="F76" i="19" s="1"/>
  <c r="E46" i="72"/>
  <c r="F46" i="72" s="1"/>
  <c r="E65" i="82"/>
  <c r="F65" i="82" s="1"/>
  <c r="E12" i="24"/>
  <c r="F12" i="24" s="1"/>
  <c r="E15" i="24"/>
  <c r="F15" i="24" s="1"/>
  <c r="E41" i="24"/>
  <c r="F41" i="24" s="1"/>
  <c r="E17" i="24"/>
  <c r="F17" i="24" s="1"/>
  <c r="E14" i="24"/>
  <c r="F14" i="24" s="1"/>
  <c r="E43" i="24"/>
  <c r="F43" i="24" s="1"/>
  <c r="E10" i="24"/>
  <c r="F10" i="24" s="1"/>
  <c r="E65" i="24"/>
  <c r="F65" i="24" s="1"/>
  <c r="E60" i="24"/>
  <c r="F60" i="24" s="1"/>
  <c r="E49" i="24"/>
  <c r="F49" i="24" s="1"/>
  <c r="E34" i="24"/>
  <c r="F34" i="24" s="1"/>
  <c r="E9" i="24"/>
  <c r="F9" i="24" s="1"/>
  <c r="E16" i="24"/>
  <c r="F16" i="24" s="1"/>
  <c r="E66" i="24"/>
  <c r="F66" i="24" s="1"/>
  <c r="E55" i="24"/>
  <c r="F55" i="24" s="1"/>
  <c r="E51" i="24"/>
  <c r="F51" i="24" s="1"/>
  <c r="E20" i="24"/>
  <c r="F20" i="24" s="1"/>
  <c r="E64" i="24"/>
  <c r="F64" i="24" s="1"/>
  <c r="E61" i="24"/>
  <c r="F61" i="24" s="1"/>
  <c r="E32" i="24"/>
  <c r="F32" i="24" s="1"/>
  <c r="E33" i="24"/>
  <c r="F33" i="24" s="1"/>
  <c r="E63" i="24"/>
  <c r="F63" i="24" s="1"/>
  <c r="E56" i="24"/>
  <c r="F56" i="24" s="1"/>
  <c r="E21" i="24"/>
  <c r="F21" i="24" s="1"/>
  <c r="E70" i="24"/>
  <c r="F70" i="24" s="1"/>
  <c r="E62" i="24"/>
  <c r="F62" i="24" s="1"/>
  <c r="E58" i="24"/>
  <c r="F58" i="24" s="1"/>
  <c r="E36" i="24"/>
  <c r="F36" i="24" s="1"/>
  <c r="E42" i="24"/>
  <c r="F42" i="24" s="1"/>
  <c r="E38" i="24"/>
  <c r="F38" i="24" s="1"/>
  <c r="E29" i="24"/>
  <c r="F29" i="24" s="1"/>
  <c r="E67" i="24"/>
  <c r="F67" i="24" s="1"/>
  <c r="E54" i="24"/>
  <c r="F54" i="24" s="1"/>
  <c r="E50" i="24"/>
  <c r="F50" i="24" s="1"/>
  <c r="E11" i="24"/>
  <c r="F11" i="24" s="1"/>
  <c r="E25" i="24"/>
  <c r="F25" i="24" s="1"/>
  <c r="E35" i="24"/>
  <c r="F35" i="24" s="1"/>
  <c r="E27" i="24"/>
  <c r="F27" i="24" s="1"/>
  <c r="E52" i="24"/>
  <c r="F52" i="24" s="1"/>
  <c r="E63" i="81"/>
  <c r="F63" i="81" s="1"/>
  <c r="E54" i="38"/>
  <c r="F54" i="38" s="1"/>
  <c r="E70" i="36"/>
  <c r="F70" i="36" s="1"/>
  <c r="E64" i="25"/>
  <c r="F64" i="25" s="1"/>
  <c r="E57" i="31"/>
  <c r="F57" i="31" s="1"/>
  <c r="E59" i="86"/>
  <c r="F59" i="86" s="1"/>
  <c r="E48" i="30"/>
  <c r="F48" i="30" s="1"/>
  <c r="E56" i="7"/>
  <c r="F56" i="7" s="1"/>
  <c r="E50" i="7"/>
  <c r="F50" i="7" s="1"/>
  <c r="E62" i="7"/>
  <c r="F62" i="7" s="1"/>
  <c r="E51" i="7"/>
  <c r="F51" i="7" s="1"/>
  <c r="E47" i="7"/>
  <c r="F47" i="7" s="1"/>
  <c r="E61" i="7"/>
  <c r="F61" i="7" s="1"/>
  <c r="E53" i="7"/>
  <c r="F53" i="7" s="1"/>
  <c r="E46" i="7"/>
  <c r="F46" i="7" s="1"/>
  <c r="E63" i="7"/>
  <c r="F63" i="7" s="1"/>
  <c r="E48" i="7"/>
  <c r="F48" i="7" s="1"/>
  <c r="E45" i="7"/>
  <c r="F45" i="7" s="1"/>
  <c r="E59" i="7"/>
  <c r="F59" i="7" s="1"/>
  <c r="E55" i="7"/>
  <c r="F55" i="7" s="1"/>
  <c r="E60" i="7"/>
  <c r="F60" i="7" s="1"/>
  <c r="E54" i="7"/>
  <c r="F54" i="7" s="1"/>
  <c r="E57" i="84"/>
  <c r="F57" i="84" s="1"/>
  <c r="E43" i="74"/>
  <c r="F43" i="74" s="1"/>
  <c r="E64" i="74"/>
  <c r="F64" i="74" s="1"/>
  <c r="E53" i="74"/>
  <c r="F53" i="74" s="1"/>
  <c r="E58" i="74"/>
  <c r="F58" i="74" s="1"/>
  <c r="E63" i="74"/>
  <c r="F63" i="74" s="1"/>
  <c r="E60" i="74"/>
  <c r="F60" i="74" s="1"/>
  <c r="E50" i="74"/>
  <c r="F50" i="74" s="1"/>
  <c r="E68" i="74"/>
  <c r="F68" i="74" s="1"/>
  <c r="E61" i="74"/>
  <c r="F61" i="74" s="1"/>
  <c r="E47" i="74"/>
  <c r="F47" i="74" s="1"/>
  <c r="E62" i="74"/>
  <c r="F62" i="74" s="1"/>
  <c r="E56" i="74"/>
  <c r="F56" i="74" s="1"/>
  <c r="E48" i="74"/>
  <c r="F48" i="74" s="1"/>
  <c r="E67" i="74"/>
  <c r="F67" i="74" s="1"/>
  <c r="E57" i="74"/>
  <c r="F57" i="74" s="1"/>
  <c r="E49" i="74"/>
  <c r="F49" i="74" s="1"/>
  <c r="E65" i="74"/>
  <c r="F65" i="74" s="1"/>
  <c r="E51" i="74"/>
  <c r="F51" i="74" s="1"/>
  <c r="E52" i="74"/>
  <c r="F52" i="74" s="1"/>
  <c r="E8" i="7"/>
  <c r="F8" i="7" s="1"/>
  <c r="E9" i="86"/>
  <c r="F9" i="86" s="1"/>
  <c r="E55" i="84"/>
  <c r="F55" i="84" s="1"/>
  <c r="E52" i="16"/>
  <c r="F52" i="16" s="1"/>
  <c r="E69" i="16"/>
  <c r="F69" i="16" s="1"/>
  <c r="E62" i="16"/>
  <c r="F62" i="16" s="1"/>
  <c r="E65" i="16"/>
  <c r="F65" i="16" s="1"/>
  <c r="E63" i="16"/>
  <c r="F63" i="16" s="1"/>
  <c r="E72" i="16"/>
  <c r="F72" i="16" s="1"/>
  <c r="E64" i="16"/>
  <c r="F64" i="16" s="1"/>
  <c r="E57" i="16"/>
  <c r="F57" i="16" s="1"/>
  <c r="E71" i="16"/>
  <c r="F71" i="16" s="1"/>
  <c r="E61" i="16"/>
  <c r="F61" i="16" s="1"/>
  <c r="E58" i="16"/>
  <c r="F58" i="16" s="1"/>
  <c r="E70" i="16"/>
  <c r="F70" i="16" s="1"/>
  <c r="E59" i="16"/>
  <c r="F59" i="16" s="1"/>
  <c r="E54" i="16"/>
  <c r="F54" i="16" s="1"/>
  <c r="E66" i="16"/>
  <c r="F66" i="16" s="1"/>
  <c r="E56" i="16"/>
  <c r="F56" i="16" s="1"/>
  <c r="E49" i="77"/>
  <c r="F49" i="77" s="1"/>
  <c r="E71" i="77"/>
  <c r="F71" i="77" s="1"/>
  <c r="E57" i="77"/>
  <c r="F57" i="77" s="1"/>
  <c r="E67" i="77"/>
  <c r="F67" i="77" s="1"/>
  <c r="E60" i="77"/>
  <c r="F60" i="77" s="1"/>
  <c r="E66" i="77"/>
  <c r="F66" i="77" s="1"/>
  <c r="E58" i="77"/>
  <c r="F58" i="77" s="1"/>
  <c r="E54" i="77"/>
  <c r="F54" i="77" s="1"/>
  <c r="E68" i="77"/>
  <c r="F68" i="77" s="1"/>
  <c r="E62" i="77"/>
  <c r="F62" i="77" s="1"/>
  <c r="E49" i="55"/>
  <c r="F49" i="55" s="1"/>
  <c r="E71" i="55"/>
  <c r="F71" i="55" s="1"/>
  <c r="E69" i="55"/>
  <c r="F69" i="55" s="1"/>
  <c r="E65" i="55"/>
  <c r="F65" i="55" s="1"/>
  <c r="E76" i="55"/>
  <c r="F76" i="55" s="1"/>
  <c r="E79" i="55"/>
  <c r="F79" i="55" s="1"/>
  <c r="E72" i="55"/>
  <c r="F72" i="55" s="1"/>
  <c r="E75" i="55"/>
  <c r="F75" i="55" s="1"/>
  <c r="E78" i="55"/>
  <c r="F78" i="55" s="1"/>
  <c r="E66" i="55"/>
  <c r="F66" i="55" s="1"/>
  <c r="E68" i="55"/>
  <c r="F68" i="55" s="1"/>
  <c r="E80" i="55"/>
  <c r="F80" i="55" s="1"/>
  <c r="E73" i="55"/>
  <c r="F73" i="55" s="1"/>
  <c r="E62" i="55"/>
  <c r="F62" i="55" s="1"/>
  <c r="E77" i="55"/>
  <c r="F77" i="55" s="1"/>
  <c r="E63" i="55"/>
  <c r="F63" i="55" s="1"/>
  <c r="E61" i="55"/>
  <c r="F61" i="55" s="1"/>
  <c r="E44" i="76"/>
  <c r="F44" i="76" s="1"/>
  <c r="E57" i="55"/>
  <c r="F57" i="55" s="1"/>
  <c r="E58" i="64"/>
  <c r="F58" i="64" s="1"/>
  <c r="E81" i="64"/>
  <c r="F81" i="64" s="1"/>
  <c r="E71" i="64"/>
  <c r="F71" i="64" s="1"/>
  <c r="E63" i="64"/>
  <c r="F63" i="64" s="1"/>
  <c r="E80" i="64"/>
  <c r="F80" i="64" s="1"/>
  <c r="E70" i="64"/>
  <c r="F70" i="64" s="1"/>
  <c r="E61" i="64"/>
  <c r="F61" i="64" s="1"/>
  <c r="E79" i="64"/>
  <c r="F79" i="64" s="1"/>
  <c r="E69" i="64"/>
  <c r="F69" i="64" s="1"/>
  <c r="E62" i="64"/>
  <c r="F62" i="64" s="1"/>
  <c r="E76" i="64"/>
  <c r="F76" i="64" s="1"/>
  <c r="E67" i="64"/>
  <c r="F67" i="64" s="1"/>
  <c r="E72" i="64"/>
  <c r="F72" i="64" s="1"/>
  <c r="E68" i="64"/>
  <c r="F68" i="64" s="1"/>
  <c r="E77" i="64"/>
  <c r="F77" i="64" s="1"/>
  <c r="E75" i="64"/>
  <c r="F75" i="64" s="1"/>
  <c r="E64" i="64"/>
  <c r="F64" i="64" s="1"/>
  <c r="E19" i="34"/>
  <c r="F19" i="34" s="1"/>
  <c r="E46" i="76"/>
  <c r="F46" i="76" s="1"/>
  <c r="E51" i="38"/>
  <c r="F51" i="38" s="1"/>
  <c r="E28" i="36"/>
  <c r="F28" i="36" s="1"/>
  <c r="E19" i="38"/>
  <c r="F19" i="38" s="1"/>
  <c r="E17" i="7"/>
  <c r="F17" i="7" s="1"/>
  <c r="E25" i="31"/>
  <c r="F25" i="31" s="1"/>
  <c r="E51" i="70"/>
  <c r="F51" i="70" s="1"/>
  <c r="E37" i="70"/>
  <c r="F37" i="70" s="1"/>
  <c r="E12" i="70"/>
  <c r="F12" i="70" s="1"/>
  <c r="E14" i="70"/>
  <c r="F14" i="70" s="1"/>
  <c r="E51" i="55"/>
  <c r="F51" i="55" s="1"/>
  <c r="E18" i="37"/>
  <c r="F18" i="37" s="1"/>
  <c r="E70" i="37"/>
  <c r="F70" i="37" s="1"/>
  <c r="E66" i="37"/>
  <c r="F66" i="37" s="1"/>
  <c r="E60" i="37"/>
  <c r="F60" i="37" s="1"/>
  <c r="E75" i="37"/>
  <c r="F75" i="37" s="1"/>
  <c r="E61" i="37"/>
  <c r="F61" i="37" s="1"/>
  <c r="E65" i="37"/>
  <c r="F65" i="37" s="1"/>
  <c r="E73" i="37"/>
  <c r="F73" i="37" s="1"/>
  <c r="E58" i="37"/>
  <c r="F58" i="37" s="1"/>
  <c r="E56" i="37"/>
  <c r="F56" i="37" s="1"/>
  <c r="E68" i="37"/>
  <c r="F68" i="37" s="1"/>
  <c r="E59" i="37"/>
  <c r="F59" i="37" s="1"/>
  <c r="E41" i="36"/>
  <c r="F41" i="36" s="1"/>
  <c r="E70" i="35"/>
  <c r="F70" i="35" s="1"/>
  <c r="E62" i="35"/>
  <c r="F62" i="35" s="1"/>
  <c r="E63" i="35"/>
  <c r="F63" i="35" s="1"/>
  <c r="E68" i="35"/>
  <c r="F68" i="35" s="1"/>
  <c r="E73" i="35"/>
  <c r="F73" i="35" s="1"/>
  <c r="E65" i="35"/>
  <c r="F65" i="35" s="1"/>
  <c r="E57" i="35"/>
  <c r="F57" i="35" s="1"/>
  <c r="E75" i="35"/>
  <c r="F75" i="35" s="1"/>
  <c r="E66" i="35"/>
  <c r="F66" i="35" s="1"/>
  <c r="E55" i="35"/>
  <c r="F55" i="35" s="1"/>
  <c r="E12" i="71"/>
  <c r="F12" i="71" s="1"/>
  <c r="E28" i="30"/>
  <c r="F28" i="30" s="1"/>
  <c r="E14" i="30"/>
  <c r="F14" i="30" s="1"/>
  <c r="E33" i="19"/>
  <c r="F33" i="19" s="1"/>
  <c r="E22" i="7"/>
  <c r="F22" i="7" s="1"/>
  <c r="E50" i="70"/>
  <c r="F50" i="70" s="1"/>
  <c r="E44" i="88"/>
  <c r="F44" i="88" s="1"/>
  <c r="E21" i="76"/>
  <c r="F21" i="76" s="1"/>
  <c r="E20" i="84"/>
  <c r="F20" i="84" s="1"/>
  <c r="E28" i="85"/>
  <c r="F28" i="85" s="1"/>
  <c r="E18" i="88"/>
  <c r="F18" i="88" s="1"/>
  <c r="E42" i="88"/>
  <c r="F42" i="88" s="1"/>
  <c r="E54" i="88"/>
  <c r="F54" i="88" s="1"/>
  <c r="E41" i="87"/>
  <c r="F41" i="87" s="1"/>
  <c r="E31" i="87"/>
  <c r="F31" i="87" s="1"/>
  <c r="E13" i="87"/>
  <c r="F13" i="87" s="1"/>
  <c r="E57" i="87"/>
  <c r="F57" i="87" s="1"/>
  <c r="E53" i="86"/>
  <c r="F53" i="86" s="1"/>
  <c r="E46" i="85"/>
  <c r="F46" i="85" s="1"/>
  <c r="E18" i="85"/>
  <c r="F18" i="85" s="1"/>
  <c r="E18" i="84"/>
  <c r="F18" i="84" s="1"/>
  <c r="E47" i="84"/>
  <c r="F47" i="84" s="1"/>
  <c r="E43" i="84"/>
  <c r="F43" i="84" s="1"/>
  <c r="E37" i="76"/>
  <c r="F37" i="76" s="1"/>
  <c r="E8" i="76"/>
  <c r="F8" i="76" s="1"/>
  <c r="E16" i="72"/>
  <c r="F16" i="72" s="1"/>
  <c r="E50" i="84"/>
  <c r="F50" i="84" s="1"/>
  <c r="E17" i="76"/>
  <c r="F17" i="76" s="1"/>
  <c r="E53" i="71"/>
  <c r="F53" i="71" s="1"/>
  <c r="E61" i="71"/>
  <c r="F61" i="71" s="1"/>
  <c r="E66" i="54"/>
  <c r="F66" i="54" s="1"/>
  <c r="E79" i="54"/>
  <c r="F79" i="54" s="1"/>
  <c r="E66" i="30"/>
  <c r="F66" i="30" s="1"/>
  <c r="E73" i="30"/>
  <c r="F73" i="30" s="1"/>
  <c r="E55" i="23"/>
  <c r="F55" i="23" s="1"/>
  <c r="E51" i="78"/>
  <c r="F51" i="78" s="1"/>
  <c r="E64" i="78"/>
  <c r="F64" i="78" s="1"/>
  <c r="E81" i="70"/>
  <c r="F81" i="70" s="1"/>
  <c r="E56" i="77"/>
  <c r="F56" i="77" s="1"/>
  <c r="E63" i="37"/>
  <c r="F63" i="37" s="1"/>
  <c r="E54" i="35"/>
  <c r="F54" i="35" s="1"/>
  <c r="E72" i="35"/>
  <c r="F72" i="35" s="1"/>
  <c r="E78" i="88"/>
  <c r="F78" i="88" s="1"/>
  <c r="E72" i="86"/>
  <c r="F72" i="86" s="1"/>
  <c r="E75" i="84"/>
  <c r="F75" i="84" s="1"/>
  <c r="E63" i="76"/>
  <c r="F63" i="76" s="1"/>
  <c r="E53" i="34"/>
  <c r="F53" i="34" s="1"/>
  <c r="E65" i="64"/>
  <c r="F65" i="64" s="1"/>
  <c r="E64" i="55"/>
  <c r="F64" i="55" s="1"/>
  <c r="E51" i="27"/>
  <c r="F51" i="27" s="1"/>
  <c r="E57" i="7"/>
  <c r="F57" i="7" s="1"/>
  <c r="E50" i="72"/>
  <c r="F50" i="72" s="1"/>
  <c r="E53" i="16"/>
  <c r="F53" i="16" s="1"/>
  <c r="E70" i="82"/>
  <c r="F70" i="82" s="1"/>
  <c r="E57" i="24"/>
  <c r="F57" i="24" s="1"/>
  <c r="E64" i="81"/>
  <c r="F64" i="81" s="1"/>
  <c r="E57" i="38"/>
  <c r="F57" i="38" s="1"/>
  <c r="E64" i="36"/>
  <c r="F64" i="36" s="1"/>
  <c r="E55" i="25"/>
  <c r="F55" i="25" s="1"/>
  <c r="E64" i="31"/>
  <c r="F64" i="31" s="1"/>
  <c r="E67" i="87"/>
  <c r="F67" i="87" s="1"/>
  <c r="E47" i="15"/>
  <c r="F47" i="15" s="1"/>
  <c r="E55" i="15"/>
  <c r="F55" i="15" s="1"/>
  <c r="E54" i="15"/>
  <c r="F54" i="15" s="1"/>
  <c r="E24" i="15"/>
  <c r="F24" i="15" s="1"/>
  <c r="E18" i="15"/>
  <c r="F18" i="15" s="1"/>
  <c r="E35" i="15"/>
  <c r="F35" i="15" s="1"/>
  <c r="E44" i="15"/>
  <c r="F44" i="15" s="1"/>
  <c r="E52" i="15"/>
  <c r="F52" i="15" s="1"/>
  <c r="E62" i="15"/>
  <c r="F62" i="15" s="1"/>
  <c r="E46" i="15"/>
  <c r="F46" i="15" s="1"/>
  <c r="E51" i="15"/>
  <c r="F51" i="15" s="1"/>
  <c r="E60" i="15"/>
  <c r="F60" i="15" s="1"/>
  <c r="E51" i="77"/>
  <c r="F51" i="77" s="1"/>
  <c r="E53" i="77"/>
  <c r="F53" i="77" s="1"/>
  <c r="E11" i="38"/>
  <c r="F11" i="38" s="1"/>
  <c r="E41" i="38"/>
  <c r="F41" i="38" s="1"/>
  <c r="E26" i="38"/>
  <c r="F26" i="38" s="1"/>
  <c r="E43" i="38"/>
  <c r="F43" i="38" s="1"/>
  <c r="E24" i="38"/>
  <c r="F24" i="38" s="1"/>
  <c r="E53" i="82"/>
  <c r="F53" i="82" s="1"/>
  <c r="E53" i="38"/>
  <c r="F53" i="38" s="1"/>
  <c r="E29" i="38"/>
  <c r="F29" i="38" s="1"/>
  <c r="E9" i="38"/>
  <c r="F9" i="38" s="1"/>
  <c r="E18" i="38"/>
  <c r="F18" i="38" s="1"/>
  <c r="E48" i="38"/>
  <c r="F48" i="38" s="1"/>
  <c r="E39" i="36"/>
  <c r="F39" i="36" s="1"/>
  <c r="E14" i="36"/>
  <c r="F14" i="36" s="1"/>
  <c r="E12" i="36"/>
  <c r="F12" i="36" s="1"/>
  <c r="E34" i="36"/>
  <c r="F34" i="36" s="1"/>
  <c r="E24" i="36"/>
  <c r="F24" i="36" s="1"/>
  <c r="E30" i="36"/>
  <c r="F30" i="36" s="1"/>
  <c r="E26" i="36"/>
  <c r="F26" i="36" s="1"/>
  <c r="E40" i="27"/>
  <c r="F40" i="27" s="1"/>
  <c r="E8" i="23"/>
  <c r="F8" i="23" s="1"/>
  <c r="E20" i="23"/>
  <c r="F20" i="23" s="1"/>
  <c r="E30" i="23"/>
  <c r="F30" i="23" s="1"/>
  <c r="E32" i="23"/>
  <c r="F32" i="23" s="1"/>
  <c r="E39" i="23"/>
  <c r="F39" i="23" s="1"/>
  <c r="E28" i="23"/>
  <c r="F28" i="23" s="1"/>
  <c r="E41" i="23"/>
  <c r="F41" i="23" s="1"/>
  <c r="E33" i="23"/>
  <c r="F33" i="23" s="1"/>
  <c r="E42" i="23"/>
  <c r="F42" i="23" s="1"/>
  <c r="E36" i="23"/>
  <c r="F36" i="23" s="1"/>
  <c r="E22" i="23"/>
  <c r="F22" i="23" s="1"/>
  <c r="E43" i="23"/>
  <c r="F43" i="23" s="1"/>
  <c r="E18" i="23"/>
  <c r="F18" i="23" s="1"/>
  <c r="E24" i="23"/>
  <c r="F24" i="23" s="1"/>
  <c r="E23" i="23"/>
  <c r="F23" i="23" s="1"/>
  <c r="E48" i="23"/>
  <c r="F48" i="23" s="1"/>
  <c r="E38" i="23"/>
  <c r="F38" i="23" s="1"/>
  <c r="E16" i="23"/>
  <c r="F16" i="23" s="1"/>
  <c r="E19" i="23"/>
  <c r="F19" i="23" s="1"/>
  <c r="E29" i="23"/>
  <c r="F29" i="23" s="1"/>
  <c r="E11" i="23"/>
  <c r="F11" i="23" s="1"/>
  <c r="E14" i="23"/>
  <c r="F14" i="23" s="1"/>
  <c r="E37" i="23"/>
  <c r="F37" i="23" s="1"/>
  <c r="E26" i="23"/>
  <c r="F26" i="23" s="1"/>
  <c r="E35" i="23"/>
  <c r="F35" i="23" s="1"/>
  <c r="E31" i="23"/>
  <c r="F31" i="23" s="1"/>
  <c r="E34" i="23"/>
  <c r="F34" i="23" s="1"/>
  <c r="E40" i="23"/>
  <c r="F40" i="23" s="1"/>
  <c r="E15" i="23"/>
  <c r="F15" i="23" s="1"/>
  <c r="E10" i="23"/>
  <c r="F10" i="23" s="1"/>
  <c r="E25" i="23"/>
  <c r="F25" i="23" s="1"/>
  <c r="E33" i="7"/>
  <c r="F33" i="7" s="1"/>
  <c r="E29" i="7"/>
  <c r="F29" i="7" s="1"/>
  <c r="E21" i="7"/>
  <c r="F21" i="7" s="1"/>
  <c r="E35" i="7"/>
  <c r="F35" i="7" s="1"/>
  <c r="E27" i="7"/>
  <c r="F27" i="7" s="1"/>
  <c r="E41" i="7"/>
  <c r="F41" i="7" s="1"/>
  <c r="E31" i="7"/>
  <c r="F31" i="7" s="1"/>
  <c r="E30" i="7"/>
  <c r="F30" i="7" s="1"/>
  <c r="E25" i="7"/>
  <c r="F25" i="7" s="1"/>
  <c r="E37" i="7"/>
  <c r="F37" i="7" s="1"/>
  <c r="E23" i="7"/>
  <c r="F23" i="7" s="1"/>
  <c r="E27" i="86"/>
  <c r="F27" i="86" s="1"/>
  <c r="E32" i="86"/>
  <c r="F32" i="86" s="1"/>
  <c r="E40" i="86"/>
  <c r="F40" i="86" s="1"/>
  <c r="E21" i="86"/>
  <c r="F21" i="86" s="1"/>
  <c r="E50" i="86"/>
  <c r="F50" i="86" s="1"/>
  <c r="E13" i="86"/>
  <c r="F13" i="86" s="1"/>
  <c r="E19" i="86"/>
  <c r="F19" i="86" s="1"/>
  <c r="E46" i="86"/>
  <c r="F46" i="86" s="1"/>
  <c r="E51" i="86"/>
  <c r="F51" i="86" s="1"/>
  <c r="E17" i="86"/>
  <c r="F17" i="86" s="1"/>
  <c r="E25" i="86"/>
  <c r="F25" i="86" s="1"/>
  <c r="E23" i="72"/>
  <c r="F23" i="72" s="1"/>
  <c r="E15" i="72"/>
  <c r="F15" i="72" s="1"/>
  <c r="E13" i="72"/>
  <c r="F13" i="72" s="1"/>
  <c r="E10" i="72"/>
  <c r="F10" i="72" s="1"/>
  <c r="E21" i="72"/>
  <c r="F21" i="72" s="1"/>
  <c r="E17" i="72"/>
  <c r="F17" i="72" s="1"/>
  <c r="E34" i="72"/>
  <c r="F34" i="72" s="1"/>
  <c r="E31" i="72"/>
  <c r="F31" i="72" s="1"/>
  <c r="E12" i="72"/>
  <c r="F12" i="72" s="1"/>
  <c r="E28" i="72"/>
  <c r="F28" i="72" s="1"/>
  <c r="E32" i="74"/>
  <c r="F32" i="74" s="1"/>
  <c r="E23" i="86"/>
  <c r="F23" i="86" s="1"/>
  <c r="E20" i="77"/>
  <c r="F20" i="77" s="1"/>
  <c r="E17" i="27"/>
  <c r="F17" i="27" s="1"/>
  <c r="E42" i="72"/>
  <c r="F42" i="72" s="1"/>
  <c r="E52" i="36"/>
  <c r="F52" i="36" s="1"/>
  <c r="E40" i="7"/>
  <c r="F40" i="7" s="1"/>
  <c r="E20" i="36"/>
  <c r="F20" i="36" s="1"/>
  <c r="E45" i="23"/>
  <c r="F45" i="23" s="1"/>
  <c r="E12" i="38"/>
  <c r="F12" i="38" s="1"/>
  <c r="E31" i="38"/>
  <c r="F31" i="38" s="1"/>
  <c r="E46" i="38"/>
  <c r="F46" i="38" s="1"/>
  <c r="E8" i="38"/>
  <c r="F8" i="38" s="1"/>
  <c r="E47" i="38"/>
  <c r="F47" i="38" s="1"/>
  <c r="E22" i="38"/>
  <c r="F22" i="38" s="1"/>
  <c r="E11" i="7"/>
  <c r="F11" i="7" s="1"/>
  <c r="E14" i="7"/>
  <c r="F14" i="7" s="1"/>
  <c r="E59" i="91"/>
  <c r="F59" i="91" s="1"/>
  <c r="E11" i="55"/>
  <c r="F11" i="55" s="1"/>
  <c r="E19" i="55"/>
  <c r="F19" i="55" s="1"/>
  <c r="E24" i="31"/>
  <c r="F24" i="31" s="1"/>
  <c r="E48" i="25"/>
  <c r="F48" i="25" s="1"/>
  <c r="E20" i="70"/>
  <c r="F20" i="70" s="1"/>
  <c r="E17" i="70"/>
  <c r="F17" i="70" s="1"/>
  <c r="E24" i="70"/>
  <c r="F24" i="70" s="1"/>
  <c r="E34" i="70"/>
  <c r="F34" i="70" s="1"/>
  <c r="E52" i="70"/>
  <c r="F52" i="70" s="1"/>
  <c r="E44" i="70"/>
  <c r="F44" i="70" s="1"/>
  <c r="E33" i="70"/>
  <c r="F33" i="70" s="1"/>
  <c r="E54" i="70"/>
  <c r="F54" i="70" s="1"/>
  <c r="E43" i="70"/>
  <c r="F43" i="70" s="1"/>
  <c r="E48" i="70"/>
  <c r="F48" i="70" s="1"/>
  <c r="E38" i="70"/>
  <c r="F38" i="70" s="1"/>
  <c r="E47" i="70"/>
  <c r="F47" i="70" s="1"/>
  <c r="E35" i="70"/>
  <c r="F35" i="70" s="1"/>
  <c r="E10" i="70"/>
  <c r="F10" i="70" s="1"/>
  <c r="E23" i="70"/>
  <c r="F23" i="70" s="1"/>
  <c r="E42" i="70"/>
  <c r="F42" i="70" s="1"/>
  <c r="E30" i="70"/>
  <c r="F30" i="70" s="1"/>
  <c r="E32" i="55"/>
  <c r="F32" i="55" s="1"/>
  <c r="E17" i="55"/>
  <c r="F17" i="55" s="1"/>
  <c r="E30" i="55"/>
  <c r="F30" i="55" s="1"/>
  <c r="E58" i="54"/>
  <c r="F58" i="54" s="1"/>
  <c r="E17" i="38"/>
  <c r="F17" i="38" s="1"/>
  <c r="E23" i="38"/>
  <c r="F23" i="38" s="1"/>
  <c r="E25" i="38"/>
  <c r="F25" i="38" s="1"/>
  <c r="E9" i="37"/>
  <c r="F9" i="37" s="1"/>
  <c r="E17" i="37"/>
  <c r="F17" i="37" s="1"/>
  <c r="E10" i="37"/>
  <c r="F10" i="37" s="1"/>
  <c r="E34" i="37"/>
  <c r="F34" i="37" s="1"/>
  <c r="E20" i="37"/>
  <c r="F20" i="37" s="1"/>
  <c r="E19" i="37"/>
  <c r="F19" i="37" s="1"/>
  <c r="E39" i="37"/>
  <c r="F39" i="37" s="1"/>
  <c r="E44" i="36"/>
  <c r="F44" i="36" s="1"/>
  <c r="E32" i="36"/>
  <c r="F32" i="36" s="1"/>
  <c r="E9" i="36"/>
  <c r="F9" i="36" s="1"/>
  <c r="E46" i="36"/>
  <c r="F46" i="36" s="1"/>
  <c r="E21" i="36"/>
  <c r="F21" i="36" s="1"/>
  <c r="E36" i="36"/>
  <c r="F36" i="36" s="1"/>
  <c r="E21" i="35"/>
  <c r="F21" i="35" s="1"/>
  <c r="E30" i="35"/>
  <c r="F30" i="35" s="1"/>
  <c r="E23" i="35"/>
  <c r="F23" i="35" s="1"/>
  <c r="E44" i="35"/>
  <c r="F44" i="35" s="1"/>
  <c r="E31" i="35"/>
  <c r="F31" i="35" s="1"/>
  <c r="E28" i="35"/>
  <c r="F28" i="35" s="1"/>
  <c r="E46" i="35"/>
  <c r="F46" i="35" s="1"/>
  <c r="E32" i="35"/>
  <c r="F32" i="35" s="1"/>
  <c r="E9" i="35"/>
  <c r="F9" i="35" s="1"/>
  <c r="E15" i="35"/>
  <c r="F15" i="35" s="1"/>
  <c r="E20" i="35"/>
  <c r="F20" i="35" s="1"/>
  <c r="E25" i="35"/>
  <c r="F25" i="35" s="1"/>
  <c r="E10" i="35"/>
  <c r="F10" i="35" s="1"/>
  <c r="E22" i="35"/>
  <c r="F22" i="35" s="1"/>
  <c r="E41" i="35"/>
  <c r="F41" i="35" s="1"/>
  <c r="E11" i="35"/>
  <c r="F11" i="35" s="1"/>
  <c r="E17" i="35"/>
  <c r="F17" i="35" s="1"/>
  <c r="E47" i="35"/>
  <c r="F47" i="35" s="1"/>
  <c r="E12" i="35"/>
  <c r="F12" i="35" s="1"/>
  <c r="E49" i="35"/>
  <c r="F49" i="35" s="1"/>
  <c r="E29" i="35"/>
  <c r="F29" i="35" s="1"/>
  <c r="E16" i="35"/>
  <c r="F16" i="35" s="1"/>
  <c r="E18" i="35"/>
  <c r="F18" i="35" s="1"/>
  <c r="E24" i="35"/>
  <c r="F24" i="35" s="1"/>
  <c r="E23" i="71"/>
  <c r="F23" i="71" s="1"/>
  <c r="E33" i="71"/>
  <c r="F33" i="71" s="1"/>
  <c r="E8" i="71"/>
  <c r="F8" i="71" s="1"/>
  <c r="E10" i="30"/>
  <c r="F10" i="30" s="1"/>
  <c r="E40" i="30"/>
  <c r="F40" i="30" s="1"/>
  <c r="E47" i="30"/>
  <c r="F47" i="30" s="1"/>
  <c r="E24" i="30"/>
  <c r="F24" i="30" s="1"/>
  <c r="E30" i="30"/>
  <c r="F30" i="30" s="1"/>
  <c r="E38" i="30"/>
  <c r="F38" i="30" s="1"/>
  <c r="E29" i="30"/>
  <c r="F29" i="30" s="1"/>
  <c r="E46" i="30"/>
  <c r="F46" i="30" s="1"/>
  <c r="E31" i="30"/>
  <c r="F31" i="30" s="1"/>
  <c r="E43" i="30"/>
  <c r="F43" i="30" s="1"/>
  <c r="E37" i="30"/>
  <c r="F37" i="30" s="1"/>
  <c r="E12" i="30"/>
  <c r="F12" i="30" s="1"/>
  <c r="E19" i="30"/>
  <c r="F19" i="30" s="1"/>
  <c r="E15" i="30"/>
  <c r="F15" i="30" s="1"/>
  <c r="E44" i="30"/>
  <c r="F44" i="30" s="1"/>
  <c r="E39" i="30"/>
  <c r="F39" i="30" s="1"/>
  <c r="E32" i="30"/>
  <c r="F32" i="30" s="1"/>
  <c r="E13" i="30"/>
  <c r="F13" i="30" s="1"/>
  <c r="E34" i="30"/>
  <c r="F34" i="30" s="1"/>
  <c r="E27" i="30"/>
  <c r="F27" i="30" s="1"/>
  <c r="E42" i="30"/>
  <c r="F42" i="30" s="1"/>
  <c r="E50" i="30"/>
  <c r="F50" i="30" s="1"/>
  <c r="E26" i="30"/>
  <c r="F26" i="30" s="1"/>
  <c r="E17" i="30"/>
  <c r="F17" i="30" s="1"/>
  <c r="E36" i="30"/>
  <c r="F36" i="30" s="1"/>
  <c r="E41" i="30"/>
  <c r="F41" i="30" s="1"/>
  <c r="E23" i="30"/>
  <c r="F23" i="30" s="1"/>
  <c r="E21" i="30"/>
  <c r="F21" i="30" s="1"/>
  <c r="E49" i="30"/>
  <c r="F49" i="30" s="1"/>
  <c r="E33" i="30"/>
  <c r="F33" i="30" s="1"/>
  <c r="E45" i="30"/>
  <c r="F45" i="30" s="1"/>
  <c r="E35" i="30"/>
  <c r="F35" i="30" s="1"/>
  <c r="E11" i="30"/>
  <c r="F11" i="30" s="1"/>
  <c r="E12" i="23"/>
  <c r="F12" i="23" s="1"/>
  <c r="E51" i="19"/>
  <c r="F51" i="19" s="1"/>
  <c r="E19" i="7"/>
  <c r="F19" i="7" s="1"/>
  <c r="E26" i="7"/>
  <c r="F26" i="7" s="1"/>
  <c r="E42" i="7"/>
  <c r="F42" i="7" s="1"/>
  <c r="E13" i="70"/>
  <c r="F13" i="70" s="1"/>
  <c r="E33" i="35"/>
  <c r="F33" i="35" s="1"/>
  <c r="E41" i="70"/>
  <c r="F41" i="70" s="1"/>
  <c r="E14" i="35"/>
  <c r="F14" i="35" s="1"/>
  <c r="E32" i="88"/>
  <c r="F32" i="88" s="1"/>
  <c r="E16" i="88"/>
  <c r="F16" i="88" s="1"/>
  <c r="E17" i="88"/>
  <c r="F17" i="88" s="1"/>
  <c r="E30" i="88"/>
  <c r="F30" i="88" s="1"/>
  <c r="E49" i="88"/>
  <c r="F49" i="88" s="1"/>
  <c r="E24" i="88"/>
  <c r="F24" i="88" s="1"/>
  <c r="E50" i="88"/>
  <c r="F50" i="88" s="1"/>
  <c r="E25" i="88"/>
  <c r="F25" i="88" s="1"/>
  <c r="E19" i="88"/>
  <c r="F19" i="88" s="1"/>
  <c r="E16" i="87"/>
  <c r="F16" i="87" s="1"/>
  <c r="E19" i="87"/>
  <c r="F19" i="87" s="1"/>
  <c r="E35" i="87"/>
  <c r="F35" i="87" s="1"/>
  <c r="E36" i="87"/>
  <c r="F36" i="87" s="1"/>
  <c r="E46" i="87"/>
  <c r="F46" i="87" s="1"/>
  <c r="E18" i="87"/>
  <c r="F18" i="87" s="1"/>
  <c r="E26" i="87"/>
  <c r="F26" i="87" s="1"/>
  <c r="E23" i="87"/>
  <c r="F23" i="87" s="1"/>
  <c r="E51" i="87"/>
  <c r="F51" i="87" s="1"/>
  <c r="E38" i="87"/>
  <c r="F38" i="87" s="1"/>
  <c r="E24" i="86"/>
  <c r="F24" i="86" s="1"/>
  <c r="E37" i="86"/>
  <c r="F37" i="86" s="1"/>
  <c r="E35" i="86"/>
  <c r="F35" i="86" s="1"/>
  <c r="E34" i="86"/>
  <c r="F34" i="86" s="1"/>
  <c r="E20" i="86"/>
  <c r="F20" i="86" s="1"/>
  <c r="E8" i="86"/>
  <c r="F8" i="86" s="1"/>
  <c r="E57" i="86"/>
  <c r="F57" i="86" s="1"/>
  <c r="E8" i="85"/>
  <c r="F8" i="85" s="1"/>
  <c r="E37" i="85"/>
  <c r="F37" i="85" s="1"/>
  <c r="E11" i="85"/>
  <c r="F11" i="85" s="1"/>
  <c r="E39" i="85"/>
  <c r="F39" i="85" s="1"/>
  <c r="E20" i="85"/>
  <c r="F20" i="85" s="1"/>
  <c r="E13" i="85"/>
  <c r="F13" i="85" s="1"/>
  <c r="E27" i="84"/>
  <c r="F27" i="84" s="1"/>
  <c r="E8" i="84"/>
  <c r="F8" i="84" s="1"/>
  <c r="E9" i="84"/>
  <c r="F9" i="84" s="1"/>
  <c r="E40" i="84"/>
  <c r="F40" i="84" s="1"/>
  <c r="E22" i="84"/>
  <c r="F22" i="84" s="1"/>
  <c r="E12" i="84"/>
  <c r="F12" i="84" s="1"/>
  <c r="E32" i="76"/>
  <c r="F32" i="76" s="1"/>
  <c r="E33" i="76"/>
  <c r="F33" i="76" s="1"/>
  <c r="E26" i="76"/>
  <c r="F26" i="76" s="1"/>
  <c r="E27" i="72"/>
  <c r="F27" i="72" s="1"/>
  <c r="E19" i="72"/>
  <c r="F19" i="72" s="1"/>
  <c r="E14" i="72"/>
  <c r="F14" i="72" s="1"/>
  <c r="E20" i="72"/>
  <c r="F20" i="72" s="1"/>
  <c r="E43" i="72"/>
  <c r="F43" i="72" s="1"/>
  <c r="E24" i="72"/>
  <c r="F24" i="72" s="1"/>
  <c r="E18" i="72"/>
  <c r="F18" i="72" s="1"/>
  <c r="E12" i="87"/>
  <c r="F12" i="87" s="1"/>
  <c r="E45" i="87"/>
  <c r="F45" i="87" s="1"/>
  <c r="E35" i="85"/>
  <c r="F35" i="85" s="1"/>
  <c r="E48" i="87"/>
  <c r="F48" i="87" s="1"/>
  <c r="E46" i="74"/>
  <c r="F46" i="74" s="1"/>
  <c r="E44" i="38"/>
  <c r="F44" i="38" s="1"/>
  <c r="E20" i="38"/>
  <c r="F20" i="38" s="1"/>
  <c r="E37" i="38"/>
  <c r="F37" i="38" s="1"/>
  <c r="E15" i="38"/>
  <c r="F15" i="38" s="1"/>
  <c r="E35" i="38"/>
  <c r="F35" i="38" s="1"/>
  <c r="E27" i="38"/>
  <c r="F27" i="38" s="1"/>
  <c r="E33" i="38"/>
  <c r="F33" i="38" s="1"/>
  <c r="E34" i="38"/>
  <c r="F34" i="38" s="1"/>
  <c r="E30" i="38"/>
  <c r="F30" i="38" s="1"/>
  <c r="E25" i="36"/>
  <c r="F25" i="36" s="1"/>
  <c r="E8" i="36"/>
  <c r="F8" i="36" s="1"/>
  <c r="E45" i="36"/>
  <c r="F45" i="36" s="1"/>
  <c r="E33" i="36"/>
  <c r="F33" i="36" s="1"/>
  <c r="E16" i="36"/>
  <c r="F16" i="36" s="1"/>
  <c r="E19" i="36"/>
  <c r="F19" i="36" s="1"/>
  <c r="E43" i="36"/>
  <c r="F43" i="36" s="1"/>
  <c r="E38" i="36"/>
  <c r="F38" i="36" s="1"/>
  <c r="E29" i="36"/>
  <c r="F29" i="36" s="1"/>
  <c r="E13" i="36"/>
  <c r="F13" i="36" s="1"/>
  <c r="E44" i="86"/>
  <c r="F44" i="86" s="1"/>
  <c r="E49" i="86"/>
  <c r="F49" i="86" s="1"/>
  <c r="E14" i="77"/>
  <c r="F14" i="77" s="1"/>
  <c r="E9" i="23"/>
  <c r="F9" i="23" s="1"/>
  <c r="E54" i="86"/>
  <c r="F54" i="86" s="1"/>
  <c r="E26" i="86"/>
  <c r="F26" i="86" s="1"/>
  <c r="E41" i="72"/>
  <c r="F41" i="72" s="1"/>
  <c r="E52" i="38"/>
  <c r="F52" i="38" s="1"/>
  <c r="E39" i="7"/>
  <c r="F39" i="7" s="1"/>
  <c r="E45" i="77"/>
  <c r="F45" i="77" s="1"/>
  <c r="E13" i="7"/>
  <c r="F13" i="7" s="1"/>
  <c r="E27" i="23"/>
  <c r="F27" i="23" s="1"/>
  <c r="E46" i="23"/>
  <c r="F46" i="23" s="1"/>
  <c r="E13" i="38"/>
  <c r="F13" i="38" s="1"/>
  <c r="E38" i="38"/>
  <c r="F38" i="38" s="1"/>
  <c r="E10" i="38"/>
  <c r="F10" i="38" s="1"/>
  <c r="E42" i="38"/>
  <c r="F42" i="38" s="1"/>
  <c r="E14" i="38"/>
  <c r="F14" i="38" s="1"/>
  <c r="E12" i="7"/>
  <c r="F12" i="7" s="1"/>
  <c r="E10" i="7"/>
  <c r="F10" i="7" s="1"/>
  <c r="E50" i="16"/>
  <c r="F50" i="16" s="1"/>
  <c r="E11" i="36"/>
  <c r="F11" i="36" s="1"/>
  <c r="E8" i="91"/>
  <c r="F8" i="91" s="1"/>
  <c r="E18" i="91"/>
  <c r="F18" i="91" s="1"/>
  <c r="E25" i="91"/>
  <c r="F25" i="91" s="1"/>
  <c r="E9" i="91"/>
  <c r="F9" i="91" s="1"/>
  <c r="E53" i="91"/>
  <c r="F53" i="91" s="1"/>
  <c r="E51" i="91"/>
  <c r="F51" i="91" s="1"/>
  <c r="E52" i="91"/>
  <c r="F52" i="91" s="1"/>
  <c r="E43" i="91"/>
  <c r="F43" i="91" s="1"/>
  <c r="E39" i="91"/>
  <c r="F39" i="91" s="1"/>
  <c r="E38" i="91"/>
  <c r="F38" i="91" s="1"/>
  <c r="E13" i="91"/>
  <c r="F13" i="91" s="1"/>
  <c r="E36" i="91"/>
  <c r="F36" i="91" s="1"/>
  <c r="E29" i="91"/>
  <c r="F29" i="91" s="1"/>
  <c r="E50" i="91"/>
  <c r="F50" i="91" s="1"/>
  <c r="E45" i="91"/>
  <c r="F45" i="91" s="1"/>
  <c r="E37" i="91"/>
  <c r="F37" i="91" s="1"/>
  <c r="E33" i="91"/>
  <c r="F33" i="91" s="1"/>
  <c r="E32" i="91"/>
  <c r="F32" i="91" s="1"/>
  <c r="E49" i="91"/>
  <c r="F49" i="91" s="1"/>
  <c r="E40" i="91"/>
  <c r="F40" i="91" s="1"/>
  <c r="E44" i="91"/>
  <c r="F44" i="91" s="1"/>
  <c r="E48" i="91"/>
  <c r="F48" i="91" s="1"/>
  <c r="E35" i="91"/>
  <c r="F35" i="91" s="1"/>
  <c r="E47" i="91"/>
  <c r="F47" i="91" s="1"/>
  <c r="E31" i="91"/>
  <c r="F31" i="91" s="1"/>
  <c r="E54" i="91"/>
  <c r="F54" i="91" s="1"/>
  <c r="E42" i="91"/>
  <c r="F42" i="91" s="1"/>
  <c r="E34" i="91"/>
  <c r="F34" i="91" s="1"/>
  <c r="E41" i="91"/>
  <c r="F41" i="91" s="1"/>
  <c r="E46" i="91"/>
  <c r="F46" i="91" s="1"/>
  <c r="E30" i="91"/>
  <c r="F30" i="91" s="1"/>
  <c r="E60" i="64"/>
  <c r="F60" i="64" s="1"/>
  <c r="E18" i="55"/>
  <c r="F18" i="55" s="1"/>
  <c r="E44" i="55"/>
  <c r="F44" i="55" s="1"/>
  <c r="E33" i="55"/>
  <c r="F33" i="55" s="1"/>
  <c r="E8" i="55"/>
  <c r="F8" i="55" s="1"/>
  <c r="E22" i="55"/>
  <c r="F22" i="55" s="1"/>
  <c r="E53" i="55"/>
  <c r="F53" i="55" s="1"/>
  <c r="E35" i="55"/>
  <c r="F35" i="55" s="1"/>
  <c r="E25" i="55"/>
  <c r="F25" i="55" s="1"/>
  <c r="E10" i="55"/>
  <c r="F10" i="55" s="1"/>
  <c r="E20" i="55"/>
  <c r="F20" i="55" s="1"/>
  <c r="E52" i="55"/>
  <c r="F52" i="55" s="1"/>
  <c r="E34" i="55"/>
  <c r="F34" i="55" s="1"/>
  <c r="E50" i="55"/>
  <c r="F50" i="55" s="1"/>
  <c r="E48" i="55"/>
  <c r="F48" i="55" s="1"/>
  <c r="E39" i="55"/>
  <c r="F39" i="55" s="1"/>
  <c r="E31" i="55"/>
  <c r="F31" i="55" s="1"/>
  <c r="E14" i="55"/>
  <c r="F14" i="55" s="1"/>
  <c r="E24" i="55"/>
  <c r="F24" i="55" s="1"/>
  <c r="E41" i="55"/>
  <c r="F41" i="55" s="1"/>
  <c r="E26" i="55"/>
  <c r="F26" i="55" s="1"/>
  <c r="E32" i="31"/>
  <c r="F32" i="31" s="1"/>
  <c r="E28" i="31"/>
  <c r="F28" i="31" s="1"/>
  <c r="E12" i="31"/>
  <c r="F12" i="31" s="1"/>
  <c r="E26" i="31"/>
  <c r="F26" i="31" s="1"/>
  <c r="E10" i="31"/>
  <c r="F10" i="31" s="1"/>
  <c r="E44" i="31"/>
  <c r="F44" i="31" s="1"/>
  <c r="E43" i="31"/>
  <c r="F43" i="31" s="1"/>
  <c r="E38" i="31"/>
  <c r="F38" i="31" s="1"/>
  <c r="E33" i="31"/>
  <c r="F33" i="31" s="1"/>
  <c r="E27" i="31"/>
  <c r="F27" i="31" s="1"/>
  <c r="E11" i="31"/>
  <c r="F11" i="31" s="1"/>
  <c r="E21" i="31"/>
  <c r="F21" i="31" s="1"/>
  <c r="E16" i="31"/>
  <c r="F16" i="31" s="1"/>
  <c r="E30" i="31"/>
  <c r="F30" i="31" s="1"/>
  <c r="E47" i="31"/>
  <c r="F47" i="31" s="1"/>
  <c r="E40" i="31"/>
  <c r="F40" i="31" s="1"/>
  <c r="E39" i="31"/>
  <c r="F39" i="31" s="1"/>
  <c r="E15" i="31"/>
  <c r="F15" i="31" s="1"/>
  <c r="E17" i="31"/>
  <c r="F17" i="31" s="1"/>
  <c r="E34" i="31"/>
  <c r="F34" i="31" s="1"/>
  <c r="E37" i="31"/>
  <c r="F37" i="31" s="1"/>
  <c r="E9" i="31"/>
  <c r="F9" i="31" s="1"/>
  <c r="E8" i="31"/>
  <c r="F8" i="31" s="1"/>
  <c r="E22" i="31"/>
  <c r="F22" i="31" s="1"/>
  <c r="E48" i="31"/>
  <c r="F48" i="31" s="1"/>
  <c r="E41" i="31"/>
  <c r="F41" i="31" s="1"/>
  <c r="E19" i="31"/>
  <c r="F19" i="31" s="1"/>
  <c r="E18" i="31"/>
  <c r="F18" i="31" s="1"/>
  <c r="E46" i="31"/>
  <c r="F46" i="31" s="1"/>
  <c r="E14" i="31"/>
  <c r="F14" i="31" s="1"/>
  <c r="E49" i="31"/>
  <c r="F49" i="31" s="1"/>
  <c r="E35" i="31"/>
  <c r="F35" i="31" s="1"/>
  <c r="E23" i="31"/>
  <c r="F23" i="31" s="1"/>
  <c r="E45" i="31"/>
  <c r="F45" i="31" s="1"/>
  <c r="E42" i="31"/>
  <c r="F42" i="31" s="1"/>
  <c r="E50" i="31"/>
  <c r="F50" i="31" s="1"/>
  <c r="E36" i="31"/>
  <c r="F36" i="31" s="1"/>
  <c r="E31" i="31"/>
  <c r="F31" i="31" s="1"/>
  <c r="E54" i="31"/>
  <c r="F54" i="31" s="1"/>
  <c r="E45" i="55"/>
  <c r="F45" i="55" s="1"/>
  <c r="E21" i="55"/>
  <c r="F21" i="55" s="1"/>
  <c r="E43" i="55"/>
  <c r="F43" i="55" s="1"/>
  <c r="E12" i="55"/>
  <c r="F12" i="55" s="1"/>
  <c r="E39" i="38"/>
  <c r="F39" i="38" s="1"/>
  <c r="E45" i="38"/>
  <c r="F45" i="38" s="1"/>
  <c r="E49" i="38"/>
  <c r="F49" i="38" s="1"/>
  <c r="E40" i="38"/>
  <c r="F40" i="38" s="1"/>
  <c r="E13" i="37"/>
  <c r="F13" i="37" s="1"/>
  <c r="E8" i="37"/>
  <c r="F8" i="37" s="1"/>
  <c r="E40" i="37"/>
  <c r="F40" i="37" s="1"/>
  <c r="E29" i="37"/>
  <c r="F29" i="37" s="1"/>
  <c r="E47" i="37"/>
  <c r="F47" i="37" s="1"/>
  <c r="E28" i="37"/>
  <c r="F28" i="37" s="1"/>
  <c r="E25" i="37"/>
  <c r="F25" i="37" s="1"/>
  <c r="E45" i="37"/>
  <c r="F45" i="37" s="1"/>
  <c r="E27" i="37"/>
  <c r="F27" i="37" s="1"/>
  <c r="E31" i="37"/>
  <c r="F31" i="37" s="1"/>
  <c r="E30" i="37"/>
  <c r="F30" i="37" s="1"/>
  <c r="E48" i="37"/>
  <c r="F48" i="37" s="1"/>
  <c r="E31" i="36"/>
  <c r="F31" i="36" s="1"/>
  <c r="E15" i="36"/>
  <c r="F15" i="36" s="1"/>
  <c r="E47" i="36"/>
  <c r="F47" i="36" s="1"/>
  <c r="E42" i="36"/>
  <c r="F42" i="36" s="1"/>
  <c r="E23" i="36"/>
  <c r="F23" i="36" s="1"/>
  <c r="E35" i="36"/>
  <c r="F35" i="36" s="1"/>
  <c r="E49" i="36"/>
  <c r="F49" i="36" s="1"/>
  <c r="E36" i="71"/>
  <c r="F36" i="71" s="1"/>
  <c r="E26" i="71"/>
  <c r="F26" i="71" s="1"/>
  <c r="E34" i="71"/>
  <c r="F34" i="71" s="1"/>
  <c r="E30" i="71"/>
  <c r="F30" i="71" s="1"/>
  <c r="E21" i="71"/>
  <c r="F21" i="71" s="1"/>
  <c r="E18" i="71"/>
  <c r="F18" i="71" s="1"/>
  <c r="E17" i="71"/>
  <c r="F17" i="71" s="1"/>
  <c r="E25" i="71"/>
  <c r="F25" i="71" s="1"/>
  <c r="E19" i="71"/>
  <c r="F19" i="71" s="1"/>
  <c r="E9" i="71"/>
  <c r="F9" i="71" s="1"/>
  <c r="E35" i="71"/>
  <c r="F35" i="71" s="1"/>
  <c r="E22" i="71"/>
  <c r="F22" i="71" s="1"/>
  <c r="E13" i="71"/>
  <c r="F13" i="71" s="1"/>
  <c r="E32" i="71"/>
  <c r="F32" i="71" s="1"/>
  <c r="E14" i="71"/>
  <c r="F14" i="71" s="1"/>
  <c r="E31" i="71"/>
  <c r="F31" i="71" s="1"/>
  <c r="E16" i="71"/>
  <c r="F16" i="71" s="1"/>
  <c r="E24" i="71"/>
  <c r="F24" i="71" s="1"/>
  <c r="E37" i="71"/>
  <c r="F37" i="71" s="1"/>
  <c r="E27" i="71"/>
  <c r="F27" i="71" s="1"/>
  <c r="E11" i="71"/>
  <c r="F11" i="71" s="1"/>
  <c r="E43" i="71"/>
  <c r="F43" i="71" s="1"/>
  <c r="E21" i="23"/>
  <c r="F21" i="23" s="1"/>
  <c r="E49" i="19"/>
  <c r="F49" i="19" s="1"/>
  <c r="E9" i="19"/>
  <c r="F9" i="19" s="1"/>
  <c r="E55" i="19"/>
  <c r="F55" i="19" s="1"/>
  <c r="E18" i="19"/>
  <c r="F18" i="19" s="1"/>
  <c r="E21" i="19"/>
  <c r="F21" i="19" s="1"/>
  <c r="E14" i="19"/>
  <c r="F14" i="19" s="1"/>
  <c r="E40" i="19"/>
  <c r="F40" i="19" s="1"/>
  <c r="E52" i="19"/>
  <c r="F52" i="19" s="1"/>
  <c r="E23" i="19"/>
  <c r="F23" i="19" s="1"/>
  <c r="E29" i="19"/>
  <c r="F29" i="19" s="1"/>
  <c r="E44" i="19"/>
  <c r="F44" i="19" s="1"/>
  <c r="E39" i="19"/>
  <c r="F39" i="19" s="1"/>
  <c r="E50" i="19"/>
  <c r="F50" i="19" s="1"/>
  <c r="E16" i="19"/>
  <c r="F16" i="19" s="1"/>
  <c r="E17" i="19"/>
  <c r="F17" i="19" s="1"/>
  <c r="E53" i="19"/>
  <c r="F53" i="19" s="1"/>
  <c r="E13" i="19"/>
  <c r="F13" i="19" s="1"/>
  <c r="E25" i="19"/>
  <c r="F25" i="19" s="1"/>
  <c r="E30" i="19"/>
  <c r="F30" i="19" s="1"/>
  <c r="E48" i="19"/>
  <c r="F48" i="19" s="1"/>
  <c r="E46" i="19"/>
  <c r="F46" i="19" s="1"/>
  <c r="E32" i="7"/>
  <c r="F32" i="7" s="1"/>
  <c r="E28" i="7"/>
  <c r="F28" i="7" s="1"/>
  <c r="E44" i="7"/>
  <c r="F44" i="7" s="1"/>
  <c r="E15" i="37"/>
  <c r="F15" i="37" s="1"/>
  <c r="E43" i="35"/>
  <c r="F43" i="35" s="1"/>
  <c r="E38" i="55"/>
  <c r="F38" i="55" s="1"/>
  <c r="E55" i="70"/>
  <c r="F55" i="70" s="1"/>
  <c r="E26" i="35"/>
  <c r="F26" i="35" s="1"/>
  <c r="E8" i="88"/>
  <c r="F8" i="88" s="1"/>
  <c r="E51" i="88"/>
  <c r="F51" i="88" s="1"/>
  <c r="E34" i="88"/>
  <c r="F34" i="88" s="1"/>
  <c r="E21" i="88"/>
  <c r="F21" i="88" s="1"/>
  <c r="E41" i="88"/>
  <c r="F41" i="88" s="1"/>
  <c r="E33" i="88"/>
  <c r="F33" i="88" s="1"/>
  <c r="E58" i="88"/>
  <c r="F58" i="88" s="1"/>
  <c r="E29" i="86"/>
  <c r="F29" i="86" s="1"/>
  <c r="E36" i="86"/>
  <c r="F36" i="86" s="1"/>
  <c r="E30" i="86"/>
  <c r="F30" i="86" s="1"/>
  <c r="E12" i="86"/>
  <c r="F12" i="86" s="1"/>
  <c r="E39" i="86"/>
  <c r="F39" i="86" s="1"/>
  <c r="E10" i="86"/>
  <c r="F10" i="86" s="1"/>
  <c r="E40" i="85"/>
  <c r="F40" i="85" s="1"/>
  <c r="E38" i="85"/>
  <c r="F38" i="85" s="1"/>
  <c r="E22" i="85"/>
  <c r="F22" i="85" s="1"/>
  <c r="E16" i="85"/>
  <c r="F16" i="85" s="1"/>
  <c r="E14" i="85"/>
  <c r="F14" i="85" s="1"/>
  <c r="E49" i="85"/>
  <c r="F49" i="85" s="1"/>
  <c r="E42" i="85"/>
  <c r="F42" i="85" s="1"/>
  <c r="E30" i="85"/>
  <c r="F30" i="85" s="1"/>
  <c r="E27" i="85"/>
  <c r="F27" i="85" s="1"/>
  <c r="E15" i="84"/>
  <c r="F15" i="84" s="1"/>
  <c r="E26" i="84"/>
  <c r="F26" i="84" s="1"/>
  <c r="E39" i="84"/>
  <c r="F39" i="84" s="1"/>
  <c r="E36" i="84"/>
  <c r="F36" i="84" s="1"/>
  <c r="E45" i="84"/>
  <c r="F45" i="84" s="1"/>
  <c r="E19" i="84"/>
  <c r="F19" i="84" s="1"/>
  <c r="E38" i="84"/>
  <c r="F38" i="84" s="1"/>
  <c r="E23" i="84"/>
  <c r="F23" i="84" s="1"/>
  <c r="E53" i="84"/>
  <c r="F53" i="84" s="1"/>
  <c r="E25" i="84"/>
  <c r="F25" i="84" s="1"/>
  <c r="E13" i="84"/>
  <c r="F13" i="84" s="1"/>
  <c r="E24" i="84"/>
  <c r="F24" i="84" s="1"/>
  <c r="E41" i="76"/>
  <c r="F41" i="76" s="1"/>
  <c r="E36" i="76"/>
  <c r="F36" i="76" s="1"/>
  <c r="E13" i="76"/>
  <c r="F13" i="76" s="1"/>
  <c r="E20" i="76"/>
  <c r="F20" i="76" s="1"/>
  <c r="E12" i="76"/>
  <c r="F12" i="76" s="1"/>
  <c r="E23" i="76"/>
  <c r="F23" i="76" s="1"/>
  <c r="E24" i="76"/>
  <c r="F24" i="76" s="1"/>
  <c r="E27" i="76"/>
  <c r="F27" i="76" s="1"/>
  <c r="E42" i="76"/>
  <c r="F42" i="76" s="1"/>
  <c r="E34" i="76"/>
  <c r="F34" i="76" s="1"/>
  <c r="E32" i="72"/>
  <c r="F32" i="72" s="1"/>
  <c r="E22" i="72"/>
  <c r="F22" i="72" s="1"/>
  <c r="E26" i="72"/>
  <c r="F26" i="72" s="1"/>
  <c r="E25" i="72"/>
  <c r="F25" i="72" s="1"/>
  <c r="E28" i="88"/>
  <c r="F28" i="88" s="1"/>
  <c r="E9" i="76"/>
  <c r="F9" i="76" s="1"/>
  <c r="E34" i="84"/>
  <c r="F34" i="84" s="1"/>
  <c r="E42" i="84"/>
  <c r="F42" i="84" s="1"/>
  <c r="E14" i="84"/>
  <c r="F14" i="84" s="1"/>
  <c r="E60" i="70"/>
  <c r="F60" i="70" s="1"/>
  <c r="E37" i="36"/>
  <c r="F37" i="36" s="1"/>
  <c r="E45" i="86"/>
  <c r="F45" i="86" s="1"/>
  <c r="E29" i="72"/>
  <c r="F29" i="72" s="1"/>
  <c r="E20" i="81"/>
  <c r="F20" i="81" s="1"/>
  <c r="E8" i="81"/>
  <c r="F8" i="81" s="1"/>
  <c r="E15" i="81"/>
  <c r="F15" i="81" s="1"/>
  <c r="E12" i="81"/>
  <c r="F12" i="81" s="1"/>
  <c r="E14" i="81"/>
  <c r="F14" i="81" s="1"/>
  <c r="E13" i="81"/>
  <c r="F13" i="81" s="1"/>
  <c r="E11" i="81"/>
  <c r="F11" i="81" s="1"/>
  <c r="E19" i="81"/>
  <c r="F19" i="81" s="1"/>
  <c r="E16" i="81"/>
  <c r="F16" i="81" s="1"/>
  <c r="E9" i="81"/>
  <c r="F9" i="81" s="1"/>
  <c r="E17" i="81"/>
  <c r="F17" i="81" s="1"/>
  <c r="E40" i="81"/>
  <c r="F40" i="81" s="1"/>
  <c r="E43" i="81"/>
  <c r="F43" i="81" s="1"/>
  <c r="E31" i="81"/>
  <c r="F31" i="81" s="1"/>
  <c r="E27" i="81"/>
  <c r="F27" i="81" s="1"/>
  <c r="E22" i="81"/>
  <c r="F22" i="81" s="1"/>
  <c r="E29" i="81"/>
  <c r="F29" i="81" s="1"/>
  <c r="E42" i="81"/>
  <c r="F42" i="81" s="1"/>
  <c r="E41" i="81"/>
  <c r="F41" i="81" s="1"/>
  <c r="E35" i="81"/>
  <c r="F35" i="81" s="1"/>
  <c r="E28" i="81"/>
  <c r="F28" i="81" s="1"/>
  <c r="E25" i="81"/>
  <c r="F25" i="81" s="1"/>
  <c r="E32" i="81"/>
  <c r="F32" i="81" s="1"/>
  <c r="E18" i="81"/>
  <c r="F18" i="81" s="1"/>
  <c r="E44" i="81"/>
  <c r="F44" i="81" s="1"/>
  <c r="E37" i="81"/>
  <c r="F37" i="81" s="1"/>
  <c r="E36" i="81"/>
  <c r="F36" i="81" s="1"/>
  <c r="E30" i="81"/>
  <c r="F30" i="81" s="1"/>
  <c r="E34" i="81"/>
  <c r="F34" i="81" s="1"/>
  <c r="E23" i="81"/>
  <c r="F23" i="81" s="1"/>
  <c r="E39" i="81"/>
  <c r="F39" i="81" s="1"/>
  <c r="E38" i="81"/>
  <c r="F38" i="81" s="1"/>
  <c r="E33" i="81"/>
  <c r="F33" i="81" s="1"/>
  <c r="E26" i="81"/>
  <c r="F26" i="81" s="1"/>
  <c r="E24" i="81"/>
  <c r="F24" i="81" s="1"/>
  <c r="E21" i="81"/>
  <c r="F21" i="81" s="1"/>
  <c r="E16" i="34"/>
  <c r="F16" i="34" s="1"/>
  <c r="E10" i="34"/>
  <c r="F10" i="34" s="1"/>
  <c r="E14" i="34"/>
  <c r="F14" i="34" s="1"/>
  <c r="E18" i="34"/>
  <c r="F18" i="34" s="1"/>
  <c r="E9" i="34"/>
  <c r="F9" i="34" s="1"/>
  <c r="E15" i="34"/>
  <c r="F15" i="34" s="1"/>
  <c r="E17" i="34"/>
  <c r="F17" i="34" s="1"/>
  <c r="E11" i="34"/>
  <c r="F11" i="34" s="1"/>
  <c r="E12" i="34"/>
  <c r="F12" i="34" s="1"/>
  <c r="E35" i="34"/>
  <c r="F35" i="34" s="1"/>
  <c r="E31" i="34"/>
  <c r="F31" i="34" s="1"/>
  <c r="E27" i="34"/>
  <c r="F27" i="34" s="1"/>
  <c r="E25" i="34"/>
  <c r="F25" i="34" s="1"/>
  <c r="E8" i="34"/>
  <c r="F8" i="34" s="1"/>
  <c r="E36" i="34"/>
  <c r="F36" i="34" s="1"/>
  <c r="E33" i="34"/>
  <c r="F33" i="34" s="1"/>
  <c r="E28" i="34"/>
  <c r="F28" i="34" s="1"/>
  <c r="E23" i="34"/>
  <c r="F23" i="34" s="1"/>
  <c r="E22" i="34"/>
  <c r="F22" i="34" s="1"/>
  <c r="E37" i="34"/>
  <c r="F37" i="34" s="1"/>
  <c r="E34" i="34"/>
  <c r="F34" i="34" s="1"/>
  <c r="E29" i="34"/>
  <c r="F29" i="34" s="1"/>
  <c r="E21" i="34"/>
  <c r="F21" i="34" s="1"/>
  <c r="E20" i="34"/>
  <c r="F20" i="34" s="1"/>
  <c r="E13" i="34"/>
  <c r="F13" i="34" s="1"/>
  <c r="E32" i="34"/>
  <c r="F32" i="34" s="1"/>
  <c r="E30" i="34"/>
  <c r="F30" i="34" s="1"/>
  <c r="E26" i="34"/>
  <c r="F26" i="34" s="1"/>
  <c r="E24" i="34"/>
  <c r="F24" i="34" s="1"/>
  <c r="E12" i="77"/>
  <c r="F12" i="77" s="1"/>
  <c r="E19" i="77"/>
  <c r="F19" i="77" s="1"/>
  <c r="E8" i="77"/>
  <c r="F8" i="77" s="1"/>
  <c r="E15" i="77"/>
  <c r="F15" i="77" s="1"/>
  <c r="E10" i="77"/>
  <c r="F10" i="77" s="1"/>
  <c r="E11" i="77"/>
  <c r="F11" i="77" s="1"/>
  <c r="E41" i="77"/>
  <c r="F41" i="77" s="1"/>
  <c r="E42" i="77"/>
  <c r="F42" i="77" s="1"/>
  <c r="E36" i="77"/>
  <c r="F36" i="77" s="1"/>
  <c r="E27" i="77"/>
  <c r="F27" i="77" s="1"/>
  <c r="E22" i="77"/>
  <c r="F22" i="77" s="1"/>
  <c r="E23" i="77"/>
  <c r="F23" i="77" s="1"/>
  <c r="E17" i="77"/>
  <c r="F17" i="77" s="1"/>
  <c r="E18" i="77"/>
  <c r="F18" i="77" s="1"/>
  <c r="E44" i="77"/>
  <c r="F44" i="77" s="1"/>
  <c r="E43" i="77"/>
  <c r="F43" i="77" s="1"/>
  <c r="E35" i="77"/>
  <c r="F35" i="77" s="1"/>
  <c r="E28" i="77"/>
  <c r="F28" i="77" s="1"/>
  <c r="E25" i="77"/>
  <c r="F25" i="77" s="1"/>
  <c r="E21" i="77"/>
  <c r="F21" i="77" s="1"/>
  <c r="E16" i="77"/>
  <c r="F16" i="77" s="1"/>
  <c r="E39" i="77"/>
  <c r="F39" i="77" s="1"/>
  <c r="E37" i="77"/>
  <c r="F37" i="77" s="1"/>
  <c r="E33" i="77"/>
  <c r="F33" i="77" s="1"/>
  <c r="E30" i="77"/>
  <c r="F30" i="77" s="1"/>
  <c r="E29" i="77"/>
  <c r="F29" i="77" s="1"/>
  <c r="E9" i="77"/>
  <c r="F9" i="77" s="1"/>
  <c r="E40" i="77"/>
  <c r="F40" i="77" s="1"/>
  <c r="E38" i="77"/>
  <c r="F38" i="77" s="1"/>
  <c r="E31" i="77"/>
  <c r="F31" i="77" s="1"/>
  <c r="E26" i="77"/>
  <c r="F26" i="77" s="1"/>
  <c r="E24" i="77"/>
  <c r="F24" i="77" s="1"/>
  <c r="E32" i="77"/>
  <c r="F32" i="77" s="1"/>
  <c r="E13" i="77"/>
  <c r="F13" i="77" s="1"/>
  <c r="E11" i="16"/>
  <c r="F11" i="16" s="1"/>
  <c r="E14" i="16"/>
  <c r="F14" i="16" s="1"/>
  <c r="E16" i="16"/>
  <c r="F16" i="16" s="1"/>
  <c r="E17" i="16"/>
  <c r="F17" i="16" s="1"/>
  <c r="E10" i="16"/>
  <c r="F10" i="16" s="1"/>
  <c r="E13" i="16"/>
  <c r="F13" i="16" s="1"/>
  <c r="E19" i="16"/>
  <c r="F19" i="16" s="1"/>
  <c r="E21" i="16"/>
  <c r="F21" i="16" s="1"/>
  <c r="E20" i="16"/>
  <c r="F20" i="16" s="1"/>
  <c r="E15" i="16"/>
  <c r="F15" i="16" s="1"/>
  <c r="E18" i="16"/>
  <c r="F18" i="16" s="1"/>
  <c r="E8" i="16"/>
  <c r="F8" i="16" s="1"/>
  <c r="E44" i="16"/>
  <c r="F44" i="16" s="1"/>
  <c r="E41" i="16"/>
  <c r="F41" i="16" s="1"/>
  <c r="E35" i="16"/>
  <c r="F35" i="16" s="1"/>
  <c r="E32" i="16"/>
  <c r="F32" i="16" s="1"/>
  <c r="E27" i="16"/>
  <c r="F27" i="16" s="1"/>
  <c r="E26" i="16"/>
  <c r="F26" i="16" s="1"/>
  <c r="E22" i="16"/>
  <c r="F22" i="16" s="1"/>
  <c r="E36" i="16"/>
  <c r="F36" i="16" s="1"/>
  <c r="E43" i="16"/>
  <c r="F43" i="16" s="1"/>
  <c r="E37" i="16"/>
  <c r="F37" i="16" s="1"/>
  <c r="E34" i="16"/>
  <c r="F34" i="16" s="1"/>
  <c r="E25" i="16"/>
  <c r="F25" i="16" s="1"/>
  <c r="E24" i="16"/>
  <c r="F24" i="16" s="1"/>
  <c r="E23" i="16"/>
  <c r="F23" i="16" s="1"/>
  <c r="E45" i="16"/>
  <c r="F45" i="16" s="1"/>
  <c r="E39" i="16"/>
  <c r="F39" i="16" s="1"/>
  <c r="E38" i="16"/>
  <c r="F38" i="16" s="1"/>
  <c r="E33" i="16"/>
  <c r="F33" i="16" s="1"/>
  <c r="E28" i="16"/>
  <c r="F28" i="16" s="1"/>
  <c r="E42" i="16"/>
  <c r="F42" i="16" s="1"/>
  <c r="E40" i="16"/>
  <c r="F40" i="16" s="1"/>
  <c r="E31" i="16"/>
  <c r="F31" i="16" s="1"/>
  <c r="E30" i="16"/>
  <c r="F30" i="16" s="1"/>
  <c r="E29" i="16"/>
  <c r="F29" i="16" s="1"/>
  <c r="E51" i="82"/>
  <c r="F51" i="82" s="1"/>
  <c r="E48" i="81"/>
  <c r="F48" i="81" s="1"/>
  <c r="E57" i="64"/>
  <c r="F57" i="64" s="1"/>
  <c r="E12" i="25"/>
  <c r="F12" i="25" s="1"/>
  <c r="E9" i="16"/>
  <c r="F9" i="16" s="1"/>
  <c r="E46" i="77"/>
  <c r="F46" i="77" s="1"/>
  <c r="E40" i="34"/>
  <c r="F40" i="34" s="1"/>
  <c r="E39" i="27"/>
  <c r="F39" i="27" s="1"/>
  <c r="E46" i="25"/>
  <c r="F46" i="25" s="1"/>
  <c r="E47" i="16"/>
  <c r="F47" i="16" s="1"/>
  <c r="E14" i="82"/>
  <c r="F14" i="82" s="1"/>
  <c r="E11" i="82"/>
  <c r="F11" i="82" s="1"/>
  <c r="E19" i="82"/>
  <c r="F19" i="82" s="1"/>
  <c r="E9" i="82"/>
  <c r="F9" i="82" s="1"/>
  <c r="E17" i="82"/>
  <c r="F17" i="82" s="1"/>
  <c r="E20" i="82"/>
  <c r="F20" i="82" s="1"/>
  <c r="E16" i="82"/>
  <c r="F16" i="82" s="1"/>
  <c r="E15" i="82"/>
  <c r="F15" i="82" s="1"/>
  <c r="E23" i="82"/>
  <c r="F23" i="82" s="1"/>
  <c r="E24" i="82"/>
  <c r="F24" i="82" s="1"/>
  <c r="E12" i="82"/>
  <c r="F12" i="82" s="1"/>
  <c r="E22" i="82"/>
  <c r="F22" i="82" s="1"/>
  <c r="E8" i="82"/>
  <c r="F8" i="82" s="1"/>
  <c r="E13" i="82"/>
  <c r="F13" i="82" s="1"/>
  <c r="E21" i="82"/>
  <c r="F21" i="82" s="1"/>
  <c r="E48" i="82"/>
  <c r="F48" i="82" s="1"/>
  <c r="E44" i="82"/>
  <c r="F44" i="82" s="1"/>
  <c r="E41" i="82"/>
  <c r="F41" i="82" s="1"/>
  <c r="E34" i="82"/>
  <c r="F34" i="82" s="1"/>
  <c r="E28" i="82"/>
  <c r="F28" i="82" s="1"/>
  <c r="E29" i="82"/>
  <c r="F29" i="82" s="1"/>
  <c r="E46" i="82"/>
  <c r="F46" i="82" s="1"/>
  <c r="E40" i="82"/>
  <c r="F40" i="82" s="1"/>
  <c r="E36" i="82"/>
  <c r="F36" i="82" s="1"/>
  <c r="E26" i="82"/>
  <c r="F26" i="82" s="1"/>
  <c r="E30" i="82"/>
  <c r="F30" i="82" s="1"/>
  <c r="E18" i="82"/>
  <c r="F18" i="82" s="1"/>
  <c r="E45" i="82"/>
  <c r="F45" i="82" s="1"/>
  <c r="E42" i="82"/>
  <c r="F42" i="82" s="1"/>
  <c r="E38" i="82"/>
  <c r="F38" i="82" s="1"/>
  <c r="E37" i="82"/>
  <c r="F37" i="82" s="1"/>
  <c r="E31" i="82"/>
  <c r="F31" i="82" s="1"/>
  <c r="E27" i="82"/>
  <c r="F27" i="82" s="1"/>
  <c r="E33" i="82"/>
  <c r="F33" i="82" s="1"/>
  <c r="E47" i="82"/>
  <c r="F47" i="82" s="1"/>
  <c r="E43" i="82"/>
  <c r="F43" i="82" s="1"/>
  <c r="E39" i="82"/>
  <c r="F39" i="82" s="1"/>
  <c r="E32" i="82"/>
  <c r="F32" i="82" s="1"/>
  <c r="E35" i="82"/>
  <c r="F35" i="82" s="1"/>
  <c r="E25" i="82"/>
  <c r="F25" i="82" s="1"/>
  <c r="E8" i="74"/>
  <c r="F8" i="74" s="1"/>
  <c r="E17" i="74"/>
  <c r="F17" i="74" s="1"/>
  <c r="E15" i="74"/>
  <c r="F15" i="74" s="1"/>
  <c r="E16" i="74"/>
  <c r="F16" i="74" s="1"/>
  <c r="E11" i="74"/>
  <c r="F11" i="74" s="1"/>
  <c r="E12" i="74"/>
  <c r="F12" i="74" s="1"/>
  <c r="E10" i="74"/>
  <c r="F10" i="74" s="1"/>
  <c r="E38" i="74"/>
  <c r="F38" i="74" s="1"/>
  <c r="E33" i="74"/>
  <c r="F33" i="74" s="1"/>
  <c r="E29" i="74"/>
  <c r="F29" i="74" s="1"/>
  <c r="E22" i="74"/>
  <c r="F22" i="74" s="1"/>
  <c r="E24" i="74"/>
  <c r="F24" i="74" s="1"/>
  <c r="E13" i="74"/>
  <c r="F13" i="74" s="1"/>
  <c r="E40" i="74"/>
  <c r="F40" i="74" s="1"/>
  <c r="E37" i="74"/>
  <c r="F37" i="74" s="1"/>
  <c r="E31" i="74"/>
  <c r="F31" i="74" s="1"/>
  <c r="E23" i="74"/>
  <c r="F23" i="74" s="1"/>
  <c r="E28" i="74"/>
  <c r="F28" i="74" s="1"/>
  <c r="E20" i="74"/>
  <c r="F20" i="74" s="1"/>
  <c r="E9" i="74"/>
  <c r="F9" i="74" s="1"/>
  <c r="E41" i="74"/>
  <c r="F41" i="74" s="1"/>
  <c r="E36" i="74"/>
  <c r="F36" i="74" s="1"/>
  <c r="E34" i="74"/>
  <c r="F34" i="74" s="1"/>
  <c r="E25" i="74"/>
  <c r="F25" i="74" s="1"/>
  <c r="E21" i="74"/>
  <c r="F21" i="74" s="1"/>
  <c r="E18" i="74"/>
  <c r="F18" i="74" s="1"/>
  <c r="E14" i="74"/>
  <c r="F14" i="74" s="1"/>
  <c r="E39" i="74"/>
  <c r="F39" i="74" s="1"/>
  <c r="E35" i="74"/>
  <c r="F35" i="74" s="1"/>
  <c r="E27" i="74"/>
  <c r="F27" i="74" s="1"/>
  <c r="E19" i="74"/>
  <c r="F19" i="74" s="1"/>
  <c r="E30" i="74"/>
  <c r="F30" i="74" s="1"/>
  <c r="E26" i="74"/>
  <c r="F26" i="74" s="1"/>
  <c r="E18" i="78"/>
  <c r="F18" i="78" s="1"/>
  <c r="E9" i="78"/>
  <c r="F9" i="78" s="1"/>
  <c r="E17" i="78"/>
  <c r="F17" i="78" s="1"/>
  <c r="E12" i="78"/>
  <c r="F12" i="78" s="1"/>
  <c r="E8" i="78"/>
  <c r="F8" i="78" s="1"/>
  <c r="E15" i="78"/>
  <c r="F15" i="78" s="1"/>
  <c r="E16" i="78"/>
  <c r="F16" i="78" s="1"/>
  <c r="E13" i="78"/>
  <c r="F13" i="78" s="1"/>
  <c r="E10" i="78"/>
  <c r="F10" i="78" s="1"/>
  <c r="E11" i="78"/>
  <c r="F11" i="78" s="1"/>
  <c r="E39" i="78"/>
  <c r="F39" i="78" s="1"/>
  <c r="E35" i="78"/>
  <c r="F35" i="78" s="1"/>
  <c r="E28" i="78"/>
  <c r="F28" i="78" s="1"/>
  <c r="E20" i="78"/>
  <c r="F20" i="78" s="1"/>
  <c r="E23" i="78"/>
  <c r="F23" i="78" s="1"/>
  <c r="E40" i="78"/>
  <c r="F40" i="78" s="1"/>
  <c r="E34" i="78"/>
  <c r="F34" i="78" s="1"/>
  <c r="E30" i="78"/>
  <c r="F30" i="78" s="1"/>
  <c r="E31" i="78"/>
  <c r="F31" i="78" s="1"/>
  <c r="E24" i="78"/>
  <c r="F24" i="78" s="1"/>
  <c r="E41" i="78"/>
  <c r="F41" i="78" s="1"/>
  <c r="E38" i="78"/>
  <c r="F38" i="78" s="1"/>
  <c r="E32" i="78"/>
  <c r="F32" i="78" s="1"/>
  <c r="E26" i="78"/>
  <c r="F26" i="78" s="1"/>
  <c r="E25" i="78"/>
  <c r="F25" i="78" s="1"/>
  <c r="E21" i="78"/>
  <c r="F21" i="78" s="1"/>
  <c r="E42" i="78"/>
  <c r="F42" i="78" s="1"/>
  <c r="E37" i="78"/>
  <c r="F37" i="78" s="1"/>
  <c r="E33" i="78"/>
  <c r="F33" i="78" s="1"/>
  <c r="E36" i="78"/>
  <c r="F36" i="78" s="1"/>
  <c r="E22" i="78"/>
  <c r="F22" i="78" s="1"/>
  <c r="E19" i="78"/>
  <c r="F19" i="78" s="1"/>
  <c r="E29" i="78"/>
  <c r="F29" i="78" s="1"/>
  <c r="E15" i="54"/>
  <c r="F15" i="54" s="1"/>
  <c r="E16" i="54"/>
  <c r="F16" i="54" s="1"/>
  <c r="E19" i="54"/>
  <c r="F19" i="54" s="1"/>
  <c r="E26" i="54"/>
  <c r="F26" i="54" s="1"/>
  <c r="E14" i="54"/>
  <c r="F14" i="54" s="1"/>
  <c r="E23" i="54"/>
  <c r="F23" i="54" s="1"/>
  <c r="E10" i="54"/>
  <c r="F10" i="54" s="1"/>
  <c r="E27" i="54"/>
  <c r="F27" i="54" s="1"/>
  <c r="E11" i="54"/>
  <c r="F11" i="54" s="1"/>
  <c r="E49" i="54"/>
  <c r="F49" i="54" s="1"/>
  <c r="E46" i="54"/>
  <c r="F46" i="54" s="1"/>
  <c r="E42" i="54"/>
  <c r="F42" i="54" s="1"/>
  <c r="E33" i="54"/>
  <c r="F33" i="54" s="1"/>
  <c r="E39" i="54"/>
  <c r="F39" i="54" s="1"/>
  <c r="E31" i="54"/>
  <c r="F31" i="54" s="1"/>
  <c r="E17" i="54"/>
  <c r="F17" i="54" s="1"/>
  <c r="E20" i="54"/>
  <c r="F20" i="54" s="1"/>
  <c r="E28" i="54"/>
  <c r="F28" i="54" s="1"/>
  <c r="E51" i="54"/>
  <c r="F51" i="54" s="1"/>
  <c r="E50" i="54"/>
  <c r="F50" i="54" s="1"/>
  <c r="E38" i="54"/>
  <c r="F38" i="54" s="1"/>
  <c r="E37" i="54"/>
  <c r="F37" i="54" s="1"/>
  <c r="E43" i="54"/>
  <c r="F43" i="54" s="1"/>
  <c r="E29" i="54"/>
  <c r="F29" i="54" s="1"/>
  <c r="E34" i="54"/>
  <c r="F34" i="54" s="1"/>
  <c r="E13" i="54"/>
  <c r="F13" i="54" s="1"/>
  <c r="E12" i="54"/>
  <c r="F12" i="54" s="1"/>
  <c r="E52" i="54"/>
  <c r="F52" i="54" s="1"/>
  <c r="E47" i="54"/>
  <c r="F47" i="54" s="1"/>
  <c r="E44" i="54"/>
  <c r="F44" i="54" s="1"/>
  <c r="E36" i="54"/>
  <c r="F36" i="54" s="1"/>
  <c r="E32" i="54"/>
  <c r="F32" i="54" s="1"/>
  <c r="E41" i="54"/>
  <c r="F41" i="54" s="1"/>
  <c r="E9" i="54"/>
  <c r="F9" i="54" s="1"/>
  <c r="E25" i="54"/>
  <c r="F25" i="54" s="1"/>
  <c r="E53" i="54"/>
  <c r="F53" i="54" s="1"/>
  <c r="E48" i="54"/>
  <c r="F48" i="54" s="1"/>
  <c r="E45" i="54"/>
  <c r="F45" i="54" s="1"/>
  <c r="E40" i="54"/>
  <c r="F40" i="54" s="1"/>
  <c r="E30" i="54"/>
  <c r="F30" i="54" s="1"/>
  <c r="E35" i="54"/>
  <c r="F35" i="54" s="1"/>
  <c r="E18" i="54"/>
  <c r="F18" i="54" s="1"/>
  <c r="E21" i="54"/>
  <c r="F21" i="54" s="1"/>
  <c r="E46" i="81"/>
  <c r="F46" i="81" s="1"/>
  <c r="E27" i="78"/>
  <c r="F27" i="78" s="1"/>
  <c r="E14" i="25"/>
  <c r="F14" i="25" s="1"/>
  <c r="E46" i="78"/>
  <c r="F46" i="78" s="1"/>
  <c r="E44" i="74"/>
  <c r="F44" i="74" s="1"/>
  <c r="E57" i="54"/>
  <c r="F57" i="54" s="1"/>
  <c r="E38" i="34"/>
  <c r="F38" i="34" s="1"/>
  <c r="E47" i="25"/>
  <c r="F47" i="25" s="1"/>
  <c r="E48" i="16"/>
  <c r="F48" i="16" s="1"/>
  <c r="E14" i="64"/>
  <c r="F14" i="64" s="1"/>
  <c r="E19" i="64"/>
  <c r="F19" i="64" s="1"/>
  <c r="E12" i="64"/>
  <c r="F12" i="64" s="1"/>
  <c r="E11" i="64"/>
  <c r="F11" i="64" s="1"/>
  <c r="E30" i="64"/>
  <c r="F30" i="64" s="1"/>
  <c r="E28" i="64"/>
  <c r="F28" i="64" s="1"/>
  <c r="E38" i="64"/>
  <c r="F38" i="64" s="1"/>
  <c r="E22" i="64"/>
  <c r="F22" i="64" s="1"/>
  <c r="E27" i="64"/>
  <c r="F27" i="64" s="1"/>
  <c r="E20" i="64"/>
  <c r="F20" i="64" s="1"/>
  <c r="E51" i="64"/>
  <c r="F51" i="64" s="1"/>
  <c r="E46" i="64"/>
  <c r="F46" i="64" s="1"/>
  <c r="E41" i="64"/>
  <c r="F41" i="64" s="1"/>
  <c r="E39" i="64"/>
  <c r="F39" i="64" s="1"/>
  <c r="E32" i="64"/>
  <c r="F32" i="64" s="1"/>
  <c r="E31" i="64"/>
  <c r="F31" i="64" s="1"/>
  <c r="E29" i="64"/>
  <c r="F29" i="64" s="1"/>
  <c r="E23" i="64"/>
  <c r="F23" i="64" s="1"/>
  <c r="E10" i="64"/>
  <c r="F10" i="64" s="1"/>
  <c r="E53" i="64"/>
  <c r="F53" i="64" s="1"/>
  <c r="E52" i="64"/>
  <c r="F52" i="64" s="1"/>
  <c r="E47" i="64"/>
  <c r="F47" i="64" s="1"/>
  <c r="E42" i="64"/>
  <c r="F42" i="64" s="1"/>
  <c r="E35" i="64"/>
  <c r="F35" i="64" s="1"/>
  <c r="E44" i="64"/>
  <c r="F44" i="64" s="1"/>
  <c r="E21" i="64"/>
  <c r="F21" i="64" s="1"/>
  <c r="E8" i="64"/>
  <c r="F8" i="64" s="1"/>
  <c r="E18" i="64"/>
  <c r="F18" i="64" s="1"/>
  <c r="E25" i="64"/>
  <c r="F25" i="64" s="1"/>
  <c r="E55" i="64"/>
  <c r="F55" i="64" s="1"/>
  <c r="E54" i="64"/>
  <c r="F54" i="64" s="1"/>
  <c r="E48" i="64"/>
  <c r="F48" i="64" s="1"/>
  <c r="E45" i="64"/>
  <c r="F45" i="64" s="1"/>
  <c r="E36" i="64"/>
  <c r="F36" i="64" s="1"/>
  <c r="E40" i="64"/>
  <c r="F40" i="64" s="1"/>
  <c r="E13" i="64"/>
  <c r="F13" i="64" s="1"/>
  <c r="E16" i="64"/>
  <c r="F16" i="64" s="1"/>
  <c r="E26" i="64"/>
  <c r="F26" i="64" s="1"/>
  <c r="E17" i="64"/>
  <c r="F17" i="64" s="1"/>
  <c r="E56" i="64"/>
  <c r="F56" i="64" s="1"/>
  <c r="E50" i="64"/>
  <c r="F50" i="64" s="1"/>
  <c r="E49" i="64"/>
  <c r="F49" i="64" s="1"/>
  <c r="E43" i="64"/>
  <c r="F43" i="64" s="1"/>
  <c r="E37" i="64"/>
  <c r="F37" i="64" s="1"/>
  <c r="E34" i="64"/>
  <c r="F34" i="64" s="1"/>
  <c r="E33" i="64"/>
  <c r="F33" i="64" s="1"/>
  <c r="E24" i="64"/>
  <c r="F24" i="64" s="1"/>
  <c r="E15" i="64"/>
  <c r="F15" i="64" s="1"/>
  <c r="E9" i="64"/>
  <c r="F9" i="64" s="1"/>
  <c r="E11" i="27"/>
  <c r="F11" i="27" s="1"/>
  <c r="E12" i="27"/>
  <c r="F12" i="27" s="1"/>
  <c r="E24" i="27"/>
  <c r="F24" i="27" s="1"/>
  <c r="E8" i="27"/>
  <c r="F8" i="27" s="1"/>
  <c r="E23" i="27"/>
  <c r="F23" i="27" s="1"/>
  <c r="E35" i="27"/>
  <c r="F35" i="27" s="1"/>
  <c r="E31" i="27"/>
  <c r="F31" i="27" s="1"/>
  <c r="E26" i="27"/>
  <c r="F26" i="27" s="1"/>
  <c r="E19" i="27"/>
  <c r="F19" i="27" s="1"/>
  <c r="E18" i="27"/>
  <c r="F18" i="27" s="1"/>
  <c r="E15" i="27"/>
  <c r="F15" i="27" s="1"/>
  <c r="E36" i="27"/>
  <c r="F36" i="27" s="1"/>
  <c r="E32" i="27"/>
  <c r="F32" i="27" s="1"/>
  <c r="E28" i="27"/>
  <c r="F28" i="27" s="1"/>
  <c r="E27" i="27"/>
  <c r="F27" i="27" s="1"/>
  <c r="E25" i="27"/>
  <c r="F25" i="27" s="1"/>
  <c r="E9" i="27"/>
  <c r="F9" i="27" s="1"/>
  <c r="E30" i="27"/>
  <c r="F30" i="27" s="1"/>
  <c r="E33" i="27"/>
  <c r="F33" i="27" s="1"/>
  <c r="E22" i="27"/>
  <c r="F22" i="27" s="1"/>
  <c r="E10" i="27"/>
  <c r="F10" i="27" s="1"/>
  <c r="E13" i="27"/>
  <c r="F13" i="27" s="1"/>
  <c r="E34" i="27"/>
  <c r="F34" i="27" s="1"/>
  <c r="E29" i="27"/>
  <c r="F29" i="27" s="1"/>
  <c r="E20" i="27"/>
  <c r="F20" i="27" s="1"/>
  <c r="E21" i="27"/>
  <c r="F21" i="27" s="1"/>
  <c r="E14" i="27"/>
  <c r="F14" i="27" s="1"/>
  <c r="E52" i="82"/>
  <c r="F52" i="82" s="1"/>
  <c r="E10" i="81"/>
  <c r="F10" i="81" s="1"/>
  <c r="E16" i="27"/>
  <c r="F16" i="27" s="1"/>
  <c r="E42" i="74"/>
  <c r="F42" i="74" s="1"/>
  <c r="E46" i="16"/>
  <c r="F46" i="16" s="1"/>
  <c r="E44" i="78"/>
  <c r="F44" i="78" s="1"/>
  <c r="E47" i="77"/>
  <c r="F47" i="77" s="1"/>
  <c r="E55" i="54"/>
  <c r="F55" i="54" s="1"/>
  <c r="E39" i="34"/>
  <c r="F39" i="34" s="1"/>
  <c r="E45" i="81"/>
  <c r="F45" i="81" s="1"/>
  <c r="E10" i="82"/>
  <c r="F10" i="82" s="1"/>
  <c r="E17" i="25"/>
  <c r="F17" i="25" s="1"/>
  <c r="E13" i="25"/>
  <c r="F13" i="25" s="1"/>
  <c r="E21" i="25"/>
  <c r="F21" i="25" s="1"/>
  <c r="E18" i="25"/>
  <c r="F18" i="25" s="1"/>
  <c r="E15" i="25"/>
  <c r="F15" i="25" s="1"/>
  <c r="E43" i="25"/>
  <c r="F43" i="25" s="1"/>
  <c r="E39" i="25"/>
  <c r="F39" i="25" s="1"/>
  <c r="E36" i="25"/>
  <c r="F36" i="25" s="1"/>
  <c r="E33" i="25"/>
  <c r="F33" i="25" s="1"/>
  <c r="E32" i="25"/>
  <c r="F32" i="25" s="1"/>
  <c r="E20" i="25"/>
  <c r="F20" i="25" s="1"/>
  <c r="E27" i="25"/>
  <c r="F27" i="25" s="1"/>
  <c r="E19" i="25"/>
  <c r="F19" i="25" s="1"/>
  <c r="E40" i="25"/>
  <c r="F40" i="25" s="1"/>
  <c r="E34" i="25"/>
  <c r="F34" i="25" s="1"/>
  <c r="E31" i="25"/>
  <c r="F31" i="25" s="1"/>
  <c r="E25" i="25"/>
  <c r="F25" i="25" s="1"/>
  <c r="E8" i="25"/>
  <c r="F8" i="25" s="1"/>
  <c r="E10" i="25"/>
  <c r="F10" i="25" s="1"/>
  <c r="E28" i="25"/>
  <c r="F28" i="25" s="1"/>
  <c r="E41" i="25"/>
  <c r="F41" i="25" s="1"/>
  <c r="E37" i="25"/>
  <c r="F37" i="25" s="1"/>
  <c r="E29" i="25"/>
  <c r="F29" i="25" s="1"/>
  <c r="E23" i="25"/>
  <c r="F23" i="25" s="1"/>
  <c r="E24" i="25"/>
  <c r="F24" i="25" s="1"/>
  <c r="E16" i="25"/>
  <c r="F16" i="25" s="1"/>
  <c r="E11" i="25"/>
  <c r="F11" i="25" s="1"/>
  <c r="E42" i="25"/>
  <c r="F42" i="25" s="1"/>
  <c r="E38" i="25"/>
  <c r="F38" i="25" s="1"/>
  <c r="E35" i="25"/>
  <c r="F35" i="25" s="1"/>
  <c r="E30" i="25"/>
  <c r="F30" i="25" s="1"/>
  <c r="E22" i="25"/>
  <c r="F22" i="25" s="1"/>
  <c r="E50" i="82"/>
  <c r="F50" i="82" s="1"/>
  <c r="E47" i="81"/>
  <c r="F47" i="81" s="1"/>
  <c r="E59" i="64"/>
  <c r="F59" i="64" s="1"/>
  <c r="E9" i="25"/>
  <c r="F9" i="25" s="1"/>
  <c r="E43" i="78"/>
  <c r="F43" i="78" s="1"/>
  <c r="E44" i="25"/>
  <c r="F44" i="25" s="1"/>
  <c r="E45" i="78"/>
  <c r="F45" i="78" s="1"/>
  <c r="E48" i="77"/>
  <c r="F48" i="77" s="1"/>
  <c r="E45" i="74"/>
  <c r="F45" i="74" s="1"/>
  <c r="E38" i="27"/>
  <c r="F38" i="27" s="1"/>
  <c r="E49" i="16"/>
  <c r="F49" i="16" s="1"/>
</calcChain>
</file>

<file path=xl/sharedStrings.xml><?xml version="1.0" encoding="utf-8"?>
<sst xmlns="http://schemas.openxmlformats.org/spreadsheetml/2006/main" count="1845" uniqueCount="65">
  <si>
    <t>出厂编号</t>
  </si>
  <si>
    <t>安装高程</t>
  </si>
  <si>
    <t>A</t>
  </si>
  <si>
    <t>B</t>
  </si>
  <si>
    <t>C</t>
  </si>
  <si>
    <t>K</t>
  </si>
  <si>
    <t>观测日期</t>
  </si>
  <si>
    <t>观测时间</t>
  </si>
  <si>
    <t>频模读数</t>
  </si>
  <si>
    <t>温度</t>
  </si>
  <si>
    <t>渗压值MPa</t>
  </si>
  <si>
    <t>折算水位m</t>
  </si>
  <si>
    <t>备注</t>
  </si>
  <si>
    <t>安装前</t>
  </si>
  <si>
    <t>埋设后</t>
  </si>
  <si>
    <r>
      <rPr>
        <sz val="11"/>
        <color indexed="8"/>
        <rFont val="宋体"/>
        <family val="3"/>
        <charset val="134"/>
      </rPr>
      <t>2</t>
    </r>
    <r>
      <rPr>
        <sz val="11"/>
        <color indexed="8"/>
        <rFont val="宋体"/>
        <family val="3"/>
        <charset val="134"/>
      </rPr>
      <t>016.6.8</t>
    </r>
  </si>
  <si>
    <t>2016.6.9</t>
  </si>
  <si>
    <t>安装后</t>
  </si>
  <si>
    <t>2016.6.10</t>
  </si>
  <si>
    <t>2016.6.11</t>
  </si>
  <si>
    <t>2016.6.12</t>
  </si>
  <si>
    <t>2016.6.13</t>
  </si>
  <si>
    <t>2016.6.14</t>
  </si>
  <si>
    <t>m</t>
  </si>
  <si>
    <t>2016.6.8</t>
  </si>
  <si>
    <t>埋设后初值</t>
  </si>
  <si>
    <t>连续降雨后</t>
  </si>
  <si>
    <t>2015.9.19</t>
  </si>
  <si>
    <t>2015.9.26</t>
  </si>
  <si>
    <t>2015.10.3</t>
  </si>
  <si>
    <t>2015.10.10</t>
  </si>
  <si>
    <t>2015.10.17</t>
  </si>
  <si>
    <t>2015.10.24</t>
  </si>
  <si>
    <r>
      <rPr>
        <sz val="11"/>
        <color indexed="8"/>
        <rFont val="宋体"/>
        <family val="3"/>
        <charset val="134"/>
      </rPr>
      <t>2</t>
    </r>
    <r>
      <rPr>
        <sz val="11"/>
        <color indexed="8"/>
        <rFont val="宋体"/>
        <family val="3"/>
        <charset val="134"/>
      </rPr>
      <t>016.6.10</t>
    </r>
  </si>
  <si>
    <t>2015.9.17</t>
  </si>
  <si>
    <t>2015.9.18</t>
  </si>
  <si>
    <t>2015.9.20</t>
  </si>
  <si>
    <t>2015.9.21</t>
  </si>
  <si>
    <t>2015.9.22</t>
  </si>
  <si>
    <t>2015.9.23</t>
  </si>
  <si>
    <t>2015.9.15</t>
  </si>
  <si>
    <t>2015.9.16</t>
  </si>
  <si>
    <t>2016.4.25</t>
  </si>
  <si>
    <t>2016.5.11</t>
  </si>
  <si>
    <t>2016.5.30</t>
  </si>
  <si>
    <t>安装高程:</t>
  </si>
  <si>
    <t>2016.5.16</t>
  </si>
  <si>
    <t>2016.6.7</t>
  </si>
  <si>
    <t>2016.5.2</t>
  </si>
  <si>
    <t>2016.5.5</t>
  </si>
  <si>
    <t>2016.5.6</t>
  </si>
  <si>
    <t>2016.5.7</t>
  </si>
  <si>
    <t>2016.5.8</t>
  </si>
  <si>
    <t>2016.5.9</t>
  </si>
  <si>
    <t>2016.5.10</t>
  </si>
  <si>
    <t>2016.5.12</t>
  </si>
  <si>
    <t>2016.5.13</t>
  </si>
  <si>
    <t>2016.5.14</t>
  </si>
  <si>
    <t>2016.5.15</t>
  </si>
  <si>
    <t>2016.5.23</t>
  </si>
  <si>
    <t>填筑高程</t>
    <phoneticPr fontId="4" type="noConversion"/>
  </si>
  <si>
    <t>截流后</t>
    <phoneticPr fontId="4" type="noConversion"/>
  </si>
  <si>
    <t>截流后</t>
  </si>
  <si>
    <t>截流后</t>
    <phoneticPr fontId="4" type="noConversion"/>
  </si>
  <si>
    <t xml:space="preserve">                                                                           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</si>
</sst>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76" formatCode="0.000_ "/>
    <numFmt numFmtId="177" formatCode="0.0_ "/>
    <numFmt numFmtId="178" formatCode="0.0"/>
    <numFmt numFmtId="179" formatCode="0.0000_ "/>
    <numFmt numFmtId="180" formatCode="h:mm;@"/>
    <numFmt numFmtId="181" formatCode="0.000"/>
    <numFmt numFmtId="186" formatCode="0.00000E+00"/>
    <numFmt numFmtId="187" formatCode="0.000000E+00"/>
    <numFmt numFmtId="188" formatCode="0.0000000E+00"/>
    <numFmt numFmtId="189" formatCode="0.000000000"/>
    <numFmt numFmtId="190" formatCode="0.00_ "/>
  </numFmts>
  <fonts count="8">
    <font>
      <sz val="11"/>
      <color indexed="8"/>
      <name val="宋体"/>
      <charset val="134"/>
    </font>
    <font>
      <sz val="11"/>
      <name val="宋体"/>
      <family val="3"/>
      <charset val="134"/>
    </font>
    <font>
      <sz val="10.5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0"/>
      <color indexed="8"/>
      <name val="宋体"/>
      <family val="3"/>
      <charset val="134"/>
    </font>
    <font>
      <sz val="10"/>
      <color indexed="8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8">
    <xf numFmtId="0" fontId="0" fillId="0" borderId="0" xfId="0" applyAlignment="1"/>
    <xf numFmtId="20" fontId="0" fillId="0" borderId="0" xfId="0" applyNumberFormat="1" applyAlignment="1"/>
    <xf numFmtId="177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0" fontId="0" fillId="0" borderId="0" xfId="0" applyFont="1" applyAlignment="1"/>
    <xf numFmtId="14" fontId="0" fillId="0" borderId="0" xfId="0" applyNumberFormat="1" applyFont="1" applyAlignment="1"/>
    <xf numFmtId="14" fontId="0" fillId="0" borderId="0" xfId="0" applyNumberFormat="1" applyAlignment="1"/>
    <xf numFmtId="179" fontId="0" fillId="0" borderId="0" xfId="0" applyNumberFormat="1" applyAlignment="1"/>
    <xf numFmtId="180" fontId="0" fillId="0" borderId="0" xfId="0" applyNumberFormat="1" applyAlignment="1"/>
    <xf numFmtId="11" fontId="0" fillId="0" borderId="0" xfId="0" applyNumberFormat="1" applyAlignment="1"/>
    <xf numFmtId="0" fontId="1" fillId="0" borderId="0" xfId="0" applyFont="1" applyAlignment="1"/>
    <xf numFmtId="178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justify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20" fontId="0" fillId="0" borderId="0" xfId="0" applyNumberFormat="1" applyFont="1" applyAlignment="1"/>
    <xf numFmtId="0" fontId="0" fillId="0" borderId="0" xfId="0" applyNumberFormat="1" applyAlignment="1"/>
    <xf numFmtId="0" fontId="1" fillId="0" borderId="0" xfId="0" applyNumberFormat="1" applyFont="1" applyAlignment="1"/>
    <xf numFmtId="14" fontId="0" fillId="0" borderId="0" xfId="0" applyNumberFormat="1" applyFont="1" applyAlignment="1">
      <alignment horizontal="right" vertical="center"/>
    </xf>
    <xf numFmtId="180" fontId="0" fillId="0" borderId="0" xfId="0" applyNumberFormat="1" applyFont="1" applyAlignment="1">
      <alignment horizontal="right" vertical="center"/>
    </xf>
    <xf numFmtId="0" fontId="0" fillId="0" borderId="0" xfId="0" applyFont="1" applyAlignment="1">
      <alignment horizontal="right" vertical="center"/>
    </xf>
    <xf numFmtId="20" fontId="0" fillId="0" borderId="0" xfId="0" applyNumberFormat="1" applyFont="1" applyAlignment="1">
      <alignment horizontal="right" vertical="center"/>
    </xf>
    <xf numFmtId="181" fontId="0" fillId="0" borderId="0" xfId="0" applyNumberFormat="1" applyAlignment="1"/>
    <xf numFmtId="11" fontId="1" fillId="0" borderId="0" xfId="0" applyNumberFormat="1" applyFont="1" applyAlignment="1"/>
    <xf numFmtId="0" fontId="3" fillId="0" borderId="0" xfId="0" applyFont="1" applyAlignment="1"/>
    <xf numFmtId="178" fontId="0" fillId="0" borderId="0" xfId="0" applyNumberFormat="1" applyFont="1" applyAlignment="1">
      <alignment horizontal="right" vertical="center"/>
    </xf>
    <xf numFmtId="14" fontId="6" fillId="0" borderId="0" xfId="0" applyNumberFormat="1" applyFont="1" applyAlignment="1"/>
    <xf numFmtId="20" fontId="6" fillId="0" borderId="0" xfId="0" applyNumberFormat="1" applyFont="1" applyAlignment="1"/>
    <xf numFmtId="11" fontId="0" fillId="0" borderId="0" xfId="0" applyNumberFormat="1" applyFont="1" applyAlignment="1"/>
    <xf numFmtId="14" fontId="7" fillId="0" borderId="0" xfId="0" applyNumberFormat="1" applyFont="1" applyAlignment="1"/>
    <xf numFmtId="0" fontId="7" fillId="0" borderId="0" xfId="0" applyFont="1" applyAlignment="1"/>
    <xf numFmtId="14" fontId="1" fillId="0" borderId="0" xfId="0" applyNumberFormat="1" applyFont="1" applyBorder="1" applyAlignment="1">
      <alignment horizontal="center" vertical="center"/>
    </xf>
    <xf numFmtId="186" fontId="0" fillId="0" borderId="0" xfId="0" applyNumberFormat="1" applyAlignment="1"/>
    <xf numFmtId="187" fontId="0" fillId="0" borderId="0" xfId="0" applyNumberFormat="1" applyAlignment="1"/>
    <xf numFmtId="188" fontId="0" fillId="0" borderId="0" xfId="0" applyNumberFormat="1" applyAlignment="1"/>
    <xf numFmtId="189" fontId="0" fillId="0" borderId="0" xfId="0" applyNumberFormat="1" applyAlignment="1"/>
    <xf numFmtId="190" fontId="0" fillId="0" borderId="0" xfId="0" applyNumberFormat="1" applyAlignment="1"/>
  </cellXfs>
  <cellStyles count="1">
    <cellStyle name="常规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117" Type="http://schemas.openxmlformats.org/officeDocument/2006/relationships/styles" Target="styles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sharedStrings" Target="sharedStrings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calcChain" Target="calcChain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theme" Target="theme/theme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/Relationships>
</file>

<file path=xl/charts/_rels/chart2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/>
            </a:pPr>
            <a:r>
              <a:rPr lang="zh-CN" altLang="en-US" sz="1200" b="0"/>
              <a:t>左坝肩混凝土防渗墙前后坝基渗压过程线</a:t>
            </a:r>
          </a:p>
        </c:rich>
      </c:tx>
      <c:layout>
        <c:manualLayout>
          <c:xMode val="edge"/>
          <c:yMode val="edge"/>
          <c:x val="0.19681233595800526"/>
          <c:y val="2.314814814814814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767825896762906"/>
          <c:y val="0.1388888888888889"/>
          <c:w val="0.79166907261592778"/>
          <c:h val="0.67095654709828423"/>
        </c:manualLayout>
      </c:layout>
      <c:scatterChart>
        <c:scatterStyle val="smoothMarker"/>
        <c:varyColors val="0"/>
        <c:ser>
          <c:idx val="0"/>
          <c:order val="0"/>
          <c:tx>
            <c:v>Pz-3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'Pz-03'!$A$9:$A$32</c:f>
              <c:numCache>
                <c:formatCode>m/d/yyyy</c:formatCode>
                <c:ptCount val="24"/>
                <c:pt idx="0">
                  <c:v>42632</c:v>
                </c:pt>
                <c:pt idx="1">
                  <c:v>42633</c:v>
                </c:pt>
                <c:pt idx="2">
                  <c:v>42634</c:v>
                </c:pt>
                <c:pt idx="3">
                  <c:v>42635</c:v>
                </c:pt>
                <c:pt idx="4">
                  <c:v>42636</c:v>
                </c:pt>
                <c:pt idx="5">
                  <c:v>42637</c:v>
                </c:pt>
                <c:pt idx="6">
                  <c:v>42643</c:v>
                </c:pt>
                <c:pt idx="7">
                  <c:v>42884</c:v>
                </c:pt>
                <c:pt idx="8">
                  <c:v>42885</c:v>
                </c:pt>
                <c:pt idx="9">
                  <c:v>42896</c:v>
                </c:pt>
                <c:pt idx="10">
                  <c:v>42906</c:v>
                </c:pt>
                <c:pt idx="11">
                  <c:v>42916</c:v>
                </c:pt>
                <c:pt idx="12">
                  <c:v>42926</c:v>
                </c:pt>
                <c:pt idx="13">
                  <c:v>42936</c:v>
                </c:pt>
                <c:pt idx="14">
                  <c:v>42946</c:v>
                </c:pt>
                <c:pt idx="15">
                  <c:v>42957</c:v>
                </c:pt>
                <c:pt idx="16">
                  <c:v>42967</c:v>
                </c:pt>
                <c:pt idx="17">
                  <c:v>42977</c:v>
                </c:pt>
                <c:pt idx="18">
                  <c:v>42988</c:v>
                </c:pt>
                <c:pt idx="19">
                  <c:v>42998</c:v>
                </c:pt>
                <c:pt idx="20">
                  <c:v>43008</c:v>
                </c:pt>
                <c:pt idx="21">
                  <c:v>43018</c:v>
                </c:pt>
                <c:pt idx="22">
                  <c:v>43230</c:v>
                </c:pt>
                <c:pt idx="23">
                  <c:v>43240</c:v>
                </c:pt>
              </c:numCache>
            </c:numRef>
          </c:xVal>
          <c:yVal>
            <c:numRef>
              <c:f>'Pz-03'!$F$9:$F$32</c:f>
              <c:numCache>
                <c:formatCode>0.0</c:formatCode>
                <c:ptCount val="24"/>
                <c:pt idx="0">
                  <c:v>741.16931294646804</c:v>
                </c:pt>
                <c:pt idx="1">
                  <c:v>741.2456932101403</c:v>
                </c:pt>
                <c:pt idx="2">
                  <c:v>741.21341593503587</c:v>
                </c:pt>
                <c:pt idx="3">
                  <c:v>741.19018870075001</c:v>
                </c:pt>
                <c:pt idx="4">
                  <c:v>741.22112171871379</c:v>
                </c:pt>
                <c:pt idx="5">
                  <c:v>741.17213100914262</c:v>
                </c:pt>
                <c:pt idx="6">
                  <c:v>741.25391744996</c:v>
                </c:pt>
                <c:pt idx="7">
                  <c:v>740.79063488176041</c:v>
                </c:pt>
                <c:pt idx="8">
                  <c:v>740.80739204562747</c:v>
                </c:pt>
                <c:pt idx="9">
                  <c:v>740.88923191989488</c:v>
                </c:pt>
                <c:pt idx="10">
                  <c:v>741.06265949702799</c:v>
                </c:pt>
                <c:pt idx="11">
                  <c:v>740.90275011618883</c:v>
                </c:pt>
                <c:pt idx="12">
                  <c:v>740.7461130247367</c:v>
                </c:pt>
                <c:pt idx="13">
                  <c:v>740.84278531147311</c:v>
                </c:pt>
                <c:pt idx="14">
                  <c:v>740.86277997761897</c:v>
                </c:pt>
                <c:pt idx="15">
                  <c:v>740.92019669502247</c:v>
                </c:pt>
                <c:pt idx="16">
                  <c:v>741.02722578547628</c:v>
                </c:pt>
                <c:pt idx="17">
                  <c:v>741.03635093610887</c:v>
                </c:pt>
                <c:pt idx="18">
                  <c:v>741.08988158985244</c:v>
                </c:pt>
                <c:pt idx="19">
                  <c:v>741.14147196988392</c:v>
                </c:pt>
                <c:pt idx="20">
                  <c:v>741.13242815148169</c:v>
                </c:pt>
                <c:pt idx="21">
                  <c:v>740.85061274901966</c:v>
                </c:pt>
                <c:pt idx="22">
                  <c:v>740.83907644366786</c:v>
                </c:pt>
                <c:pt idx="23">
                  <c:v>740.84615217905298</c:v>
                </c:pt>
              </c:numCache>
            </c:numRef>
          </c:yVal>
          <c:smooth val="1"/>
        </c:ser>
        <c:ser>
          <c:idx val="1"/>
          <c:order val="1"/>
          <c:tx>
            <c:v>Pz-4</c:v>
          </c:tx>
          <c:spPr>
            <a:ln w="19050" cap="rnd">
              <a:solidFill>
                <a:schemeClr val="tx1"/>
              </a:solidFill>
              <a:prstDash val="lgDashDotDot"/>
              <a:round/>
            </a:ln>
            <a:effectLst/>
          </c:spPr>
          <c:marker>
            <c:symbol val="none"/>
          </c:marker>
          <c:xVal>
            <c:numRef>
              <c:f>'Pz-04'!$A$9:$A$32</c:f>
              <c:numCache>
                <c:formatCode>m/d/yyyy</c:formatCode>
                <c:ptCount val="24"/>
                <c:pt idx="0">
                  <c:v>42632</c:v>
                </c:pt>
                <c:pt idx="1">
                  <c:v>42633</c:v>
                </c:pt>
                <c:pt idx="2">
                  <c:v>42634</c:v>
                </c:pt>
                <c:pt idx="3">
                  <c:v>42635</c:v>
                </c:pt>
                <c:pt idx="4">
                  <c:v>42636</c:v>
                </c:pt>
                <c:pt idx="5">
                  <c:v>42637</c:v>
                </c:pt>
                <c:pt idx="6">
                  <c:v>42643</c:v>
                </c:pt>
                <c:pt idx="7">
                  <c:v>42884</c:v>
                </c:pt>
                <c:pt idx="8">
                  <c:v>42885</c:v>
                </c:pt>
                <c:pt idx="9">
                  <c:v>42896</c:v>
                </c:pt>
                <c:pt idx="10">
                  <c:v>42906</c:v>
                </c:pt>
                <c:pt idx="11">
                  <c:v>42916</c:v>
                </c:pt>
                <c:pt idx="12">
                  <c:v>42926</c:v>
                </c:pt>
                <c:pt idx="13">
                  <c:v>42936</c:v>
                </c:pt>
                <c:pt idx="14">
                  <c:v>42946</c:v>
                </c:pt>
                <c:pt idx="15">
                  <c:v>42957</c:v>
                </c:pt>
                <c:pt idx="16">
                  <c:v>42967</c:v>
                </c:pt>
                <c:pt idx="17">
                  <c:v>42977</c:v>
                </c:pt>
                <c:pt idx="18">
                  <c:v>42988</c:v>
                </c:pt>
                <c:pt idx="19">
                  <c:v>42998</c:v>
                </c:pt>
                <c:pt idx="20">
                  <c:v>43008</c:v>
                </c:pt>
                <c:pt idx="21">
                  <c:v>43018</c:v>
                </c:pt>
                <c:pt idx="22">
                  <c:v>43230</c:v>
                </c:pt>
                <c:pt idx="23">
                  <c:v>43240</c:v>
                </c:pt>
              </c:numCache>
            </c:numRef>
          </c:xVal>
          <c:yVal>
            <c:numRef>
              <c:f>'Pz-04'!$F$9:$F$32</c:f>
              <c:numCache>
                <c:formatCode>0.0</c:formatCode>
                <c:ptCount val="24"/>
                <c:pt idx="0">
                  <c:v>740.86175100958735</c:v>
                </c:pt>
                <c:pt idx="1">
                  <c:v>740.82442779431972</c:v>
                </c:pt>
                <c:pt idx="2">
                  <c:v>740.78313257713819</c:v>
                </c:pt>
                <c:pt idx="3">
                  <c:v>740.83199117115089</c:v>
                </c:pt>
                <c:pt idx="4">
                  <c:v>740.8417855051897</c:v>
                </c:pt>
                <c:pt idx="5">
                  <c:v>740.75263794820501</c:v>
                </c:pt>
                <c:pt idx="6">
                  <c:v>740.85162995230098</c:v>
                </c:pt>
                <c:pt idx="7">
                  <c:v>740.57128624137056</c:v>
                </c:pt>
                <c:pt idx="8">
                  <c:v>740.58838681215457</c:v>
                </c:pt>
                <c:pt idx="9">
                  <c:v>740.69570646172076</c:v>
                </c:pt>
                <c:pt idx="10">
                  <c:v>740.68801019363571</c:v>
                </c:pt>
                <c:pt idx="11">
                  <c:v>740.6622542782477</c:v>
                </c:pt>
                <c:pt idx="12">
                  <c:v>740.49659944389043</c:v>
                </c:pt>
                <c:pt idx="13">
                  <c:v>740.63087493788964</c:v>
                </c:pt>
                <c:pt idx="14">
                  <c:v>740.61706065262604</c:v>
                </c:pt>
                <c:pt idx="15">
                  <c:v>740.69064177689881</c:v>
                </c:pt>
                <c:pt idx="16">
                  <c:v>740.72870127766157</c:v>
                </c:pt>
                <c:pt idx="17">
                  <c:v>740.76349931753066</c:v>
                </c:pt>
                <c:pt idx="18">
                  <c:v>740.76464913514974</c:v>
                </c:pt>
                <c:pt idx="19">
                  <c:v>740.66137468976285</c:v>
                </c:pt>
                <c:pt idx="20">
                  <c:v>740.67725776026145</c:v>
                </c:pt>
                <c:pt idx="21">
                  <c:v>740.65959553068444</c:v>
                </c:pt>
                <c:pt idx="22">
                  <c:v>740.62736658325366</c:v>
                </c:pt>
                <c:pt idx="23">
                  <c:v>740.66982833974396</c:v>
                </c:pt>
              </c:numCache>
            </c:numRef>
          </c:yVal>
          <c:smooth val="1"/>
        </c:ser>
        <c:ser>
          <c:idx val="2"/>
          <c:order val="2"/>
          <c:tx>
            <c:v>Pz-5</c:v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'Pz-05'!$A$10:$A$34</c:f>
              <c:numCache>
                <c:formatCode>m/d/yyyy</c:formatCode>
                <c:ptCount val="25"/>
                <c:pt idx="0">
                  <c:v>42608</c:v>
                </c:pt>
                <c:pt idx="1">
                  <c:v>42609</c:v>
                </c:pt>
                <c:pt idx="2">
                  <c:v>42610</c:v>
                </c:pt>
                <c:pt idx="3">
                  <c:v>42611</c:v>
                </c:pt>
                <c:pt idx="4">
                  <c:v>42612</c:v>
                </c:pt>
                <c:pt idx="5">
                  <c:v>42623</c:v>
                </c:pt>
                <c:pt idx="6">
                  <c:v>42633</c:v>
                </c:pt>
                <c:pt idx="7">
                  <c:v>42643</c:v>
                </c:pt>
                <c:pt idx="8">
                  <c:v>42884</c:v>
                </c:pt>
                <c:pt idx="9">
                  <c:v>42885</c:v>
                </c:pt>
                <c:pt idx="10">
                  <c:v>42896</c:v>
                </c:pt>
                <c:pt idx="11">
                  <c:v>42906</c:v>
                </c:pt>
                <c:pt idx="12">
                  <c:v>42916</c:v>
                </c:pt>
                <c:pt idx="13">
                  <c:v>42926</c:v>
                </c:pt>
                <c:pt idx="14">
                  <c:v>42936</c:v>
                </c:pt>
                <c:pt idx="15">
                  <c:v>42946</c:v>
                </c:pt>
                <c:pt idx="16">
                  <c:v>42957</c:v>
                </c:pt>
                <c:pt idx="17">
                  <c:v>42967</c:v>
                </c:pt>
                <c:pt idx="18">
                  <c:v>42977</c:v>
                </c:pt>
                <c:pt idx="19">
                  <c:v>42988</c:v>
                </c:pt>
                <c:pt idx="20">
                  <c:v>42998</c:v>
                </c:pt>
                <c:pt idx="21">
                  <c:v>43008</c:v>
                </c:pt>
                <c:pt idx="22">
                  <c:v>43018</c:v>
                </c:pt>
                <c:pt idx="23">
                  <c:v>43230</c:v>
                </c:pt>
                <c:pt idx="24">
                  <c:v>43240</c:v>
                </c:pt>
              </c:numCache>
            </c:numRef>
          </c:xVal>
          <c:yVal>
            <c:numRef>
              <c:f>'Pz-05'!$F$10:$F$34</c:f>
              <c:numCache>
                <c:formatCode>0.0</c:formatCode>
                <c:ptCount val="25"/>
                <c:pt idx="0">
                  <c:v>737.86259960149141</c:v>
                </c:pt>
                <c:pt idx="1">
                  <c:v>738.66328048889852</c:v>
                </c:pt>
                <c:pt idx="2">
                  <c:v>738.04193352493292</c:v>
                </c:pt>
                <c:pt idx="3">
                  <c:v>737.95908936334126</c:v>
                </c:pt>
                <c:pt idx="4">
                  <c:v>737.84633004859199</c:v>
                </c:pt>
                <c:pt idx="5">
                  <c:v>737.99130647857146</c:v>
                </c:pt>
                <c:pt idx="6">
                  <c:v>738.4706072826707</c:v>
                </c:pt>
                <c:pt idx="7">
                  <c:v>738.27746186629668</c:v>
                </c:pt>
                <c:pt idx="8">
                  <c:v>737.7248520458121</c:v>
                </c:pt>
                <c:pt idx="9">
                  <c:v>737.73175552518364</c:v>
                </c:pt>
                <c:pt idx="10">
                  <c:v>737.72945436501186</c:v>
                </c:pt>
                <c:pt idx="11">
                  <c:v>737.76167064211654</c:v>
                </c:pt>
                <c:pt idx="12">
                  <c:v>737.89053649790867</c:v>
                </c:pt>
                <c:pt idx="13">
                  <c:v>737.70644278426596</c:v>
                </c:pt>
                <c:pt idx="14">
                  <c:v>737.76167064211654</c:v>
                </c:pt>
                <c:pt idx="15">
                  <c:v>737.74096016968394</c:v>
                </c:pt>
                <c:pt idx="16">
                  <c:v>737.74309954430078</c:v>
                </c:pt>
                <c:pt idx="17">
                  <c:v>737.79142418817366</c:v>
                </c:pt>
                <c:pt idx="18">
                  <c:v>738.25343693932302</c:v>
                </c:pt>
                <c:pt idx="19">
                  <c:v>737.79832772245413</c:v>
                </c:pt>
                <c:pt idx="20">
                  <c:v>737.71318437284015</c:v>
                </c:pt>
                <c:pt idx="21">
                  <c:v>737.72255088678423</c:v>
                </c:pt>
                <c:pt idx="22">
                  <c:v>737.74079837497754</c:v>
                </c:pt>
                <c:pt idx="23">
                  <c:v>737.42291548947537</c:v>
                </c:pt>
                <c:pt idx="24">
                  <c:v>737.52005038555228</c:v>
                </c:pt>
              </c:numCache>
            </c:numRef>
          </c:yVal>
          <c:smooth val="1"/>
        </c:ser>
        <c:ser>
          <c:idx val="3"/>
          <c:order val="3"/>
          <c:tx>
            <c:v>Pz-6</c:v>
          </c:tx>
          <c:spPr>
            <a:ln w="15875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'Pz-06'!$A$10:$A$33</c:f>
              <c:numCache>
                <c:formatCode>m/d/yyyy</c:formatCode>
                <c:ptCount val="24"/>
                <c:pt idx="0">
                  <c:v>42621</c:v>
                </c:pt>
                <c:pt idx="1">
                  <c:v>42622</c:v>
                </c:pt>
                <c:pt idx="2">
                  <c:v>42623</c:v>
                </c:pt>
                <c:pt idx="3">
                  <c:v>42624</c:v>
                </c:pt>
                <c:pt idx="4">
                  <c:v>42625</c:v>
                </c:pt>
                <c:pt idx="5">
                  <c:v>42633</c:v>
                </c:pt>
                <c:pt idx="6">
                  <c:v>42643</c:v>
                </c:pt>
                <c:pt idx="7">
                  <c:v>42884</c:v>
                </c:pt>
                <c:pt idx="8">
                  <c:v>42885</c:v>
                </c:pt>
                <c:pt idx="9">
                  <c:v>42896</c:v>
                </c:pt>
                <c:pt idx="10">
                  <c:v>42906</c:v>
                </c:pt>
                <c:pt idx="11">
                  <c:v>42916</c:v>
                </c:pt>
                <c:pt idx="12">
                  <c:v>42926</c:v>
                </c:pt>
                <c:pt idx="13">
                  <c:v>42936</c:v>
                </c:pt>
                <c:pt idx="14">
                  <c:v>42946</c:v>
                </c:pt>
                <c:pt idx="15">
                  <c:v>42957</c:v>
                </c:pt>
                <c:pt idx="16">
                  <c:v>42967</c:v>
                </c:pt>
                <c:pt idx="17">
                  <c:v>42977</c:v>
                </c:pt>
                <c:pt idx="18">
                  <c:v>42988</c:v>
                </c:pt>
                <c:pt idx="19">
                  <c:v>42998</c:v>
                </c:pt>
                <c:pt idx="20">
                  <c:v>43008</c:v>
                </c:pt>
                <c:pt idx="21">
                  <c:v>43018</c:v>
                </c:pt>
                <c:pt idx="22">
                  <c:v>43230</c:v>
                </c:pt>
                <c:pt idx="23">
                  <c:v>43240</c:v>
                </c:pt>
              </c:numCache>
            </c:numRef>
          </c:xVal>
          <c:yVal>
            <c:numRef>
              <c:f>'Pz-06'!$F$10:$F$33</c:f>
              <c:numCache>
                <c:formatCode>0.0</c:formatCode>
                <c:ptCount val="24"/>
                <c:pt idx="0">
                  <c:v>737.45685276614643</c:v>
                </c:pt>
                <c:pt idx="1">
                  <c:v>737.51393255246512</c:v>
                </c:pt>
                <c:pt idx="2">
                  <c:v>737.51288304390414</c:v>
                </c:pt>
                <c:pt idx="3">
                  <c:v>737.53970952297709</c:v>
                </c:pt>
                <c:pt idx="4">
                  <c:v>737.57398696286111</c:v>
                </c:pt>
                <c:pt idx="5">
                  <c:v>737.81241266988911</c:v>
                </c:pt>
                <c:pt idx="6">
                  <c:v>737.63868210667272</c:v>
                </c:pt>
                <c:pt idx="7">
                  <c:v>737.23780220385561</c:v>
                </c:pt>
                <c:pt idx="8">
                  <c:v>737.20247029655206</c:v>
                </c:pt>
                <c:pt idx="9">
                  <c:v>737.18457532283026</c:v>
                </c:pt>
                <c:pt idx="10">
                  <c:v>737.19799657714191</c:v>
                </c:pt>
                <c:pt idx="11">
                  <c:v>737.33965658300178</c:v>
                </c:pt>
                <c:pt idx="12">
                  <c:v>737.15474979725695</c:v>
                </c:pt>
                <c:pt idx="13">
                  <c:v>737.20992645998331</c:v>
                </c:pt>
                <c:pt idx="14">
                  <c:v>737.18159280229997</c:v>
                </c:pt>
                <c:pt idx="15">
                  <c:v>737.22632986295548</c:v>
                </c:pt>
                <c:pt idx="16">
                  <c:v>737.28001222195508</c:v>
                </c:pt>
                <c:pt idx="17">
                  <c:v>737.48408988745359</c:v>
                </c:pt>
                <c:pt idx="18">
                  <c:v>737.28344999982858</c:v>
                </c:pt>
                <c:pt idx="19">
                  <c:v>737.1924892559507</c:v>
                </c:pt>
                <c:pt idx="20">
                  <c:v>737.19352284171816</c:v>
                </c:pt>
                <c:pt idx="21">
                  <c:v>737.2297690500202</c:v>
                </c:pt>
                <c:pt idx="22">
                  <c:v>737.00848705632518</c:v>
                </c:pt>
                <c:pt idx="23">
                  <c:v>737.03291917204524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6039440"/>
        <c:axId val="-186036176"/>
      </c:scatterChart>
      <c:valAx>
        <c:axId val="-186039440"/>
        <c:scaling>
          <c:orientation val="minMax"/>
          <c:min val="42583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prstDash val="sysDot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>
                    <a:solidFill>
                      <a:sysClr val="windowText" lastClr="000000"/>
                    </a:solidFill>
                  </a:rPr>
                  <a:t>日期</a:t>
                </a:r>
              </a:p>
            </c:rich>
          </c:tx>
          <c:layout>
            <c:manualLayout>
              <c:xMode val="edge"/>
              <c:yMode val="edge"/>
              <c:x val="0.88183902012248472"/>
              <c:y val="0.88946704578593772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-186036176"/>
        <c:crosses val="autoZero"/>
        <c:crossBetween val="midCat"/>
        <c:majorUnit val="144"/>
      </c:valAx>
      <c:valAx>
        <c:axId val="-18603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prstDash val="sysDot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>
                    <a:solidFill>
                      <a:sysClr val="windowText" lastClr="000000"/>
                    </a:solidFill>
                  </a:rPr>
                  <a:t>水位</a:t>
                </a:r>
                <a:r>
                  <a:rPr lang="en-US" altLang="zh-CN">
                    <a:solidFill>
                      <a:sysClr val="windowText" lastClr="000000"/>
                    </a:solidFill>
                  </a:rPr>
                  <a:t>(m)</a:t>
                </a:r>
                <a:endParaRPr lang="zh-CN" altLang="en-US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,##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86039440"/>
        <c:crosses val="autoZero"/>
        <c:crossBetween val="midCat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b"/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433" l="0.70000000000000062" r="0.70000000000000062" t="0.75000000000000433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003937007874"/>
          <c:y val="0.12962962962962837"/>
          <c:w val="0.82564129483815174"/>
          <c:h val="0.66632691746865536"/>
        </c:manualLayout>
      </c:layout>
      <c:scatterChart>
        <c:scatterStyle val="smoothMarker"/>
        <c:varyColors val="0"/>
        <c:ser>
          <c:idx val="0"/>
          <c:order val="0"/>
          <c:tx>
            <c:v>P4-6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'P4-03'!$A$8:$A$29</c:f>
              <c:numCache>
                <c:formatCode>m/d/yyyy</c:formatCode>
                <c:ptCount val="22"/>
                <c:pt idx="0">
                  <c:v>42852</c:v>
                </c:pt>
                <c:pt idx="1">
                  <c:v>42853</c:v>
                </c:pt>
                <c:pt idx="2">
                  <c:v>42854</c:v>
                </c:pt>
                <c:pt idx="3">
                  <c:v>42855</c:v>
                </c:pt>
                <c:pt idx="4">
                  <c:v>42856</c:v>
                </c:pt>
                <c:pt idx="5">
                  <c:v>42857</c:v>
                </c:pt>
                <c:pt idx="6">
                  <c:v>42858</c:v>
                </c:pt>
                <c:pt idx="7">
                  <c:v>42859</c:v>
                </c:pt>
                <c:pt idx="8">
                  <c:v>42865</c:v>
                </c:pt>
                <c:pt idx="9">
                  <c:v>42875</c:v>
                </c:pt>
                <c:pt idx="10">
                  <c:v>42885</c:v>
                </c:pt>
                <c:pt idx="11">
                  <c:v>42896</c:v>
                </c:pt>
                <c:pt idx="12">
                  <c:v>42906</c:v>
                </c:pt>
                <c:pt idx="13">
                  <c:v>42916</c:v>
                </c:pt>
                <c:pt idx="14">
                  <c:v>42926</c:v>
                </c:pt>
                <c:pt idx="15">
                  <c:v>42936</c:v>
                </c:pt>
                <c:pt idx="16">
                  <c:v>42946</c:v>
                </c:pt>
                <c:pt idx="17">
                  <c:v>42957</c:v>
                </c:pt>
                <c:pt idx="18">
                  <c:v>42967</c:v>
                </c:pt>
                <c:pt idx="19">
                  <c:v>42977</c:v>
                </c:pt>
                <c:pt idx="20">
                  <c:v>42988</c:v>
                </c:pt>
                <c:pt idx="21">
                  <c:v>42998</c:v>
                </c:pt>
              </c:numCache>
            </c:numRef>
          </c:xVal>
          <c:yVal>
            <c:numRef>
              <c:f>'P4-03'!$F$8:$F$28</c:f>
              <c:numCache>
                <c:formatCode>0.0</c:formatCode>
                <c:ptCount val="21"/>
                <c:pt idx="0">
                  <c:v>738.14932918452234</c:v>
                </c:pt>
                <c:pt idx="1">
                  <c:v>738.15361210854837</c:v>
                </c:pt>
                <c:pt idx="2">
                  <c:v>738.16888694578677</c:v>
                </c:pt>
                <c:pt idx="3">
                  <c:v>738.18833879909096</c:v>
                </c:pt>
                <c:pt idx="4">
                  <c:v>738.20338033547796</c:v>
                </c:pt>
                <c:pt idx="5">
                  <c:v>738.19314809074615</c:v>
                </c:pt>
                <c:pt idx="6">
                  <c:v>738.17077545027075</c:v>
                </c:pt>
                <c:pt idx="7">
                  <c:v>738.17226536727378</c:v>
                </c:pt>
                <c:pt idx="8">
                  <c:v>738.18266625702358</c:v>
                </c:pt>
                <c:pt idx="9">
                  <c:v>738.37645881769458</c:v>
                </c:pt>
                <c:pt idx="10">
                  <c:v>738.07090979176223</c:v>
                </c:pt>
                <c:pt idx="11">
                  <c:v>738.10522338986607</c:v>
                </c:pt>
                <c:pt idx="12">
                  <c:v>738.14547138113687</c:v>
                </c:pt>
                <c:pt idx="13">
                  <c:v>738.20284230616039</c:v>
                </c:pt>
                <c:pt idx="14">
                  <c:v>738.02042553709146</c:v>
                </c:pt>
                <c:pt idx="15">
                  <c:v>738.06163330309801</c:v>
                </c:pt>
                <c:pt idx="16">
                  <c:v>738.04252157612393</c:v>
                </c:pt>
                <c:pt idx="17">
                  <c:v>738.0860277340189</c:v>
                </c:pt>
                <c:pt idx="18">
                  <c:v>738.06155626126838</c:v>
                </c:pt>
                <c:pt idx="19">
                  <c:v>738.17610840957559</c:v>
                </c:pt>
                <c:pt idx="20">
                  <c:v>738.15201622950929</c:v>
                </c:pt>
              </c:numCache>
            </c:numRef>
          </c:yVal>
          <c:smooth val="1"/>
        </c:ser>
        <c:ser>
          <c:idx val="1"/>
          <c:order val="1"/>
          <c:tx>
            <c:v>P4-7</c:v>
          </c:tx>
          <c:spPr>
            <a:ln w="19050" cap="rnd">
              <a:solidFill>
                <a:schemeClr val="tx1"/>
              </a:solidFill>
              <a:prstDash val="lgDashDotDot"/>
              <a:round/>
            </a:ln>
            <a:effectLst/>
          </c:spPr>
          <c:marker>
            <c:symbol val="none"/>
          </c:marker>
          <c:xVal>
            <c:numRef>
              <c:f>'P4-07'!$A$8:$A$28</c:f>
              <c:numCache>
                <c:formatCode>m/d/yyyy</c:formatCode>
                <c:ptCount val="21"/>
                <c:pt idx="0">
                  <c:v>42265</c:v>
                </c:pt>
                <c:pt idx="1">
                  <c:v>42266</c:v>
                </c:pt>
                <c:pt idx="2">
                  <c:v>42267</c:v>
                </c:pt>
                <c:pt idx="3">
                  <c:v>42268</c:v>
                </c:pt>
                <c:pt idx="4">
                  <c:v>42269</c:v>
                </c:pt>
                <c:pt idx="5">
                  <c:v>42270</c:v>
                </c:pt>
                <c:pt idx="6">
                  <c:v>42271</c:v>
                </c:pt>
                <c:pt idx="7">
                  <c:v>42272</c:v>
                </c:pt>
                <c:pt idx="8">
                  <c:v>42273</c:v>
                </c:pt>
                <c:pt idx="9">
                  <c:v>42280</c:v>
                </c:pt>
                <c:pt idx="10">
                  <c:v>42287</c:v>
                </c:pt>
                <c:pt idx="11">
                  <c:v>42294</c:v>
                </c:pt>
                <c:pt idx="12">
                  <c:v>42301</c:v>
                </c:pt>
                <c:pt idx="13">
                  <c:v>42308</c:v>
                </c:pt>
                <c:pt idx="14">
                  <c:v>42521</c:v>
                </c:pt>
                <c:pt idx="15">
                  <c:v>42531</c:v>
                </c:pt>
                <c:pt idx="16">
                  <c:v>42544</c:v>
                </c:pt>
                <c:pt idx="17">
                  <c:v>42551</c:v>
                </c:pt>
                <c:pt idx="18">
                  <c:v>42561</c:v>
                </c:pt>
                <c:pt idx="19">
                  <c:v>42571</c:v>
                </c:pt>
                <c:pt idx="20">
                  <c:v>42581</c:v>
                </c:pt>
              </c:numCache>
            </c:numRef>
          </c:xVal>
          <c:yVal>
            <c:numRef>
              <c:f>'P4-07'!$F$8:$F$28</c:f>
              <c:numCache>
                <c:formatCode>0.0</c:formatCode>
                <c:ptCount val="21"/>
                <c:pt idx="0">
                  <c:v>741.5115457578006</c:v>
                </c:pt>
                <c:pt idx="1">
                  <c:v>745.82648969508818</c:v>
                </c:pt>
                <c:pt idx="2">
                  <c:v>739.28966932256253</c:v>
                </c:pt>
                <c:pt idx="3">
                  <c:v>738.50180518783714</c:v>
                </c:pt>
                <c:pt idx="4">
                  <c:v>738.70598420541216</c:v>
                </c:pt>
                <c:pt idx="5">
                  <c:v>738.74640000713987</c:v>
                </c:pt>
                <c:pt idx="6">
                  <c:v>738.84190059037519</c:v>
                </c:pt>
                <c:pt idx="7">
                  <c:v>738.79926127761576</c:v>
                </c:pt>
                <c:pt idx="8">
                  <c:v>738.6495478430669</c:v>
                </c:pt>
                <c:pt idx="9">
                  <c:v>738.63617718614046</c:v>
                </c:pt>
                <c:pt idx="10">
                  <c:v>738.62803962372766</c:v>
                </c:pt>
                <c:pt idx="11">
                  <c:v>738.66804845518811</c:v>
                </c:pt>
                <c:pt idx="12">
                  <c:v>738.59988211415066</c:v>
                </c:pt>
                <c:pt idx="13">
                  <c:v>738.60082748844764</c:v>
                </c:pt>
                <c:pt idx="14">
                  <c:v>738.19913158324471</c:v>
                </c:pt>
                <c:pt idx="15">
                  <c:v>738.00905927965368</c:v>
                </c:pt>
                <c:pt idx="16">
                  <c:v>739.54974339392697</c:v>
                </c:pt>
                <c:pt idx="17">
                  <c:v>738.6319801570379</c:v>
                </c:pt>
                <c:pt idx="18">
                  <c:v>738.33756221755641</c:v>
                </c:pt>
                <c:pt idx="19">
                  <c:v>737.88039900109538</c:v>
                </c:pt>
                <c:pt idx="20">
                  <c:v>737.97478724445295</c:v>
                </c:pt>
              </c:numCache>
            </c:numRef>
          </c:yVal>
          <c:smooth val="1"/>
        </c:ser>
        <c:ser>
          <c:idx val="2"/>
          <c:order val="2"/>
          <c:tx>
            <c:v>P4-8</c:v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'P4-08'!$A$8:$A$28</c:f>
              <c:numCache>
                <c:formatCode>m/d/yyyy</c:formatCode>
                <c:ptCount val="21"/>
                <c:pt idx="0">
                  <c:v>42265</c:v>
                </c:pt>
                <c:pt idx="1">
                  <c:v>42266</c:v>
                </c:pt>
                <c:pt idx="2">
                  <c:v>42267</c:v>
                </c:pt>
                <c:pt idx="3">
                  <c:v>42268</c:v>
                </c:pt>
                <c:pt idx="4">
                  <c:v>42269</c:v>
                </c:pt>
                <c:pt idx="5">
                  <c:v>42270</c:v>
                </c:pt>
                <c:pt idx="6">
                  <c:v>42271</c:v>
                </c:pt>
                <c:pt idx="7">
                  <c:v>42272</c:v>
                </c:pt>
                <c:pt idx="8">
                  <c:v>42273</c:v>
                </c:pt>
                <c:pt idx="9">
                  <c:v>42280</c:v>
                </c:pt>
                <c:pt idx="10">
                  <c:v>42287</c:v>
                </c:pt>
                <c:pt idx="11">
                  <c:v>42294</c:v>
                </c:pt>
                <c:pt idx="12">
                  <c:v>42301</c:v>
                </c:pt>
                <c:pt idx="13">
                  <c:v>42308</c:v>
                </c:pt>
                <c:pt idx="14">
                  <c:v>42521</c:v>
                </c:pt>
                <c:pt idx="15">
                  <c:v>42531</c:v>
                </c:pt>
                <c:pt idx="16">
                  <c:v>42544</c:v>
                </c:pt>
                <c:pt idx="17">
                  <c:v>42551</c:v>
                </c:pt>
                <c:pt idx="18">
                  <c:v>42561</c:v>
                </c:pt>
                <c:pt idx="19">
                  <c:v>42571</c:v>
                </c:pt>
                <c:pt idx="20">
                  <c:v>42581</c:v>
                </c:pt>
              </c:numCache>
            </c:numRef>
          </c:xVal>
          <c:yVal>
            <c:numRef>
              <c:f>'P4-08'!$F$8:$F$28</c:f>
              <c:numCache>
                <c:formatCode>0.0</c:formatCode>
                <c:ptCount val="21"/>
                <c:pt idx="0">
                  <c:v>742.07647742765005</c:v>
                </c:pt>
                <c:pt idx="1">
                  <c:v>746.91045506816863</c:v>
                </c:pt>
                <c:pt idx="2">
                  <c:v>739.2446174402105</c:v>
                </c:pt>
                <c:pt idx="3">
                  <c:v>739.81722918366177</c:v>
                </c:pt>
                <c:pt idx="4">
                  <c:v>738.65602942992064</c:v>
                </c:pt>
                <c:pt idx="5">
                  <c:v>738.66091322351554</c:v>
                </c:pt>
                <c:pt idx="6">
                  <c:v>738.69583983007408</c:v>
                </c:pt>
                <c:pt idx="7">
                  <c:v>738.65484128951255</c:v>
                </c:pt>
                <c:pt idx="8">
                  <c:v>738.60516886730761</c:v>
                </c:pt>
                <c:pt idx="9">
                  <c:v>738.43642750754179</c:v>
                </c:pt>
                <c:pt idx="10">
                  <c:v>738.45376555033135</c:v>
                </c:pt>
                <c:pt idx="11">
                  <c:v>738.42625147292335</c:v>
                </c:pt>
                <c:pt idx="12">
                  <c:v>738.34278907523515</c:v>
                </c:pt>
                <c:pt idx="13">
                  <c:v>738.34916978650551</c:v>
                </c:pt>
                <c:pt idx="14">
                  <c:v>737.78583907734117</c:v>
                </c:pt>
                <c:pt idx="15">
                  <c:v>737.60729353989427</c:v>
                </c:pt>
                <c:pt idx="16">
                  <c:v>739.13634218290383</c:v>
                </c:pt>
                <c:pt idx="17">
                  <c:v>738.24269492347651</c:v>
                </c:pt>
                <c:pt idx="18">
                  <c:v>737.55800501138606</c:v>
                </c:pt>
                <c:pt idx="19">
                  <c:v>737.6355506931277</c:v>
                </c:pt>
                <c:pt idx="20">
                  <c:v>737.72423982337193</c:v>
                </c:pt>
              </c:numCache>
            </c:numRef>
          </c:yVal>
          <c:smooth val="1"/>
        </c:ser>
        <c:ser>
          <c:idx val="3"/>
          <c:order val="3"/>
          <c:tx>
            <c:v>P4-9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'P4-09'!$A$8:$A$28</c:f>
              <c:numCache>
                <c:formatCode>m/d/yyyy</c:formatCode>
                <c:ptCount val="21"/>
                <c:pt idx="0">
                  <c:v>42265</c:v>
                </c:pt>
                <c:pt idx="1">
                  <c:v>42266</c:v>
                </c:pt>
                <c:pt idx="2">
                  <c:v>42267</c:v>
                </c:pt>
                <c:pt idx="3">
                  <c:v>42268</c:v>
                </c:pt>
                <c:pt idx="4">
                  <c:v>42269</c:v>
                </c:pt>
                <c:pt idx="5">
                  <c:v>42270</c:v>
                </c:pt>
                <c:pt idx="6">
                  <c:v>42271</c:v>
                </c:pt>
                <c:pt idx="7">
                  <c:v>42272</c:v>
                </c:pt>
                <c:pt idx="8">
                  <c:v>42273</c:v>
                </c:pt>
                <c:pt idx="9">
                  <c:v>42280</c:v>
                </c:pt>
                <c:pt idx="10">
                  <c:v>42287</c:v>
                </c:pt>
                <c:pt idx="11">
                  <c:v>42294</c:v>
                </c:pt>
                <c:pt idx="12">
                  <c:v>42301</c:v>
                </c:pt>
                <c:pt idx="13">
                  <c:v>42308</c:v>
                </c:pt>
                <c:pt idx="14">
                  <c:v>42521</c:v>
                </c:pt>
                <c:pt idx="15">
                  <c:v>42531</c:v>
                </c:pt>
                <c:pt idx="16">
                  <c:v>42544</c:v>
                </c:pt>
                <c:pt idx="17">
                  <c:v>42551</c:v>
                </c:pt>
                <c:pt idx="18">
                  <c:v>42561</c:v>
                </c:pt>
                <c:pt idx="19">
                  <c:v>42571</c:v>
                </c:pt>
                <c:pt idx="20">
                  <c:v>42581</c:v>
                </c:pt>
              </c:numCache>
            </c:numRef>
          </c:xVal>
          <c:yVal>
            <c:numRef>
              <c:f>'P4-09'!$F$8:$F$28</c:f>
              <c:numCache>
                <c:formatCode>0.0</c:formatCode>
                <c:ptCount val="21"/>
                <c:pt idx="0">
                  <c:v>743.10741965382863</c:v>
                </c:pt>
                <c:pt idx="1">
                  <c:v>748.41626636041815</c:v>
                </c:pt>
                <c:pt idx="2">
                  <c:v>738.10068057061892</c:v>
                </c:pt>
                <c:pt idx="3">
                  <c:v>737.68235541834827</c:v>
                </c:pt>
                <c:pt idx="4">
                  <c:v>737.60574854079277</c:v>
                </c:pt>
                <c:pt idx="5">
                  <c:v>737.28912243713205</c:v>
                </c:pt>
                <c:pt idx="6">
                  <c:v>737.62678353401793</c:v>
                </c:pt>
                <c:pt idx="7">
                  <c:v>737.53460848087138</c:v>
                </c:pt>
                <c:pt idx="8">
                  <c:v>737.60718257785754</c:v>
                </c:pt>
                <c:pt idx="9">
                  <c:v>737.42356666211106</c:v>
                </c:pt>
                <c:pt idx="10">
                  <c:v>737.58447430671288</c:v>
                </c:pt>
                <c:pt idx="11">
                  <c:v>737.44343600932871</c:v>
                </c:pt>
                <c:pt idx="12">
                  <c:v>737.36418900975843</c:v>
                </c:pt>
                <c:pt idx="13">
                  <c:v>737.38107252977352</c:v>
                </c:pt>
                <c:pt idx="14">
                  <c:v>736.64396061460525</c:v>
                </c:pt>
                <c:pt idx="15">
                  <c:v>736.5564181237296</c:v>
                </c:pt>
                <c:pt idx="16">
                  <c:v>738.0827017772541</c:v>
                </c:pt>
                <c:pt idx="17">
                  <c:v>737.21732952060665</c:v>
                </c:pt>
                <c:pt idx="18">
                  <c:v>736.95123405421725</c:v>
                </c:pt>
                <c:pt idx="19">
                  <c:v>736.80531889088331</c:v>
                </c:pt>
                <c:pt idx="20">
                  <c:v>736.89300809789347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1643984"/>
        <c:axId val="-161645072"/>
      </c:scatterChart>
      <c:valAx>
        <c:axId val="-161643984"/>
        <c:scaling>
          <c:orientation val="minMax"/>
          <c:min val="42217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prstDash val="sys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lang="zh-CN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>
                    <a:solidFill>
                      <a:sysClr val="windowText" lastClr="000000"/>
                    </a:solidFill>
                  </a:rPr>
                  <a:t>日期</a:t>
                </a:r>
              </a:p>
            </c:rich>
          </c:tx>
          <c:layout>
            <c:manualLayout>
              <c:xMode val="edge"/>
              <c:yMode val="edge"/>
              <c:x val="0.86036004087275109"/>
              <c:y val="0.87094853209574352"/>
            </c:manualLayout>
          </c:layout>
          <c:overlay val="0"/>
          <c:spPr>
            <a:noFill/>
            <a:ln w="25400">
              <a:noFill/>
            </a:ln>
          </c:spPr>
        </c:title>
        <c:numFmt formatCode="yyyy/m/d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-161645072"/>
        <c:crosses val="autoZero"/>
        <c:crossBetween val="midCat"/>
        <c:majorUnit val="62"/>
      </c:valAx>
      <c:valAx>
        <c:axId val="-16164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prstDash val="sysDash"/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 algn="ctr">
                  <a:defRPr lang="zh-CN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>
                    <a:solidFill>
                      <a:sysClr val="windowText" lastClr="000000"/>
                    </a:solidFill>
                  </a:rPr>
                  <a:t>水位</a:t>
                </a:r>
                <a:r>
                  <a:rPr lang="en-US" altLang="zh-CN">
                    <a:solidFill>
                      <a:sysClr val="windowText" lastClr="000000"/>
                    </a:solidFill>
                  </a:rPr>
                  <a:t>(m)</a:t>
                </a:r>
                <a:endParaRPr lang="zh-CN" altLang="en-US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4.0500490873755332E-2"/>
              <c:y val="2.5936973110149412E-2"/>
            </c:manualLayout>
          </c:layout>
          <c:overlay val="0"/>
          <c:spPr>
            <a:noFill/>
            <a:ln w="25400">
              <a:noFill/>
            </a:ln>
          </c:spPr>
        </c:title>
        <c:numFmt formatCode="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61643984"/>
        <c:crosses val="autoZero"/>
        <c:crossBetween val="midCat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5"/>
          <c:y val="0.89403973509933776"/>
          <c:w val="0.58587786259542063"/>
          <c:h val="7.2847682119206517E-2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horzOverflow="overflow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000000000000433" l="0.70000000000000062" r="0.70000000000000062" t="0.75000000000000433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003937007874"/>
          <c:y val="0.12962962962962837"/>
          <c:w val="0.82564129483815174"/>
          <c:h val="0.66632691746865536"/>
        </c:manualLayout>
      </c:layout>
      <c:scatterChart>
        <c:scatterStyle val="smoothMarker"/>
        <c:varyColors val="0"/>
        <c:ser>
          <c:idx val="0"/>
          <c:order val="0"/>
          <c:tx>
            <c:v>P4-6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'P4-04'!$A$8:$A$29</c:f>
              <c:numCache>
                <c:formatCode>m/d/yyyy</c:formatCode>
                <c:ptCount val="22"/>
                <c:pt idx="0">
                  <c:v>42864</c:v>
                </c:pt>
                <c:pt idx="1">
                  <c:v>42865</c:v>
                </c:pt>
                <c:pt idx="2">
                  <c:v>42866</c:v>
                </c:pt>
                <c:pt idx="3">
                  <c:v>42867</c:v>
                </c:pt>
                <c:pt idx="4">
                  <c:v>42868</c:v>
                </c:pt>
                <c:pt idx="5">
                  <c:v>42869</c:v>
                </c:pt>
                <c:pt idx="6">
                  <c:v>42870</c:v>
                </c:pt>
                <c:pt idx="7">
                  <c:v>42875</c:v>
                </c:pt>
                <c:pt idx="8">
                  <c:v>42885</c:v>
                </c:pt>
                <c:pt idx="9">
                  <c:v>42896</c:v>
                </c:pt>
                <c:pt idx="10">
                  <c:v>42906</c:v>
                </c:pt>
                <c:pt idx="11">
                  <c:v>42916</c:v>
                </c:pt>
                <c:pt idx="12">
                  <c:v>42926</c:v>
                </c:pt>
                <c:pt idx="13">
                  <c:v>42936</c:v>
                </c:pt>
                <c:pt idx="14">
                  <c:v>42946</c:v>
                </c:pt>
                <c:pt idx="15">
                  <c:v>42957</c:v>
                </c:pt>
                <c:pt idx="16">
                  <c:v>42967</c:v>
                </c:pt>
                <c:pt idx="17">
                  <c:v>42977</c:v>
                </c:pt>
                <c:pt idx="18">
                  <c:v>42988</c:v>
                </c:pt>
                <c:pt idx="19">
                  <c:v>42998</c:v>
                </c:pt>
                <c:pt idx="20">
                  <c:v>43008</c:v>
                </c:pt>
                <c:pt idx="21">
                  <c:v>43018</c:v>
                </c:pt>
              </c:numCache>
            </c:numRef>
          </c:xVal>
          <c:yVal>
            <c:numRef>
              <c:f>'P4-04'!$F$8:$F$28</c:f>
              <c:numCache>
                <c:formatCode>0.0</c:formatCode>
                <c:ptCount val="21"/>
                <c:pt idx="0">
                  <c:v>741.66914109400216</c:v>
                </c:pt>
                <c:pt idx="1">
                  <c:v>741.59317060418937</c:v>
                </c:pt>
                <c:pt idx="2">
                  <c:v>741.51954776418859</c:v>
                </c:pt>
                <c:pt idx="3">
                  <c:v>741.56679425781249</c:v>
                </c:pt>
                <c:pt idx="4">
                  <c:v>741.64764691524067</c:v>
                </c:pt>
                <c:pt idx="5">
                  <c:v>741.64303606842475</c:v>
                </c:pt>
                <c:pt idx="6">
                  <c:v>741.68636103330027</c:v>
                </c:pt>
                <c:pt idx="7">
                  <c:v>741.77225627632652</c:v>
                </c:pt>
                <c:pt idx="8">
                  <c:v>741.63259661551308</c:v>
                </c:pt>
                <c:pt idx="9">
                  <c:v>741.7197061893994</c:v>
                </c:pt>
                <c:pt idx="10">
                  <c:v>741.71303962456034</c:v>
                </c:pt>
                <c:pt idx="11">
                  <c:v>741.70064580837447</c:v>
                </c:pt>
                <c:pt idx="12">
                  <c:v>741.54938641974934</c:v>
                </c:pt>
                <c:pt idx="13">
                  <c:v>741.67377939982612</c:v>
                </c:pt>
                <c:pt idx="14">
                  <c:v>741.64228387084688</c:v>
                </c:pt>
                <c:pt idx="15">
                  <c:v>741.70570665256787</c:v>
                </c:pt>
                <c:pt idx="16">
                  <c:v>741.65957907326754</c:v>
                </c:pt>
                <c:pt idx="17">
                  <c:v>741.74410825495397</c:v>
                </c:pt>
                <c:pt idx="18">
                  <c:v>741.77280685803032</c:v>
                </c:pt>
                <c:pt idx="19">
                  <c:v>741.66056648471908</c:v>
                </c:pt>
                <c:pt idx="20">
                  <c:v>741.66886503544936</c:v>
                </c:pt>
              </c:numCache>
            </c:numRef>
          </c:yVal>
          <c:smooth val="1"/>
        </c:ser>
        <c:ser>
          <c:idx val="1"/>
          <c:order val="1"/>
          <c:tx>
            <c:v>P4-7</c:v>
          </c:tx>
          <c:spPr>
            <a:ln w="19050" cap="rnd">
              <a:solidFill>
                <a:schemeClr val="tx1"/>
              </a:solidFill>
              <a:prstDash val="lgDashDotDot"/>
              <a:round/>
            </a:ln>
            <a:effectLst/>
          </c:spPr>
          <c:marker>
            <c:symbol val="none"/>
          </c:marker>
          <c:xVal>
            <c:numRef>
              <c:f>'P4-07'!$A$8:$A$28</c:f>
              <c:numCache>
                <c:formatCode>m/d/yyyy</c:formatCode>
                <c:ptCount val="21"/>
                <c:pt idx="0">
                  <c:v>42265</c:v>
                </c:pt>
                <c:pt idx="1">
                  <c:v>42266</c:v>
                </c:pt>
                <c:pt idx="2">
                  <c:v>42267</c:v>
                </c:pt>
                <c:pt idx="3">
                  <c:v>42268</c:v>
                </c:pt>
                <c:pt idx="4">
                  <c:v>42269</c:v>
                </c:pt>
                <c:pt idx="5">
                  <c:v>42270</c:v>
                </c:pt>
                <c:pt idx="6">
                  <c:v>42271</c:v>
                </c:pt>
                <c:pt idx="7">
                  <c:v>42272</c:v>
                </c:pt>
                <c:pt idx="8">
                  <c:v>42273</c:v>
                </c:pt>
                <c:pt idx="9">
                  <c:v>42280</c:v>
                </c:pt>
                <c:pt idx="10">
                  <c:v>42287</c:v>
                </c:pt>
                <c:pt idx="11">
                  <c:v>42294</c:v>
                </c:pt>
                <c:pt idx="12">
                  <c:v>42301</c:v>
                </c:pt>
                <c:pt idx="13">
                  <c:v>42308</c:v>
                </c:pt>
                <c:pt idx="14">
                  <c:v>42521</c:v>
                </c:pt>
                <c:pt idx="15">
                  <c:v>42531</c:v>
                </c:pt>
                <c:pt idx="16">
                  <c:v>42544</c:v>
                </c:pt>
                <c:pt idx="17">
                  <c:v>42551</c:v>
                </c:pt>
                <c:pt idx="18">
                  <c:v>42561</c:v>
                </c:pt>
                <c:pt idx="19">
                  <c:v>42571</c:v>
                </c:pt>
                <c:pt idx="20">
                  <c:v>42581</c:v>
                </c:pt>
              </c:numCache>
            </c:numRef>
          </c:xVal>
          <c:yVal>
            <c:numRef>
              <c:f>'P4-07'!$F$8:$F$28</c:f>
              <c:numCache>
                <c:formatCode>0.0</c:formatCode>
                <c:ptCount val="21"/>
                <c:pt idx="0">
                  <c:v>741.5115457578006</c:v>
                </c:pt>
                <c:pt idx="1">
                  <c:v>745.82648969508818</c:v>
                </c:pt>
                <c:pt idx="2">
                  <c:v>739.28966932256253</c:v>
                </c:pt>
                <c:pt idx="3">
                  <c:v>738.50180518783714</c:v>
                </c:pt>
                <c:pt idx="4">
                  <c:v>738.70598420541216</c:v>
                </c:pt>
                <c:pt idx="5">
                  <c:v>738.74640000713987</c:v>
                </c:pt>
                <c:pt idx="6">
                  <c:v>738.84190059037519</c:v>
                </c:pt>
                <c:pt idx="7">
                  <c:v>738.79926127761576</c:v>
                </c:pt>
                <c:pt idx="8">
                  <c:v>738.6495478430669</c:v>
                </c:pt>
                <c:pt idx="9">
                  <c:v>738.63617718614046</c:v>
                </c:pt>
                <c:pt idx="10">
                  <c:v>738.62803962372766</c:v>
                </c:pt>
                <c:pt idx="11">
                  <c:v>738.66804845518811</c:v>
                </c:pt>
                <c:pt idx="12">
                  <c:v>738.59988211415066</c:v>
                </c:pt>
                <c:pt idx="13">
                  <c:v>738.60082748844764</c:v>
                </c:pt>
                <c:pt idx="14">
                  <c:v>738.19913158324471</c:v>
                </c:pt>
                <c:pt idx="15">
                  <c:v>738.00905927965368</c:v>
                </c:pt>
                <c:pt idx="16">
                  <c:v>739.54974339392697</c:v>
                </c:pt>
                <c:pt idx="17">
                  <c:v>738.6319801570379</c:v>
                </c:pt>
                <c:pt idx="18">
                  <c:v>738.33756221755641</c:v>
                </c:pt>
                <c:pt idx="19">
                  <c:v>737.88039900109538</c:v>
                </c:pt>
                <c:pt idx="20">
                  <c:v>737.97478724445295</c:v>
                </c:pt>
              </c:numCache>
            </c:numRef>
          </c:yVal>
          <c:smooth val="1"/>
        </c:ser>
        <c:ser>
          <c:idx val="2"/>
          <c:order val="2"/>
          <c:tx>
            <c:v>P4-8</c:v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'P4-08'!$A$8:$A$28</c:f>
              <c:numCache>
                <c:formatCode>m/d/yyyy</c:formatCode>
                <c:ptCount val="21"/>
                <c:pt idx="0">
                  <c:v>42265</c:v>
                </c:pt>
                <c:pt idx="1">
                  <c:v>42266</c:v>
                </c:pt>
                <c:pt idx="2">
                  <c:v>42267</c:v>
                </c:pt>
                <c:pt idx="3">
                  <c:v>42268</c:v>
                </c:pt>
                <c:pt idx="4">
                  <c:v>42269</c:v>
                </c:pt>
                <c:pt idx="5">
                  <c:v>42270</c:v>
                </c:pt>
                <c:pt idx="6">
                  <c:v>42271</c:v>
                </c:pt>
                <c:pt idx="7">
                  <c:v>42272</c:v>
                </c:pt>
                <c:pt idx="8">
                  <c:v>42273</c:v>
                </c:pt>
                <c:pt idx="9">
                  <c:v>42280</c:v>
                </c:pt>
                <c:pt idx="10">
                  <c:v>42287</c:v>
                </c:pt>
                <c:pt idx="11">
                  <c:v>42294</c:v>
                </c:pt>
                <c:pt idx="12">
                  <c:v>42301</c:v>
                </c:pt>
                <c:pt idx="13">
                  <c:v>42308</c:v>
                </c:pt>
                <c:pt idx="14">
                  <c:v>42521</c:v>
                </c:pt>
                <c:pt idx="15">
                  <c:v>42531</c:v>
                </c:pt>
                <c:pt idx="16">
                  <c:v>42544</c:v>
                </c:pt>
                <c:pt idx="17">
                  <c:v>42551</c:v>
                </c:pt>
                <c:pt idx="18">
                  <c:v>42561</c:v>
                </c:pt>
                <c:pt idx="19">
                  <c:v>42571</c:v>
                </c:pt>
                <c:pt idx="20">
                  <c:v>42581</c:v>
                </c:pt>
              </c:numCache>
            </c:numRef>
          </c:xVal>
          <c:yVal>
            <c:numRef>
              <c:f>'P4-08'!$F$8:$F$28</c:f>
              <c:numCache>
                <c:formatCode>0.0</c:formatCode>
                <c:ptCount val="21"/>
                <c:pt idx="0">
                  <c:v>742.07647742765005</c:v>
                </c:pt>
                <c:pt idx="1">
                  <c:v>746.91045506816863</c:v>
                </c:pt>
                <c:pt idx="2">
                  <c:v>739.2446174402105</c:v>
                </c:pt>
                <c:pt idx="3">
                  <c:v>739.81722918366177</c:v>
                </c:pt>
                <c:pt idx="4">
                  <c:v>738.65602942992064</c:v>
                </c:pt>
                <c:pt idx="5">
                  <c:v>738.66091322351554</c:v>
                </c:pt>
                <c:pt idx="6">
                  <c:v>738.69583983007408</c:v>
                </c:pt>
                <c:pt idx="7">
                  <c:v>738.65484128951255</c:v>
                </c:pt>
                <c:pt idx="8">
                  <c:v>738.60516886730761</c:v>
                </c:pt>
                <c:pt idx="9">
                  <c:v>738.43642750754179</c:v>
                </c:pt>
                <c:pt idx="10">
                  <c:v>738.45376555033135</c:v>
                </c:pt>
                <c:pt idx="11">
                  <c:v>738.42625147292335</c:v>
                </c:pt>
                <c:pt idx="12">
                  <c:v>738.34278907523515</c:v>
                </c:pt>
                <c:pt idx="13">
                  <c:v>738.34916978650551</c:v>
                </c:pt>
                <c:pt idx="14">
                  <c:v>737.78583907734117</c:v>
                </c:pt>
                <c:pt idx="15">
                  <c:v>737.60729353989427</c:v>
                </c:pt>
                <c:pt idx="16">
                  <c:v>739.13634218290383</c:v>
                </c:pt>
                <c:pt idx="17">
                  <c:v>738.24269492347651</c:v>
                </c:pt>
                <c:pt idx="18">
                  <c:v>737.55800501138606</c:v>
                </c:pt>
                <c:pt idx="19">
                  <c:v>737.6355506931277</c:v>
                </c:pt>
                <c:pt idx="20">
                  <c:v>737.72423982337193</c:v>
                </c:pt>
              </c:numCache>
            </c:numRef>
          </c:yVal>
          <c:smooth val="1"/>
        </c:ser>
        <c:ser>
          <c:idx val="3"/>
          <c:order val="3"/>
          <c:tx>
            <c:v>P4-9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'P4-09'!$A$8:$A$28</c:f>
              <c:numCache>
                <c:formatCode>m/d/yyyy</c:formatCode>
                <c:ptCount val="21"/>
                <c:pt idx="0">
                  <c:v>42265</c:v>
                </c:pt>
                <c:pt idx="1">
                  <c:v>42266</c:v>
                </c:pt>
                <c:pt idx="2">
                  <c:v>42267</c:v>
                </c:pt>
                <c:pt idx="3">
                  <c:v>42268</c:v>
                </c:pt>
                <c:pt idx="4">
                  <c:v>42269</c:v>
                </c:pt>
                <c:pt idx="5">
                  <c:v>42270</c:v>
                </c:pt>
                <c:pt idx="6">
                  <c:v>42271</c:v>
                </c:pt>
                <c:pt idx="7">
                  <c:v>42272</c:v>
                </c:pt>
                <c:pt idx="8">
                  <c:v>42273</c:v>
                </c:pt>
                <c:pt idx="9">
                  <c:v>42280</c:v>
                </c:pt>
                <c:pt idx="10">
                  <c:v>42287</c:v>
                </c:pt>
                <c:pt idx="11">
                  <c:v>42294</c:v>
                </c:pt>
                <c:pt idx="12">
                  <c:v>42301</c:v>
                </c:pt>
                <c:pt idx="13">
                  <c:v>42308</c:v>
                </c:pt>
                <c:pt idx="14">
                  <c:v>42521</c:v>
                </c:pt>
                <c:pt idx="15">
                  <c:v>42531</c:v>
                </c:pt>
                <c:pt idx="16">
                  <c:v>42544</c:v>
                </c:pt>
                <c:pt idx="17">
                  <c:v>42551</c:v>
                </c:pt>
                <c:pt idx="18">
                  <c:v>42561</c:v>
                </c:pt>
                <c:pt idx="19">
                  <c:v>42571</c:v>
                </c:pt>
                <c:pt idx="20">
                  <c:v>42581</c:v>
                </c:pt>
              </c:numCache>
            </c:numRef>
          </c:xVal>
          <c:yVal>
            <c:numRef>
              <c:f>'P4-09'!$F$8:$F$28</c:f>
              <c:numCache>
                <c:formatCode>0.0</c:formatCode>
                <c:ptCount val="21"/>
                <c:pt idx="0">
                  <c:v>743.10741965382863</c:v>
                </c:pt>
                <c:pt idx="1">
                  <c:v>748.41626636041815</c:v>
                </c:pt>
                <c:pt idx="2">
                  <c:v>738.10068057061892</c:v>
                </c:pt>
                <c:pt idx="3">
                  <c:v>737.68235541834827</c:v>
                </c:pt>
                <c:pt idx="4">
                  <c:v>737.60574854079277</c:v>
                </c:pt>
                <c:pt idx="5">
                  <c:v>737.28912243713205</c:v>
                </c:pt>
                <c:pt idx="6">
                  <c:v>737.62678353401793</c:v>
                </c:pt>
                <c:pt idx="7">
                  <c:v>737.53460848087138</c:v>
                </c:pt>
                <c:pt idx="8">
                  <c:v>737.60718257785754</c:v>
                </c:pt>
                <c:pt idx="9">
                  <c:v>737.42356666211106</c:v>
                </c:pt>
                <c:pt idx="10">
                  <c:v>737.58447430671288</c:v>
                </c:pt>
                <c:pt idx="11">
                  <c:v>737.44343600932871</c:v>
                </c:pt>
                <c:pt idx="12">
                  <c:v>737.36418900975843</c:v>
                </c:pt>
                <c:pt idx="13">
                  <c:v>737.38107252977352</c:v>
                </c:pt>
                <c:pt idx="14">
                  <c:v>736.64396061460525</c:v>
                </c:pt>
                <c:pt idx="15">
                  <c:v>736.5564181237296</c:v>
                </c:pt>
                <c:pt idx="16">
                  <c:v>738.0827017772541</c:v>
                </c:pt>
                <c:pt idx="17">
                  <c:v>737.21732952060665</c:v>
                </c:pt>
                <c:pt idx="18">
                  <c:v>736.95123405421725</c:v>
                </c:pt>
                <c:pt idx="19">
                  <c:v>736.80531889088331</c:v>
                </c:pt>
                <c:pt idx="20">
                  <c:v>736.89300809789347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1648336"/>
        <c:axId val="-161642896"/>
      </c:scatterChart>
      <c:valAx>
        <c:axId val="-161648336"/>
        <c:scaling>
          <c:orientation val="minMax"/>
          <c:min val="42217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prstDash val="sys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lang="zh-CN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>
                    <a:solidFill>
                      <a:sysClr val="windowText" lastClr="000000"/>
                    </a:solidFill>
                  </a:rPr>
                  <a:t>日期</a:t>
                </a:r>
              </a:p>
            </c:rich>
          </c:tx>
          <c:layout>
            <c:manualLayout>
              <c:xMode val="edge"/>
              <c:yMode val="edge"/>
              <c:x val="0.86036004087275109"/>
              <c:y val="0.87094853209574352"/>
            </c:manualLayout>
          </c:layout>
          <c:overlay val="0"/>
          <c:spPr>
            <a:noFill/>
            <a:ln w="25400">
              <a:noFill/>
            </a:ln>
          </c:spPr>
        </c:title>
        <c:numFmt formatCode="yyyy/m/d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-161642896"/>
        <c:crosses val="autoZero"/>
        <c:crossBetween val="midCat"/>
        <c:majorUnit val="62"/>
      </c:valAx>
      <c:valAx>
        <c:axId val="-16164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prstDash val="sysDash"/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 algn="ctr">
                  <a:defRPr lang="zh-CN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>
                    <a:solidFill>
                      <a:sysClr val="windowText" lastClr="000000"/>
                    </a:solidFill>
                  </a:rPr>
                  <a:t>水位</a:t>
                </a:r>
                <a:r>
                  <a:rPr lang="en-US" altLang="zh-CN">
                    <a:solidFill>
                      <a:sysClr val="windowText" lastClr="000000"/>
                    </a:solidFill>
                  </a:rPr>
                  <a:t>(m)</a:t>
                </a:r>
                <a:endParaRPr lang="zh-CN" altLang="en-US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4.0500490873755332E-2"/>
              <c:y val="2.5936973110149412E-2"/>
            </c:manualLayout>
          </c:layout>
          <c:overlay val="0"/>
          <c:spPr>
            <a:noFill/>
            <a:ln w="25400">
              <a:noFill/>
            </a:ln>
          </c:spPr>
        </c:title>
        <c:numFmt formatCode="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61648336"/>
        <c:crosses val="autoZero"/>
        <c:crossBetween val="midCat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5"/>
          <c:y val="0.89403973509933776"/>
          <c:w val="0.58587786259542063"/>
          <c:h val="7.2847682119206517E-2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horzOverflow="overflow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000000000000433" l="0.70000000000000062" r="0.70000000000000062" t="0.75000000000000433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003937007874"/>
          <c:y val="0.12962962962962837"/>
          <c:w val="0.82564129483815174"/>
          <c:h val="0.66632691746865536"/>
        </c:manualLayout>
      </c:layout>
      <c:scatterChart>
        <c:scatterStyle val="smoothMarker"/>
        <c:varyColors val="0"/>
        <c:ser>
          <c:idx val="0"/>
          <c:order val="0"/>
          <c:tx>
            <c:v>P4-6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'P4-05'!$A$8:$A$29</c:f>
              <c:numCache>
                <c:formatCode>m/d/yyyy</c:formatCode>
                <c:ptCount val="22"/>
                <c:pt idx="0">
                  <c:v>42852</c:v>
                </c:pt>
                <c:pt idx="1">
                  <c:v>42853</c:v>
                </c:pt>
                <c:pt idx="2">
                  <c:v>42854</c:v>
                </c:pt>
                <c:pt idx="3">
                  <c:v>42855</c:v>
                </c:pt>
                <c:pt idx="4">
                  <c:v>42856</c:v>
                </c:pt>
                <c:pt idx="5">
                  <c:v>42857</c:v>
                </c:pt>
                <c:pt idx="6">
                  <c:v>42858</c:v>
                </c:pt>
                <c:pt idx="7">
                  <c:v>42859</c:v>
                </c:pt>
                <c:pt idx="8">
                  <c:v>42865</c:v>
                </c:pt>
                <c:pt idx="9">
                  <c:v>42875</c:v>
                </c:pt>
                <c:pt idx="10">
                  <c:v>42885</c:v>
                </c:pt>
                <c:pt idx="11">
                  <c:v>42896</c:v>
                </c:pt>
                <c:pt idx="12">
                  <c:v>42906</c:v>
                </c:pt>
                <c:pt idx="13">
                  <c:v>42916</c:v>
                </c:pt>
                <c:pt idx="14">
                  <c:v>42926</c:v>
                </c:pt>
                <c:pt idx="15">
                  <c:v>42936</c:v>
                </c:pt>
                <c:pt idx="16">
                  <c:v>42946</c:v>
                </c:pt>
                <c:pt idx="17">
                  <c:v>42957</c:v>
                </c:pt>
                <c:pt idx="18">
                  <c:v>42967</c:v>
                </c:pt>
                <c:pt idx="19">
                  <c:v>42977</c:v>
                </c:pt>
                <c:pt idx="20">
                  <c:v>42988</c:v>
                </c:pt>
                <c:pt idx="21">
                  <c:v>42998</c:v>
                </c:pt>
              </c:numCache>
            </c:numRef>
          </c:xVal>
          <c:yVal>
            <c:numRef>
              <c:f>'P4-05'!$F$8:$F$28</c:f>
              <c:numCache>
                <c:formatCode>0.0</c:formatCode>
                <c:ptCount val="21"/>
                <c:pt idx="0">
                  <c:v>737.98826239063703</c:v>
                </c:pt>
                <c:pt idx="1">
                  <c:v>738.08851485625996</c:v>
                </c:pt>
                <c:pt idx="2">
                  <c:v>738.13476725942337</c:v>
                </c:pt>
                <c:pt idx="3">
                  <c:v>738.17521826982852</c:v>
                </c:pt>
                <c:pt idx="4">
                  <c:v>738.15458693885694</c:v>
                </c:pt>
                <c:pt idx="5">
                  <c:v>738.15438801646303</c:v>
                </c:pt>
                <c:pt idx="6">
                  <c:v>738.13833535721471</c:v>
                </c:pt>
                <c:pt idx="7">
                  <c:v>738.1215916773624</c:v>
                </c:pt>
                <c:pt idx="8">
                  <c:v>738.14100623190143</c:v>
                </c:pt>
                <c:pt idx="9">
                  <c:v>738.21704559312832</c:v>
                </c:pt>
                <c:pt idx="10">
                  <c:v>738.34668593073854</c:v>
                </c:pt>
                <c:pt idx="11">
                  <c:v>738.12301281435589</c:v>
                </c:pt>
                <c:pt idx="12">
                  <c:v>738.09153069256502</c:v>
                </c:pt>
                <c:pt idx="13">
                  <c:v>738.07665544919519</c:v>
                </c:pt>
                <c:pt idx="14">
                  <c:v>737.92945827676851</c:v>
                </c:pt>
                <c:pt idx="15">
                  <c:v>738.06037219789926</c:v>
                </c:pt>
                <c:pt idx="16">
                  <c:v>738.02972600384408</c:v>
                </c:pt>
                <c:pt idx="17">
                  <c:v>738.09364663578378</c:v>
                </c:pt>
                <c:pt idx="18">
                  <c:v>738.03239700469919</c:v>
                </c:pt>
                <c:pt idx="19">
                  <c:v>738.12964605303364</c:v>
                </c:pt>
                <c:pt idx="20">
                  <c:v>738.15603101298814</c:v>
                </c:pt>
              </c:numCache>
            </c:numRef>
          </c:yVal>
          <c:smooth val="1"/>
        </c:ser>
        <c:ser>
          <c:idx val="1"/>
          <c:order val="1"/>
          <c:tx>
            <c:v>P4-7</c:v>
          </c:tx>
          <c:spPr>
            <a:ln w="19050" cap="rnd">
              <a:solidFill>
                <a:schemeClr val="tx1"/>
              </a:solidFill>
              <a:prstDash val="lgDashDotDot"/>
              <a:round/>
            </a:ln>
            <a:effectLst/>
          </c:spPr>
          <c:marker>
            <c:symbol val="none"/>
          </c:marker>
          <c:xVal>
            <c:numRef>
              <c:f>'P4-07'!$A$8:$A$28</c:f>
              <c:numCache>
                <c:formatCode>m/d/yyyy</c:formatCode>
                <c:ptCount val="21"/>
                <c:pt idx="0">
                  <c:v>42265</c:v>
                </c:pt>
                <c:pt idx="1">
                  <c:v>42266</c:v>
                </c:pt>
                <c:pt idx="2">
                  <c:v>42267</c:v>
                </c:pt>
                <c:pt idx="3">
                  <c:v>42268</c:v>
                </c:pt>
                <c:pt idx="4">
                  <c:v>42269</c:v>
                </c:pt>
                <c:pt idx="5">
                  <c:v>42270</c:v>
                </c:pt>
                <c:pt idx="6">
                  <c:v>42271</c:v>
                </c:pt>
                <c:pt idx="7">
                  <c:v>42272</c:v>
                </c:pt>
                <c:pt idx="8">
                  <c:v>42273</c:v>
                </c:pt>
                <c:pt idx="9">
                  <c:v>42280</c:v>
                </c:pt>
                <c:pt idx="10">
                  <c:v>42287</c:v>
                </c:pt>
                <c:pt idx="11">
                  <c:v>42294</c:v>
                </c:pt>
                <c:pt idx="12">
                  <c:v>42301</c:v>
                </c:pt>
                <c:pt idx="13">
                  <c:v>42308</c:v>
                </c:pt>
                <c:pt idx="14">
                  <c:v>42521</c:v>
                </c:pt>
                <c:pt idx="15">
                  <c:v>42531</c:v>
                </c:pt>
                <c:pt idx="16">
                  <c:v>42544</c:v>
                </c:pt>
                <c:pt idx="17">
                  <c:v>42551</c:v>
                </c:pt>
                <c:pt idx="18">
                  <c:v>42561</c:v>
                </c:pt>
                <c:pt idx="19">
                  <c:v>42571</c:v>
                </c:pt>
                <c:pt idx="20">
                  <c:v>42581</c:v>
                </c:pt>
              </c:numCache>
            </c:numRef>
          </c:xVal>
          <c:yVal>
            <c:numRef>
              <c:f>'P4-07'!$F$8:$F$28</c:f>
              <c:numCache>
                <c:formatCode>0.0</c:formatCode>
                <c:ptCount val="21"/>
                <c:pt idx="0">
                  <c:v>741.5115457578006</c:v>
                </c:pt>
                <c:pt idx="1">
                  <c:v>745.82648969508818</c:v>
                </c:pt>
                <c:pt idx="2">
                  <c:v>739.28966932256253</c:v>
                </c:pt>
                <c:pt idx="3">
                  <c:v>738.50180518783714</c:v>
                </c:pt>
                <c:pt idx="4">
                  <c:v>738.70598420541216</c:v>
                </c:pt>
                <c:pt idx="5">
                  <c:v>738.74640000713987</c:v>
                </c:pt>
                <c:pt idx="6">
                  <c:v>738.84190059037519</c:v>
                </c:pt>
                <c:pt idx="7">
                  <c:v>738.79926127761576</c:v>
                </c:pt>
                <c:pt idx="8">
                  <c:v>738.6495478430669</c:v>
                </c:pt>
                <c:pt idx="9">
                  <c:v>738.63617718614046</c:v>
                </c:pt>
                <c:pt idx="10">
                  <c:v>738.62803962372766</c:v>
                </c:pt>
                <c:pt idx="11">
                  <c:v>738.66804845518811</c:v>
                </c:pt>
                <c:pt idx="12">
                  <c:v>738.59988211415066</c:v>
                </c:pt>
                <c:pt idx="13">
                  <c:v>738.60082748844764</c:v>
                </c:pt>
                <c:pt idx="14">
                  <c:v>738.19913158324471</c:v>
                </c:pt>
                <c:pt idx="15">
                  <c:v>738.00905927965368</c:v>
                </c:pt>
                <c:pt idx="16">
                  <c:v>739.54974339392697</c:v>
                </c:pt>
                <c:pt idx="17">
                  <c:v>738.6319801570379</c:v>
                </c:pt>
                <c:pt idx="18">
                  <c:v>738.33756221755641</c:v>
                </c:pt>
                <c:pt idx="19">
                  <c:v>737.88039900109538</c:v>
                </c:pt>
                <c:pt idx="20">
                  <c:v>737.97478724445295</c:v>
                </c:pt>
              </c:numCache>
            </c:numRef>
          </c:yVal>
          <c:smooth val="1"/>
        </c:ser>
        <c:ser>
          <c:idx val="2"/>
          <c:order val="2"/>
          <c:tx>
            <c:v>P4-8</c:v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'P4-08'!$A$8:$A$28</c:f>
              <c:numCache>
                <c:formatCode>m/d/yyyy</c:formatCode>
                <c:ptCount val="21"/>
                <c:pt idx="0">
                  <c:v>42265</c:v>
                </c:pt>
                <c:pt idx="1">
                  <c:v>42266</c:v>
                </c:pt>
                <c:pt idx="2">
                  <c:v>42267</c:v>
                </c:pt>
                <c:pt idx="3">
                  <c:v>42268</c:v>
                </c:pt>
                <c:pt idx="4">
                  <c:v>42269</c:v>
                </c:pt>
                <c:pt idx="5">
                  <c:v>42270</c:v>
                </c:pt>
                <c:pt idx="6">
                  <c:v>42271</c:v>
                </c:pt>
                <c:pt idx="7">
                  <c:v>42272</c:v>
                </c:pt>
                <c:pt idx="8">
                  <c:v>42273</c:v>
                </c:pt>
                <c:pt idx="9">
                  <c:v>42280</c:v>
                </c:pt>
                <c:pt idx="10">
                  <c:v>42287</c:v>
                </c:pt>
                <c:pt idx="11">
                  <c:v>42294</c:v>
                </c:pt>
                <c:pt idx="12">
                  <c:v>42301</c:v>
                </c:pt>
                <c:pt idx="13">
                  <c:v>42308</c:v>
                </c:pt>
                <c:pt idx="14">
                  <c:v>42521</c:v>
                </c:pt>
                <c:pt idx="15">
                  <c:v>42531</c:v>
                </c:pt>
                <c:pt idx="16">
                  <c:v>42544</c:v>
                </c:pt>
                <c:pt idx="17">
                  <c:v>42551</c:v>
                </c:pt>
                <c:pt idx="18">
                  <c:v>42561</c:v>
                </c:pt>
                <c:pt idx="19">
                  <c:v>42571</c:v>
                </c:pt>
                <c:pt idx="20">
                  <c:v>42581</c:v>
                </c:pt>
              </c:numCache>
            </c:numRef>
          </c:xVal>
          <c:yVal>
            <c:numRef>
              <c:f>'P4-08'!$F$8:$F$28</c:f>
              <c:numCache>
                <c:formatCode>0.0</c:formatCode>
                <c:ptCount val="21"/>
                <c:pt idx="0">
                  <c:v>742.07647742765005</c:v>
                </c:pt>
                <c:pt idx="1">
                  <c:v>746.91045506816863</c:v>
                </c:pt>
                <c:pt idx="2">
                  <c:v>739.2446174402105</c:v>
                </c:pt>
                <c:pt idx="3">
                  <c:v>739.81722918366177</c:v>
                </c:pt>
                <c:pt idx="4">
                  <c:v>738.65602942992064</c:v>
                </c:pt>
                <c:pt idx="5">
                  <c:v>738.66091322351554</c:v>
                </c:pt>
                <c:pt idx="6">
                  <c:v>738.69583983007408</c:v>
                </c:pt>
                <c:pt idx="7">
                  <c:v>738.65484128951255</c:v>
                </c:pt>
                <c:pt idx="8">
                  <c:v>738.60516886730761</c:v>
                </c:pt>
                <c:pt idx="9">
                  <c:v>738.43642750754179</c:v>
                </c:pt>
                <c:pt idx="10">
                  <c:v>738.45376555033135</c:v>
                </c:pt>
                <c:pt idx="11">
                  <c:v>738.42625147292335</c:v>
                </c:pt>
                <c:pt idx="12">
                  <c:v>738.34278907523515</c:v>
                </c:pt>
                <c:pt idx="13">
                  <c:v>738.34916978650551</c:v>
                </c:pt>
                <c:pt idx="14">
                  <c:v>737.78583907734117</c:v>
                </c:pt>
                <c:pt idx="15">
                  <c:v>737.60729353989427</c:v>
                </c:pt>
                <c:pt idx="16">
                  <c:v>739.13634218290383</c:v>
                </c:pt>
                <c:pt idx="17">
                  <c:v>738.24269492347651</c:v>
                </c:pt>
                <c:pt idx="18">
                  <c:v>737.55800501138606</c:v>
                </c:pt>
                <c:pt idx="19">
                  <c:v>737.6355506931277</c:v>
                </c:pt>
                <c:pt idx="20">
                  <c:v>737.72423982337193</c:v>
                </c:pt>
              </c:numCache>
            </c:numRef>
          </c:yVal>
          <c:smooth val="1"/>
        </c:ser>
        <c:ser>
          <c:idx val="3"/>
          <c:order val="3"/>
          <c:tx>
            <c:v>P4-9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'P4-09'!$A$8:$A$28</c:f>
              <c:numCache>
                <c:formatCode>m/d/yyyy</c:formatCode>
                <c:ptCount val="21"/>
                <c:pt idx="0">
                  <c:v>42265</c:v>
                </c:pt>
                <c:pt idx="1">
                  <c:v>42266</c:v>
                </c:pt>
                <c:pt idx="2">
                  <c:v>42267</c:v>
                </c:pt>
                <c:pt idx="3">
                  <c:v>42268</c:v>
                </c:pt>
                <c:pt idx="4">
                  <c:v>42269</c:v>
                </c:pt>
                <c:pt idx="5">
                  <c:v>42270</c:v>
                </c:pt>
                <c:pt idx="6">
                  <c:v>42271</c:v>
                </c:pt>
                <c:pt idx="7">
                  <c:v>42272</c:v>
                </c:pt>
                <c:pt idx="8">
                  <c:v>42273</c:v>
                </c:pt>
                <c:pt idx="9">
                  <c:v>42280</c:v>
                </c:pt>
                <c:pt idx="10">
                  <c:v>42287</c:v>
                </c:pt>
                <c:pt idx="11">
                  <c:v>42294</c:v>
                </c:pt>
                <c:pt idx="12">
                  <c:v>42301</c:v>
                </c:pt>
                <c:pt idx="13">
                  <c:v>42308</c:v>
                </c:pt>
                <c:pt idx="14">
                  <c:v>42521</c:v>
                </c:pt>
                <c:pt idx="15">
                  <c:v>42531</c:v>
                </c:pt>
                <c:pt idx="16">
                  <c:v>42544</c:v>
                </c:pt>
                <c:pt idx="17">
                  <c:v>42551</c:v>
                </c:pt>
                <c:pt idx="18">
                  <c:v>42561</c:v>
                </c:pt>
                <c:pt idx="19">
                  <c:v>42571</c:v>
                </c:pt>
                <c:pt idx="20">
                  <c:v>42581</c:v>
                </c:pt>
              </c:numCache>
            </c:numRef>
          </c:xVal>
          <c:yVal>
            <c:numRef>
              <c:f>'P4-09'!$F$8:$F$28</c:f>
              <c:numCache>
                <c:formatCode>0.0</c:formatCode>
                <c:ptCount val="21"/>
                <c:pt idx="0">
                  <c:v>743.10741965382863</c:v>
                </c:pt>
                <c:pt idx="1">
                  <c:v>748.41626636041815</c:v>
                </c:pt>
                <c:pt idx="2">
                  <c:v>738.10068057061892</c:v>
                </c:pt>
                <c:pt idx="3">
                  <c:v>737.68235541834827</c:v>
                </c:pt>
                <c:pt idx="4">
                  <c:v>737.60574854079277</c:v>
                </c:pt>
                <c:pt idx="5">
                  <c:v>737.28912243713205</c:v>
                </c:pt>
                <c:pt idx="6">
                  <c:v>737.62678353401793</c:v>
                </c:pt>
                <c:pt idx="7">
                  <c:v>737.53460848087138</c:v>
                </c:pt>
                <c:pt idx="8">
                  <c:v>737.60718257785754</c:v>
                </c:pt>
                <c:pt idx="9">
                  <c:v>737.42356666211106</c:v>
                </c:pt>
                <c:pt idx="10">
                  <c:v>737.58447430671288</c:v>
                </c:pt>
                <c:pt idx="11">
                  <c:v>737.44343600932871</c:v>
                </c:pt>
                <c:pt idx="12">
                  <c:v>737.36418900975843</c:v>
                </c:pt>
                <c:pt idx="13">
                  <c:v>737.38107252977352</c:v>
                </c:pt>
                <c:pt idx="14">
                  <c:v>736.64396061460525</c:v>
                </c:pt>
                <c:pt idx="15">
                  <c:v>736.5564181237296</c:v>
                </c:pt>
                <c:pt idx="16">
                  <c:v>738.0827017772541</c:v>
                </c:pt>
                <c:pt idx="17">
                  <c:v>737.21732952060665</c:v>
                </c:pt>
                <c:pt idx="18">
                  <c:v>736.95123405421725</c:v>
                </c:pt>
                <c:pt idx="19">
                  <c:v>736.80531889088331</c:v>
                </c:pt>
                <c:pt idx="20">
                  <c:v>736.89300809789347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1636912"/>
        <c:axId val="-161638544"/>
      </c:scatterChart>
      <c:valAx>
        <c:axId val="-161636912"/>
        <c:scaling>
          <c:orientation val="minMax"/>
          <c:min val="42217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prstDash val="sys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lang="zh-CN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>
                    <a:solidFill>
                      <a:sysClr val="windowText" lastClr="000000"/>
                    </a:solidFill>
                  </a:rPr>
                  <a:t>日期</a:t>
                </a:r>
              </a:p>
            </c:rich>
          </c:tx>
          <c:layout>
            <c:manualLayout>
              <c:xMode val="edge"/>
              <c:yMode val="edge"/>
              <c:x val="0.86036004087275109"/>
              <c:y val="0.87094853209574352"/>
            </c:manualLayout>
          </c:layout>
          <c:overlay val="0"/>
          <c:spPr>
            <a:noFill/>
            <a:ln w="25400">
              <a:noFill/>
            </a:ln>
          </c:spPr>
        </c:title>
        <c:numFmt formatCode="yyyy/m/d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-161638544"/>
        <c:crosses val="autoZero"/>
        <c:crossBetween val="midCat"/>
        <c:majorUnit val="62"/>
      </c:valAx>
      <c:valAx>
        <c:axId val="-16163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prstDash val="sysDash"/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 algn="ctr">
                  <a:defRPr lang="zh-CN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>
                    <a:solidFill>
                      <a:sysClr val="windowText" lastClr="000000"/>
                    </a:solidFill>
                  </a:rPr>
                  <a:t>水位</a:t>
                </a:r>
                <a:r>
                  <a:rPr lang="en-US" altLang="zh-CN">
                    <a:solidFill>
                      <a:sysClr val="windowText" lastClr="000000"/>
                    </a:solidFill>
                  </a:rPr>
                  <a:t>(m)</a:t>
                </a:r>
                <a:endParaRPr lang="zh-CN" altLang="en-US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4.0500490873755332E-2"/>
              <c:y val="2.5936973110149412E-2"/>
            </c:manualLayout>
          </c:layout>
          <c:overlay val="0"/>
          <c:spPr>
            <a:noFill/>
            <a:ln w="25400">
              <a:noFill/>
            </a:ln>
          </c:spPr>
        </c:title>
        <c:numFmt formatCode="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61636912"/>
        <c:crosses val="autoZero"/>
        <c:crossBetween val="midCat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5"/>
          <c:y val="0.89403973509933776"/>
          <c:w val="0.58587786259542063"/>
          <c:h val="7.2847682119206517E-2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horzOverflow="overflow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000000000000433" l="0.70000000000000062" r="0.70000000000000062" t="0.75000000000000433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/>
            </a:pPr>
            <a:r>
              <a:rPr lang="zh-CN" altLang="en-US" sz="1200" b="0"/>
              <a:t>桩号</a:t>
            </a:r>
            <a:r>
              <a:rPr lang="en-US" altLang="zh-CN" sz="1200" b="0"/>
              <a:t>0+750</a:t>
            </a:r>
            <a:r>
              <a:rPr lang="zh-CN" altLang="en-US" sz="1200" b="0"/>
              <a:t>混凝土防渗墙后坝基渗压过程线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728496724169022"/>
          <c:y val="0.12962962962962837"/>
          <c:w val="0.80019594878884415"/>
          <c:h val="0.66632691746865536"/>
        </c:manualLayout>
      </c:layout>
      <c:scatterChart>
        <c:scatterStyle val="smoothMarker"/>
        <c:varyColors val="0"/>
        <c:ser>
          <c:idx val="0"/>
          <c:order val="0"/>
          <c:tx>
            <c:v>P4-6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'P4-06'!$A$12:$A$290</c:f>
              <c:numCache>
                <c:formatCode>m/d/yyyy</c:formatCode>
                <c:ptCount val="279"/>
                <c:pt idx="0">
                  <c:v>42269</c:v>
                </c:pt>
                <c:pt idx="1">
                  <c:v>42270</c:v>
                </c:pt>
                <c:pt idx="2">
                  <c:v>42271</c:v>
                </c:pt>
                <c:pt idx="3">
                  <c:v>42272</c:v>
                </c:pt>
                <c:pt idx="4">
                  <c:v>42273</c:v>
                </c:pt>
                <c:pt idx="5">
                  <c:v>42280</c:v>
                </c:pt>
                <c:pt idx="6">
                  <c:v>42287</c:v>
                </c:pt>
                <c:pt idx="7">
                  <c:v>42294</c:v>
                </c:pt>
                <c:pt idx="8">
                  <c:v>42301</c:v>
                </c:pt>
                <c:pt idx="9">
                  <c:v>42308</c:v>
                </c:pt>
                <c:pt idx="10">
                  <c:v>42521</c:v>
                </c:pt>
                <c:pt idx="11">
                  <c:v>42531</c:v>
                </c:pt>
                <c:pt idx="12">
                  <c:v>42544</c:v>
                </c:pt>
                <c:pt idx="13">
                  <c:v>42551</c:v>
                </c:pt>
                <c:pt idx="14">
                  <c:v>42561</c:v>
                </c:pt>
                <c:pt idx="15">
                  <c:v>42571</c:v>
                </c:pt>
                <c:pt idx="16">
                  <c:v>42581</c:v>
                </c:pt>
                <c:pt idx="17">
                  <c:v>42653</c:v>
                </c:pt>
                <c:pt idx="18">
                  <c:v>42846</c:v>
                </c:pt>
                <c:pt idx="19">
                  <c:v>42855</c:v>
                </c:pt>
                <c:pt idx="20">
                  <c:v>42865</c:v>
                </c:pt>
                <c:pt idx="21">
                  <c:v>42875</c:v>
                </c:pt>
                <c:pt idx="22">
                  <c:v>42885</c:v>
                </c:pt>
                <c:pt idx="23">
                  <c:v>42896</c:v>
                </c:pt>
                <c:pt idx="24">
                  <c:v>42906</c:v>
                </c:pt>
                <c:pt idx="25">
                  <c:v>42916</c:v>
                </c:pt>
                <c:pt idx="26">
                  <c:v>42926</c:v>
                </c:pt>
                <c:pt idx="27">
                  <c:v>42936</c:v>
                </c:pt>
                <c:pt idx="28">
                  <c:v>42946</c:v>
                </c:pt>
                <c:pt idx="29">
                  <c:v>42957</c:v>
                </c:pt>
                <c:pt idx="30">
                  <c:v>42967</c:v>
                </c:pt>
                <c:pt idx="31">
                  <c:v>42977</c:v>
                </c:pt>
                <c:pt idx="32">
                  <c:v>42988</c:v>
                </c:pt>
                <c:pt idx="33">
                  <c:v>42998</c:v>
                </c:pt>
                <c:pt idx="34">
                  <c:v>43008</c:v>
                </c:pt>
                <c:pt idx="35">
                  <c:v>43018</c:v>
                </c:pt>
                <c:pt idx="36">
                  <c:v>43230</c:v>
                </c:pt>
                <c:pt idx="37">
                  <c:v>43240</c:v>
                </c:pt>
                <c:pt idx="38">
                  <c:v>43250</c:v>
                </c:pt>
                <c:pt idx="39">
                  <c:v>43261</c:v>
                </c:pt>
                <c:pt idx="40">
                  <c:v>43271</c:v>
                </c:pt>
                <c:pt idx="41">
                  <c:v>43281</c:v>
                </c:pt>
                <c:pt idx="42">
                  <c:v>43291</c:v>
                </c:pt>
                <c:pt idx="43">
                  <c:v>43301</c:v>
                </c:pt>
                <c:pt idx="44">
                  <c:v>43311</c:v>
                </c:pt>
                <c:pt idx="45">
                  <c:v>43322</c:v>
                </c:pt>
                <c:pt idx="46">
                  <c:v>43332</c:v>
                </c:pt>
                <c:pt idx="47">
                  <c:v>43342</c:v>
                </c:pt>
                <c:pt idx="48">
                  <c:v>43353</c:v>
                </c:pt>
                <c:pt idx="49">
                  <c:v>43363</c:v>
                </c:pt>
                <c:pt idx="50">
                  <c:v>43373</c:v>
                </c:pt>
                <c:pt idx="51">
                  <c:v>43383</c:v>
                </c:pt>
                <c:pt idx="52">
                  <c:v>43393</c:v>
                </c:pt>
                <c:pt idx="53">
                  <c:v>43605</c:v>
                </c:pt>
                <c:pt idx="54">
                  <c:v>43615</c:v>
                </c:pt>
                <c:pt idx="55">
                  <c:v>43626</c:v>
                </c:pt>
                <c:pt idx="56">
                  <c:v>43636</c:v>
                </c:pt>
                <c:pt idx="57">
                  <c:v>43646</c:v>
                </c:pt>
                <c:pt idx="58">
                  <c:v>43656</c:v>
                </c:pt>
                <c:pt idx="59">
                  <c:v>43666</c:v>
                </c:pt>
                <c:pt idx="60">
                  <c:v>43676</c:v>
                </c:pt>
                <c:pt idx="61">
                  <c:v>43687</c:v>
                </c:pt>
                <c:pt idx="62">
                  <c:v>43697</c:v>
                </c:pt>
                <c:pt idx="63">
                  <c:v>43707</c:v>
                </c:pt>
              </c:numCache>
            </c:numRef>
          </c:xVal>
          <c:yVal>
            <c:numRef>
              <c:f>'P4-06'!$F$12:$F$280</c:f>
              <c:numCache>
                <c:formatCode>0.0</c:formatCode>
                <c:ptCount val="269"/>
                <c:pt idx="0">
                  <c:v>738.74231316605994</c:v>
                </c:pt>
                <c:pt idx="1">
                  <c:v>738.75320464327194</c:v>
                </c:pt>
                <c:pt idx="2">
                  <c:v>738.82646173506203</c:v>
                </c:pt>
                <c:pt idx="3">
                  <c:v>738.77503858521743</c:v>
                </c:pt>
                <c:pt idx="4">
                  <c:v>738.77044405475806</c:v>
                </c:pt>
                <c:pt idx="5">
                  <c:v>738.6266874703889</c:v>
                </c:pt>
                <c:pt idx="6">
                  <c:v>738.61336913317723</c:v>
                </c:pt>
                <c:pt idx="7">
                  <c:v>738.67906255627099</c:v>
                </c:pt>
                <c:pt idx="8">
                  <c:v>738.60901827340695</c:v>
                </c:pt>
                <c:pt idx="9">
                  <c:v>738.61635016650098</c:v>
                </c:pt>
                <c:pt idx="10">
                  <c:v>738.27500039051972</c:v>
                </c:pt>
                <c:pt idx="11">
                  <c:v>738.09640130684625</c:v>
                </c:pt>
                <c:pt idx="12">
                  <c:v>739.62975378308704</c:v>
                </c:pt>
                <c:pt idx="13">
                  <c:v>738.72065744921417</c:v>
                </c:pt>
                <c:pt idx="14">
                  <c:v>738.41803808342013</c:v>
                </c:pt>
                <c:pt idx="15">
                  <c:v>737.94495096635444</c:v>
                </c:pt>
                <c:pt idx="16">
                  <c:v>737.99871975403266</c:v>
                </c:pt>
                <c:pt idx="17">
                  <c:v>736.92770254466768</c:v>
                </c:pt>
                <c:pt idx="18">
                  <c:v>737.747924492474</c:v>
                </c:pt>
                <c:pt idx="19">
                  <c:v>737.70060340159648</c:v>
                </c:pt>
                <c:pt idx="20">
                  <c:v>738.26879108491687</c:v>
                </c:pt>
                <c:pt idx="21">
                  <c:v>738.0039461351779</c:v>
                </c:pt>
                <c:pt idx="22">
                  <c:v>737.68127652692579</c:v>
                </c:pt>
                <c:pt idx="23">
                  <c:v>737.70501050888015</c:v>
                </c:pt>
                <c:pt idx="24">
                  <c:v>737.76806883554013</c:v>
                </c:pt>
                <c:pt idx="25">
                  <c:v>737.85139356326886</c:v>
                </c:pt>
                <c:pt idx="26">
                  <c:v>737.64077900071118</c:v>
                </c:pt>
                <c:pt idx="27">
                  <c:v>737.69449848234967</c:v>
                </c:pt>
                <c:pt idx="28">
                  <c:v>737.59280491974664</c:v>
                </c:pt>
                <c:pt idx="29">
                  <c:v>737.72474618713977</c:v>
                </c:pt>
                <c:pt idx="30">
                  <c:v>737.63959979020433</c:v>
                </c:pt>
                <c:pt idx="31">
                  <c:v>737.79158477753344</c:v>
                </c:pt>
                <c:pt idx="32">
                  <c:v>737.76047812635602</c:v>
                </c:pt>
                <c:pt idx="33">
                  <c:v>737.66651009601776</c:v>
                </c:pt>
                <c:pt idx="34">
                  <c:v>737.61387008071245</c:v>
                </c:pt>
                <c:pt idx="35">
                  <c:v>737.6674335206169</c:v>
                </c:pt>
                <c:pt idx="36">
                  <c:v>737.59711335389625</c:v>
                </c:pt>
                <c:pt idx="37">
                  <c:v>737.57103443697679</c:v>
                </c:pt>
                <c:pt idx="38">
                  <c:v>737.62484017774602</c:v>
                </c:pt>
                <c:pt idx="39">
                  <c:v>737.87316312633209</c:v>
                </c:pt>
                <c:pt idx="40">
                  <c:v>738.83909058145298</c:v>
                </c:pt>
                <c:pt idx="41">
                  <c:v>738.61054625934514</c:v>
                </c:pt>
                <c:pt idx="42">
                  <c:v>738.28799370831177</c:v>
                </c:pt>
                <c:pt idx="43">
                  <c:v>738.11254359051384</c:v>
                </c:pt>
                <c:pt idx="44">
                  <c:v>738.14255863983021</c:v>
                </c:pt>
                <c:pt idx="45">
                  <c:v>738.45711007384921</c:v>
                </c:pt>
                <c:pt idx="46">
                  <c:v>738.24889575576083</c:v>
                </c:pt>
                <c:pt idx="47">
                  <c:v>738.57126906734175</c:v>
                </c:pt>
                <c:pt idx="48">
                  <c:v>738.91353510095655</c:v>
                </c:pt>
                <c:pt idx="49">
                  <c:v>738.66770176410785</c:v>
                </c:pt>
                <c:pt idx="50">
                  <c:v>738.62830093510274</c:v>
                </c:pt>
                <c:pt idx="51">
                  <c:v>738.5861143026325</c:v>
                </c:pt>
                <c:pt idx="52">
                  <c:v>738.51883098215319</c:v>
                </c:pt>
                <c:pt idx="53">
                  <c:v>738.41738229464136</c:v>
                </c:pt>
                <c:pt idx="54">
                  <c:v>738.41950724065487</c:v>
                </c:pt>
                <c:pt idx="55">
                  <c:v>738.41389437918281</c:v>
                </c:pt>
                <c:pt idx="56">
                  <c:v>738.39653850561581</c:v>
                </c:pt>
                <c:pt idx="57">
                  <c:v>738.40534001252399</c:v>
                </c:pt>
                <c:pt idx="58">
                  <c:v>738.39438853055697</c:v>
                </c:pt>
                <c:pt idx="59">
                  <c:v>738.39451354331675</c:v>
                </c:pt>
                <c:pt idx="60">
                  <c:v>738.38556591571478</c:v>
                </c:pt>
                <c:pt idx="61">
                  <c:v>738.61683153443471</c:v>
                </c:pt>
                <c:pt idx="62">
                  <c:v>738.78581434734519</c:v>
                </c:pt>
                <c:pt idx="63">
                  <c:v>739.22216728732656</c:v>
                </c:pt>
              </c:numCache>
            </c:numRef>
          </c:yVal>
          <c:smooth val="1"/>
        </c:ser>
        <c:ser>
          <c:idx val="1"/>
          <c:order val="1"/>
          <c:tx>
            <c:v>P4-7</c:v>
          </c:tx>
          <c:spPr>
            <a:ln w="19050" cap="rnd">
              <a:solidFill>
                <a:schemeClr val="tx1"/>
              </a:solidFill>
              <a:prstDash val="lgDashDotDot"/>
              <a:round/>
            </a:ln>
            <a:effectLst/>
          </c:spPr>
          <c:marker>
            <c:symbol val="none"/>
          </c:marker>
          <c:xVal>
            <c:numRef>
              <c:f>'P4-07'!$A$12:$A$280</c:f>
              <c:numCache>
                <c:formatCode>m/d/yyyy</c:formatCode>
                <c:ptCount val="269"/>
                <c:pt idx="0">
                  <c:v>42269</c:v>
                </c:pt>
                <c:pt idx="1">
                  <c:v>42270</c:v>
                </c:pt>
                <c:pt idx="2">
                  <c:v>42271</c:v>
                </c:pt>
                <c:pt idx="3">
                  <c:v>42272</c:v>
                </c:pt>
                <c:pt idx="4">
                  <c:v>42273</c:v>
                </c:pt>
                <c:pt idx="5">
                  <c:v>42280</c:v>
                </c:pt>
                <c:pt idx="6">
                  <c:v>42287</c:v>
                </c:pt>
                <c:pt idx="7">
                  <c:v>42294</c:v>
                </c:pt>
                <c:pt idx="8">
                  <c:v>42301</c:v>
                </c:pt>
                <c:pt idx="9">
                  <c:v>42308</c:v>
                </c:pt>
                <c:pt idx="10">
                  <c:v>42521</c:v>
                </c:pt>
                <c:pt idx="11">
                  <c:v>42531</c:v>
                </c:pt>
                <c:pt idx="12">
                  <c:v>42544</c:v>
                </c:pt>
                <c:pt idx="13">
                  <c:v>42551</c:v>
                </c:pt>
                <c:pt idx="14">
                  <c:v>42561</c:v>
                </c:pt>
                <c:pt idx="15">
                  <c:v>42571</c:v>
                </c:pt>
                <c:pt idx="16">
                  <c:v>42581</c:v>
                </c:pt>
                <c:pt idx="17">
                  <c:v>42653</c:v>
                </c:pt>
                <c:pt idx="18">
                  <c:v>42846</c:v>
                </c:pt>
                <c:pt idx="19">
                  <c:v>42855</c:v>
                </c:pt>
                <c:pt idx="20">
                  <c:v>42865</c:v>
                </c:pt>
                <c:pt idx="21">
                  <c:v>42875</c:v>
                </c:pt>
                <c:pt idx="22">
                  <c:v>42885</c:v>
                </c:pt>
                <c:pt idx="23">
                  <c:v>42896</c:v>
                </c:pt>
                <c:pt idx="24">
                  <c:v>42906</c:v>
                </c:pt>
                <c:pt idx="25">
                  <c:v>42916</c:v>
                </c:pt>
                <c:pt idx="26">
                  <c:v>42926</c:v>
                </c:pt>
                <c:pt idx="27">
                  <c:v>42936</c:v>
                </c:pt>
                <c:pt idx="28">
                  <c:v>42946</c:v>
                </c:pt>
                <c:pt idx="29">
                  <c:v>42957</c:v>
                </c:pt>
                <c:pt idx="30">
                  <c:v>42967</c:v>
                </c:pt>
                <c:pt idx="31">
                  <c:v>42977</c:v>
                </c:pt>
                <c:pt idx="32">
                  <c:v>42988</c:v>
                </c:pt>
                <c:pt idx="33">
                  <c:v>42998</c:v>
                </c:pt>
                <c:pt idx="34">
                  <c:v>43008</c:v>
                </c:pt>
                <c:pt idx="35">
                  <c:v>43018</c:v>
                </c:pt>
                <c:pt idx="36">
                  <c:v>43230</c:v>
                </c:pt>
                <c:pt idx="37">
                  <c:v>43240</c:v>
                </c:pt>
                <c:pt idx="38">
                  <c:v>43250</c:v>
                </c:pt>
                <c:pt idx="39">
                  <c:v>43261</c:v>
                </c:pt>
                <c:pt idx="40">
                  <c:v>43271</c:v>
                </c:pt>
                <c:pt idx="41">
                  <c:v>43281</c:v>
                </c:pt>
                <c:pt idx="42">
                  <c:v>43291</c:v>
                </c:pt>
                <c:pt idx="43">
                  <c:v>43301</c:v>
                </c:pt>
                <c:pt idx="44">
                  <c:v>43311</c:v>
                </c:pt>
                <c:pt idx="45">
                  <c:v>43322</c:v>
                </c:pt>
                <c:pt idx="46">
                  <c:v>43332</c:v>
                </c:pt>
                <c:pt idx="47">
                  <c:v>43342</c:v>
                </c:pt>
                <c:pt idx="48">
                  <c:v>43353</c:v>
                </c:pt>
                <c:pt idx="49">
                  <c:v>43363</c:v>
                </c:pt>
                <c:pt idx="50">
                  <c:v>43373</c:v>
                </c:pt>
                <c:pt idx="51">
                  <c:v>43383</c:v>
                </c:pt>
                <c:pt idx="52">
                  <c:v>43393</c:v>
                </c:pt>
                <c:pt idx="53">
                  <c:v>43605</c:v>
                </c:pt>
                <c:pt idx="54">
                  <c:v>43615</c:v>
                </c:pt>
                <c:pt idx="55">
                  <c:v>43626</c:v>
                </c:pt>
                <c:pt idx="56">
                  <c:v>43636</c:v>
                </c:pt>
                <c:pt idx="57">
                  <c:v>43646</c:v>
                </c:pt>
                <c:pt idx="58">
                  <c:v>43656</c:v>
                </c:pt>
                <c:pt idx="59">
                  <c:v>43666</c:v>
                </c:pt>
                <c:pt idx="60">
                  <c:v>43676</c:v>
                </c:pt>
                <c:pt idx="61">
                  <c:v>43687</c:v>
                </c:pt>
                <c:pt idx="62">
                  <c:v>43697</c:v>
                </c:pt>
                <c:pt idx="63">
                  <c:v>43707</c:v>
                </c:pt>
              </c:numCache>
            </c:numRef>
          </c:xVal>
          <c:yVal>
            <c:numRef>
              <c:f>'P4-07'!$F$12:$F$280</c:f>
              <c:numCache>
                <c:formatCode>0.0</c:formatCode>
                <c:ptCount val="269"/>
                <c:pt idx="0">
                  <c:v>738.70598420541216</c:v>
                </c:pt>
                <c:pt idx="1">
                  <c:v>738.74640000713987</c:v>
                </c:pt>
                <c:pt idx="2">
                  <c:v>738.84190059037519</c:v>
                </c:pt>
                <c:pt idx="3">
                  <c:v>738.79926127761576</c:v>
                </c:pt>
                <c:pt idx="4">
                  <c:v>738.6495478430669</c:v>
                </c:pt>
                <c:pt idx="5">
                  <c:v>738.63617718614046</c:v>
                </c:pt>
                <c:pt idx="6">
                  <c:v>738.62803962372766</c:v>
                </c:pt>
                <c:pt idx="7">
                  <c:v>738.66804845518811</c:v>
                </c:pt>
                <c:pt idx="8">
                  <c:v>738.59988211415066</c:v>
                </c:pt>
                <c:pt idx="9">
                  <c:v>738.60082748844764</c:v>
                </c:pt>
                <c:pt idx="10">
                  <c:v>738.19913158324471</c:v>
                </c:pt>
                <c:pt idx="11">
                  <c:v>738.00905927965368</c:v>
                </c:pt>
                <c:pt idx="12">
                  <c:v>739.54974339392697</c:v>
                </c:pt>
                <c:pt idx="13">
                  <c:v>738.6319801570379</c:v>
                </c:pt>
                <c:pt idx="14">
                  <c:v>738.33756221755641</c:v>
                </c:pt>
                <c:pt idx="15">
                  <c:v>737.88039900109538</c:v>
                </c:pt>
                <c:pt idx="16">
                  <c:v>737.97478724445295</c:v>
                </c:pt>
                <c:pt idx="17">
                  <c:v>736.87642128910295</c:v>
                </c:pt>
                <c:pt idx="18">
                  <c:v>737.66372298673855</c:v>
                </c:pt>
                <c:pt idx="19">
                  <c:v>737.61850053778016</c:v>
                </c:pt>
                <c:pt idx="20">
                  <c:v>738.18204878047914</c:v>
                </c:pt>
                <c:pt idx="21">
                  <c:v>737.92143578284538</c:v>
                </c:pt>
                <c:pt idx="22">
                  <c:v>737.59983755871303</c:v>
                </c:pt>
                <c:pt idx="23">
                  <c:v>737.61921834762916</c:v>
                </c:pt>
                <c:pt idx="24">
                  <c:v>737.66965299543278</c:v>
                </c:pt>
                <c:pt idx="25">
                  <c:v>737.75794754669596</c:v>
                </c:pt>
                <c:pt idx="26">
                  <c:v>737.54690754877208</c:v>
                </c:pt>
                <c:pt idx="27">
                  <c:v>737.59356441889099</c:v>
                </c:pt>
                <c:pt idx="28">
                  <c:v>737.50240493640422</c:v>
                </c:pt>
                <c:pt idx="29">
                  <c:v>737.63519748556757</c:v>
                </c:pt>
                <c:pt idx="30">
                  <c:v>737.55299388729202</c:v>
                </c:pt>
                <c:pt idx="31">
                  <c:v>737.71284645482524</c:v>
                </c:pt>
                <c:pt idx="32">
                  <c:v>737.68507035453626</c:v>
                </c:pt>
                <c:pt idx="33">
                  <c:v>737.56987696899171</c:v>
                </c:pt>
                <c:pt idx="34">
                  <c:v>737.54044743981308</c:v>
                </c:pt>
                <c:pt idx="35">
                  <c:v>737.58064396205532</c:v>
                </c:pt>
                <c:pt idx="36">
                  <c:v>737.49647605231235</c:v>
                </c:pt>
                <c:pt idx="37">
                  <c:v>737.46308581772837</c:v>
                </c:pt>
                <c:pt idx="38">
                  <c:v>737.5151382099765</c:v>
                </c:pt>
                <c:pt idx="39">
                  <c:v>737.76403265969327</c:v>
                </c:pt>
                <c:pt idx="40">
                  <c:v>738.72849658064888</c:v>
                </c:pt>
                <c:pt idx="41">
                  <c:v>738.52579627447687</c:v>
                </c:pt>
                <c:pt idx="42">
                  <c:v>738.17683337039603</c:v>
                </c:pt>
                <c:pt idx="43">
                  <c:v>737.98891957044555</c:v>
                </c:pt>
                <c:pt idx="44">
                  <c:v>738.02749882651733</c:v>
                </c:pt>
                <c:pt idx="45">
                  <c:v>738.3385740613511</c:v>
                </c:pt>
                <c:pt idx="46">
                  <c:v>738.12676481980338</c:v>
                </c:pt>
                <c:pt idx="47">
                  <c:v>738.72078886565316</c:v>
                </c:pt>
                <c:pt idx="48">
                  <c:v>738.78685955522064</c:v>
                </c:pt>
                <c:pt idx="49">
                  <c:v>738.5489662068893</c:v>
                </c:pt>
                <c:pt idx="50">
                  <c:v>738.44809865208617</c:v>
                </c:pt>
                <c:pt idx="51">
                  <c:v>738.40108785237499</c:v>
                </c:pt>
                <c:pt idx="52">
                  <c:v>738.34617880407268</c:v>
                </c:pt>
                <c:pt idx="53">
                  <c:v>738.29361482201477</c:v>
                </c:pt>
                <c:pt idx="54">
                  <c:v>738.29002460889637</c:v>
                </c:pt>
                <c:pt idx="55">
                  <c:v>738.3004144059372</c:v>
                </c:pt>
                <c:pt idx="56">
                  <c:v>738.31420408434155</c:v>
                </c:pt>
                <c:pt idx="57">
                  <c:v>738.27543054680416</c:v>
                </c:pt>
                <c:pt idx="58">
                  <c:v>738.26231610029402</c:v>
                </c:pt>
                <c:pt idx="59">
                  <c:v>738.23574967590218</c:v>
                </c:pt>
                <c:pt idx="60">
                  <c:v>738.21186573262912</c:v>
                </c:pt>
                <c:pt idx="61">
                  <c:v>738.50195446510975</c:v>
                </c:pt>
                <c:pt idx="62">
                  <c:v>738.74487207256016</c:v>
                </c:pt>
                <c:pt idx="63">
                  <c:v>739.07074717486523</c:v>
                </c:pt>
              </c:numCache>
            </c:numRef>
          </c:yVal>
          <c:smooth val="1"/>
        </c:ser>
        <c:ser>
          <c:idx val="2"/>
          <c:order val="2"/>
          <c:tx>
            <c:v>P4-8</c:v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'P4-08'!$A$12:$A$280</c:f>
              <c:numCache>
                <c:formatCode>m/d/yyyy</c:formatCode>
                <c:ptCount val="269"/>
                <c:pt idx="0">
                  <c:v>42269</c:v>
                </c:pt>
                <c:pt idx="1">
                  <c:v>42270</c:v>
                </c:pt>
                <c:pt idx="2">
                  <c:v>42271</c:v>
                </c:pt>
                <c:pt idx="3">
                  <c:v>42272</c:v>
                </c:pt>
                <c:pt idx="4">
                  <c:v>42273</c:v>
                </c:pt>
                <c:pt idx="5">
                  <c:v>42280</c:v>
                </c:pt>
                <c:pt idx="6">
                  <c:v>42287</c:v>
                </c:pt>
                <c:pt idx="7">
                  <c:v>42294</c:v>
                </c:pt>
                <c:pt idx="8">
                  <c:v>42301</c:v>
                </c:pt>
                <c:pt idx="9">
                  <c:v>42308</c:v>
                </c:pt>
                <c:pt idx="10">
                  <c:v>42521</c:v>
                </c:pt>
                <c:pt idx="11">
                  <c:v>42531</c:v>
                </c:pt>
                <c:pt idx="12">
                  <c:v>42544</c:v>
                </c:pt>
                <c:pt idx="13">
                  <c:v>42551</c:v>
                </c:pt>
                <c:pt idx="14">
                  <c:v>42561</c:v>
                </c:pt>
                <c:pt idx="15">
                  <c:v>42571</c:v>
                </c:pt>
                <c:pt idx="16">
                  <c:v>42581</c:v>
                </c:pt>
                <c:pt idx="17">
                  <c:v>42653</c:v>
                </c:pt>
                <c:pt idx="18">
                  <c:v>42846</c:v>
                </c:pt>
                <c:pt idx="19">
                  <c:v>42855</c:v>
                </c:pt>
                <c:pt idx="20">
                  <c:v>42865</c:v>
                </c:pt>
                <c:pt idx="21">
                  <c:v>42875</c:v>
                </c:pt>
                <c:pt idx="22">
                  <c:v>42885</c:v>
                </c:pt>
                <c:pt idx="23">
                  <c:v>42896</c:v>
                </c:pt>
                <c:pt idx="24">
                  <c:v>42906</c:v>
                </c:pt>
                <c:pt idx="25">
                  <c:v>42916</c:v>
                </c:pt>
                <c:pt idx="26">
                  <c:v>42926</c:v>
                </c:pt>
                <c:pt idx="27">
                  <c:v>42936</c:v>
                </c:pt>
                <c:pt idx="28">
                  <c:v>42946</c:v>
                </c:pt>
                <c:pt idx="29">
                  <c:v>42957</c:v>
                </c:pt>
                <c:pt idx="30">
                  <c:v>42967</c:v>
                </c:pt>
                <c:pt idx="31">
                  <c:v>42977</c:v>
                </c:pt>
                <c:pt idx="32">
                  <c:v>42988</c:v>
                </c:pt>
                <c:pt idx="33">
                  <c:v>42998</c:v>
                </c:pt>
                <c:pt idx="34">
                  <c:v>43008</c:v>
                </c:pt>
                <c:pt idx="35">
                  <c:v>43018</c:v>
                </c:pt>
                <c:pt idx="36">
                  <c:v>43230</c:v>
                </c:pt>
                <c:pt idx="37">
                  <c:v>43240</c:v>
                </c:pt>
                <c:pt idx="38">
                  <c:v>43250</c:v>
                </c:pt>
                <c:pt idx="39">
                  <c:v>43261</c:v>
                </c:pt>
                <c:pt idx="40">
                  <c:v>43271</c:v>
                </c:pt>
                <c:pt idx="41">
                  <c:v>43281</c:v>
                </c:pt>
                <c:pt idx="42">
                  <c:v>43291</c:v>
                </c:pt>
                <c:pt idx="43">
                  <c:v>43301</c:v>
                </c:pt>
                <c:pt idx="44">
                  <c:v>43311</c:v>
                </c:pt>
                <c:pt idx="45">
                  <c:v>43322</c:v>
                </c:pt>
                <c:pt idx="46">
                  <c:v>43332</c:v>
                </c:pt>
                <c:pt idx="47">
                  <c:v>43342</c:v>
                </c:pt>
                <c:pt idx="48">
                  <c:v>43353</c:v>
                </c:pt>
                <c:pt idx="49">
                  <c:v>43363</c:v>
                </c:pt>
                <c:pt idx="50">
                  <c:v>43373</c:v>
                </c:pt>
                <c:pt idx="51">
                  <c:v>43383</c:v>
                </c:pt>
                <c:pt idx="52">
                  <c:v>43393</c:v>
                </c:pt>
                <c:pt idx="53">
                  <c:v>43605</c:v>
                </c:pt>
                <c:pt idx="54">
                  <c:v>43615</c:v>
                </c:pt>
                <c:pt idx="55">
                  <c:v>43626</c:v>
                </c:pt>
                <c:pt idx="56">
                  <c:v>43636</c:v>
                </c:pt>
                <c:pt idx="57">
                  <c:v>43646</c:v>
                </c:pt>
                <c:pt idx="58">
                  <c:v>43656</c:v>
                </c:pt>
                <c:pt idx="59">
                  <c:v>43666</c:v>
                </c:pt>
                <c:pt idx="60">
                  <c:v>43676</c:v>
                </c:pt>
                <c:pt idx="61">
                  <c:v>43687</c:v>
                </c:pt>
                <c:pt idx="62">
                  <c:v>43697</c:v>
                </c:pt>
                <c:pt idx="63">
                  <c:v>43707</c:v>
                </c:pt>
              </c:numCache>
            </c:numRef>
          </c:xVal>
          <c:yVal>
            <c:numRef>
              <c:f>'P4-08'!$F$12:$F$280</c:f>
              <c:numCache>
                <c:formatCode>0.0</c:formatCode>
                <c:ptCount val="269"/>
                <c:pt idx="0">
                  <c:v>738.65602942992064</c:v>
                </c:pt>
                <c:pt idx="1">
                  <c:v>738.66091322351554</c:v>
                </c:pt>
                <c:pt idx="2">
                  <c:v>738.69583983007408</c:v>
                </c:pt>
                <c:pt idx="3">
                  <c:v>738.65484128951255</c:v>
                </c:pt>
                <c:pt idx="4">
                  <c:v>738.60516886730761</c:v>
                </c:pt>
                <c:pt idx="5">
                  <c:v>738.43642750754179</c:v>
                </c:pt>
                <c:pt idx="6">
                  <c:v>738.45376555033135</c:v>
                </c:pt>
                <c:pt idx="7">
                  <c:v>738.42625147292335</c:v>
                </c:pt>
                <c:pt idx="8">
                  <c:v>738.34278907523515</c:v>
                </c:pt>
                <c:pt idx="9">
                  <c:v>738.34916978650551</c:v>
                </c:pt>
                <c:pt idx="10">
                  <c:v>737.78583907734117</c:v>
                </c:pt>
                <c:pt idx="11">
                  <c:v>737.60729353989427</c:v>
                </c:pt>
                <c:pt idx="12">
                  <c:v>739.13634218290383</c:v>
                </c:pt>
                <c:pt idx="13">
                  <c:v>738.24269492347651</c:v>
                </c:pt>
                <c:pt idx="14">
                  <c:v>737.55800501138606</c:v>
                </c:pt>
                <c:pt idx="15">
                  <c:v>737.6355506931277</c:v>
                </c:pt>
                <c:pt idx="16">
                  <c:v>737.72423982337193</c:v>
                </c:pt>
                <c:pt idx="17">
                  <c:v>736.92716135799196</c:v>
                </c:pt>
                <c:pt idx="18">
                  <c:v>737.40638384787121</c:v>
                </c:pt>
                <c:pt idx="19">
                  <c:v>737.35454432332278</c:v>
                </c:pt>
                <c:pt idx="20">
                  <c:v>737.86778871545619</c:v>
                </c:pt>
                <c:pt idx="21">
                  <c:v>737.67768961401055</c:v>
                </c:pt>
                <c:pt idx="22">
                  <c:v>737.35281635211049</c:v>
                </c:pt>
                <c:pt idx="23">
                  <c:v>737.35800026825189</c:v>
                </c:pt>
                <c:pt idx="24">
                  <c:v>737.40811184496204</c:v>
                </c:pt>
                <c:pt idx="25">
                  <c:v>737.50315297054181</c:v>
                </c:pt>
                <c:pt idx="26">
                  <c:v>737.29924965858538</c:v>
                </c:pt>
                <c:pt idx="27">
                  <c:v>737.33380872387113</c:v>
                </c:pt>
                <c:pt idx="28">
                  <c:v>737.24050001393891</c:v>
                </c:pt>
                <c:pt idx="29">
                  <c:v>737.36491216812738</c:v>
                </c:pt>
                <c:pt idx="30">
                  <c:v>737.31017803569398</c:v>
                </c:pt>
                <c:pt idx="31">
                  <c:v>737.62513332935964</c:v>
                </c:pt>
                <c:pt idx="32">
                  <c:v>737.39947186785548</c:v>
                </c:pt>
                <c:pt idx="33">
                  <c:v>737.30097760391914</c:v>
                </c:pt>
                <c:pt idx="34">
                  <c:v>737.15756098201564</c:v>
                </c:pt>
                <c:pt idx="35">
                  <c:v>737.3061614449291</c:v>
                </c:pt>
                <c:pt idx="36">
                  <c:v>737.21514287888056</c:v>
                </c:pt>
                <c:pt idx="37">
                  <c:v>737.16157872145493</c:v>
                </c:pt>
                <c:pt idx="38">
                  <c:v>737.32222909022983</c:v>
                </c:pt>
                <c:pt idx="39">
                  <c:v>737.44150349888776</c:v>
                </c:pt>
                <c:pt idx="40">
                  <c:v>738.43869750616034</c:v>
                </c:pt>
                <c:pt idx="41">
                  <c:v>738.2646779507254</c:v>
                </c:pt>
                <c:pt idx="42">
                  <c:v>737.96796434590203</c:v>
                </c:pt>
                <c:pt idx="43">
                  <c:v>737.7254638101964</c:v>
                </c:pt>
                <c:pt idx="44">
                  <c:v>737.75829824510936</c:v>
                </c:pt>
                <c:pt idx="45">
                  <c:v>738.04462575990374</c:v>
                </c:pt>
                <c:pt idx="46">
                  <c:v>737.87235704482111</c:v>
                </c:pt>
                <c:pt idx="47">
                  <c:v>738.25486071087266</c:v>
                </c:pt>
                <c:pt idx="48">
                  <c:v>738.45771083686714</c:v>
                </c:pt>
                <c:pt idx="49">
                  <c:v>738.253754922967</c:v>
                </c:pt>
                <c:pt idx="50">
                  <c:v>738.07518107353303</c:v>
                </c:pt>
                <c:pt idx="51">
                  <c:v>737.93871067223677</c:v>
                </c:pt>
                <c:pt idx="52">
                  <c:v>737.74693622981385</c:v>
                </c:pt>
                <c:pt idx="53">
                  <c:v>737.39098858269199</c:v>
                </c:pt>
                <c:pt idx="54">
                  <c:v>737.34951377748519</c:v>
                </c:pt>
                <c:pt idx="55">
                  <c:v>737.38000720970922</c:v>
                </c:pt>
                <c:pt idx="56">
                  <c:v>737.42834002485472</c:v>
                </c:pt>
                <c:pt idx="57">
                  <c:v>737.57751426655932</c:v>
                </c:pt>
                <c:pt idx="58">
                  <c:v>737.63281470138247</c:v>
                </c:pt>
                <c:pt idx="59">
                  <c:v>737.74280242017664</c:v>
                </c:pt>
                <c:pt idx="60">
                  <c:v>737.86661635043743</c:v>
                </c:pt>
                <c:pt idx="61">
                  <c:v>738.13276961951999</c:v>
                </c:pt>
                <c:pt idx="62">
                  <c:v>738.46863268255947</c:v>
                </c:pt>
                <c:pt idx="63">
                  <c:v>738.74174281344051</c:v>
                </c:pt>
              </c:numCache>
            </c:numRef>
          </c:yVal>
          <c:smooth val="1"/>
        </c:ser>
        <c:ser>
          <c:idx val="3"/>
          <c:order val="3"/>
          <c:tx>
            <c:v>P4-9</c:v>
          </c:tx>
          <c:spPr>
            <a:ln w="15875" cap="rnd">
              <a:solidFill>
                <a:schemeClr val="tx1"/>
              </a:solidFill>
              <a:prstDash val="lgDashDot"/>
              <a:round/>
            </a:ln>
            <a:effectLst/>
          </c:spPr>
          <c:marker>
            <c:symbol val="none"/>
          </c:marker>
          <c:xVal>
            <c:numRef>
              <c:f>'P4-09'!$A$12:$A$280</c:f>
              <c:numCache>
                <c:formatCode>m/d/yyyy</c:formatCode>
                <c:ptCount val="269"/>
                <c:pt idx="0">
                  <c:v>42269</c:v>
                </c:pt>
                <c:pt idx="1">
                  <c:v>42270</c:v>
                </c:pt>
                <c:pt idx="2">
                  <c:v>42271</c:v>
                </c:pt>
                <c:pt idx="3">
                  <c:v>42272</c:v>
                </c:pt>
                <c:pt idx="4">
                  <c:v>42273</c:v>
                </c:pt>
                <c:pt idx="5">
                  <c:v>42280</c:v>
                </c:pt>
                <c:pt idx="6">
                  <c:v>42287</c:v>
                </c:pt>
                <c:pt idx="7">
                  <c:v>42294</c:v>
                </c:pt>
                <c:pt idx="8">
                  <c:v>42301</c:v>
                </c:pt>
                <c:pt idx="9">
                  <c:v>42308</c:v>
                </c:pt>
                <c:pt idx="10">
                  <c:v>42521</c:v>
                </c:pt>
                <c:pt idx="11">
                  <c:v>42531</c:v>
                </c:pt>
                <c:pt idx="12">
                  <c:v>42544</c:v>
                </c:pt>
                <c:pt idx="13">
                  <c:v>42551</c:v>
                </c:pt>
                <c:pt idx="14">
                  <c:v>42561</c:v>
                </c:pt>
                <c:pt idx="15">
                  <c:v>42571</c:v>
                </c:pt>
                <c:pt idx="16">
                  <c:v>42581</c:v>
                </c:pt>
                <c:pt idx="17">
                  <c:v>42653</c:v>
                </c:pt>
                <c:pt idx="18">
                  <c:v>42846</c:v>
                </c:pt>
                <c:pt idx="19">
                  <c:v>42855</c:v>
                </c:pt>
                <c:pt idx="20">
                  <c:v>42865</c:v>
                </c:pt>
                <c:pt idx="21">
                  <c:v>42875</c:v>
                </c:pt>
                <c:pt idx="22">
                  <c:v>42885</c:v>
                </c:pt>
                <c:pt idx="23">
                  <c:v>42896</c:v>
                </c:pt>
                <c:pt idx="24">
                  <c:v>42906</c:v>
                </c:pt>
                <c:pt idx="25">
                  <c:v>42916</c:v>
                </c:pt>
                <c:pt idx="26">
                  <c:v>42926</c:v>
                </c:pt>
                <c:pt idx="27">
                  <c:v>42936</c:v>
                </c:pt>
                <c:pt idx="28">
                  <c:v>42946</c:v>
                </c:pt>
                <c:pt idx="29">
                  <c:v>42957</c:v>
                </c:pt>
                <c:pt idx="30">
                  <c:v>42967</c:v>
                </c:pt>
                <c:pt idx="31">
                  <c:v>42977</c:v>
                </c:pt>
                <c:pt idx="32">
                  <c:v>42988</c:v>
                </c:pt>
                <c:pt idx="33">
                  <c:v>42998</c:v>
                </c:pt>
                <c:pt idx="34">
                  <c:v>43008</c:v>
                </c:pt>
                <c:pt idx="35">
                  <c:v>43018</c:v>
                </c:pt>
                <c:pt idx="36">
                  <c:v>43230</c:v>
                </c:pt>
                <c:pt idx="37">
                  <c:v>43240</c:v>
                </c:pt>
                <c:pt idx="38">
                  <c:v>43250</c:v>
                </c:pt>
                <c:pt idx="39">
                  <c:v>43261</c:v>
                </c:pt>
                <c:pt idx="40">
                  <c:v>43271</c:v>
                </c:pt>
                <c:pt idx="41">
                  <c:v>43281</c:v>
                </c:pt>
                <c:pt idx="42">
                  <c:v>43291</c:v>
                </c:pt>
                <c:pt idx="43">
                  <c:v>43301</c:v>
                </c:pt>
                <c:pt idx="44">
                  <c:v>43311</c:v>
                </c:pt>
                <c:pt idx="45">
                  <c:v>43322</c:v>
                </c:pt>
                <c:pt idx="46">
                  <c:v>43332</c:v>
                </c:pt>
                <c:pt idx="47">
                  <c:v>43342</c:v>
                </c:pt>
                <c:pt idx="48">
                  <c:v>43353</c:v>
                </c:pt>
                <c:pt idx="49">
                  <c:v>43363</c:v>
                </c:pt>
                <c:pt idx="50">
                  <c:v>43373</c:v>
                </c:pt>
                <c:pt idx="51">
                  <c:v>43383</c:v>
                </c:pt>
                <c:pt idx="52">
                  <c:v>43393</c:v>
                </c:pt>
                <c:pt idx="53">
                  <c:v>43605</c:v>
                </c:pt>
                <c:pt idx="54">
                  <c:v>43615</c:v>
                </c:pt>
                <c:pt idx="55">
                  <c:v>43626</c:v>
                </c:pt>
                <c:pt idx="56">
                  <c:v>43636</c:v>
                </c:pt>
                <c:pt idx="57">
                  <c:v>43646</c:v>
                </c:pt>
                <c:pt idx="58">
                  <c:v>43656</c:v>
                </c:pt>
                <c:pt idx="59">
                  <c:v>43666</c:v>
                </c:pt>
                <c:pt idx="60">
                  <c:v>43676</c:v>
                </c:pt>
                <c:pt idx="61">
                  <c:v>43687</c:v>
                </c:pt>
                <c:pt idx="62">
                  <c:v>43697</c:v>
                </c:pt>
                <c:pt idx="63">
                  <c:v>43707</c:v>
                </c:pt>
              </c:numCache>
            </c:numRef>
          </c:xVal>
          <c:yVal>
            <c:numRef>
              <c:f>'P4-09'!$F$12:$F$280</c:f>
              <c:numCache>
                <c:formatCode>0.0</c:formatCode>
                <c:ptCount val="269"/>
                <c:pt idx="0">
                  <c:v>737.60574854079277</c:v>
                </c:pt>
                <c:pt idx="1">
                  <c:v>737.28912243713205</c:v>
                </c:pt>
                <c:pt idx="2">
                  <c:v>737.62678353401793</c:v>
                </c:pt>
                <c:pt idx="3">
                  <c:v>737.53460848087138</c:v>
                </c:pt>
                <c:pt idx="4">
                  <c:v>737.60718257785754</c:v>
                </c:pt>
                <c:pt idx="5">
                  <c:v>737.42356666211106</c:v>
                </c:pt>
                <c:pt idx="6">
                  <c:v>737.58447430671288</c:v>
                </c:pt>
                <c:pt idx="7">
                  <c:v>737.44343600932871</c:v>
                </c:pt>
                <c:pt idx="8">
                  <c:v>737.36418900975843</c:v>
                </c:pt>
                <c:pt idx="9">
                  <c:v>737.38107252977352</c:v>
                </c:pt>
                <c:pt idx="10">
                  <c:v>736.64396061460525</c:v>
                </c:pt>
                <c:pt idx="11">
                  <c:v>736.5564181237296</c:v>
                </c:pt>
                <c:pt idx="12">
                  <c:v>738.0827017772541</c:v>
                </c:pt>
                <c:pt idx="13">
                  <c:v>737.21732952060665</c:v>
                </c:pt>
                <c:pt idx="14">
                  <c:v>736.95123405421725</c:v>
                </c:pt>
                <c:pt idx="15">
                  <c:v>736.80531889088331</c:v>
                </c:pt>
                <c:pt idx="16">
                  <c:v>736.89300809789347</c:v>
                </c:pt>
                <c:pt idx="17">
                  <c:v>736.51321870791378</c:v>
                </c:pt>
                <c:pt idx="18">
                  <c:v>736.73623014875773</c:v>
                </c:pt>
                <c:pt idx="19">
                  <c:v>736.56228641835264</c:v>
                </c:pt>
                <c:pt idx="20">
                  <c:v>737.00231681444427</c:v>
                </c:pt>
                <c:pt idx="21">
                  <c:v>737.06412033778008</c:v>
                </c:pt>
                <c:pt idx="22">
                  <c:v>736.75167981684604</c:v>
                </c:pt>
                <c:pt idx="23">
                  <c:v>736.72249716483668</c:v>
                </c:pt>
                <c:pt idx="24">
                  <c:v>736.75682972060349</c:v>
                </c:pt>
                <c:pt idx="25">
                  <c:v>736.87871287700762</c:v>
                </c:pt>
                <c:pt idx="26">
                  <c:v>736.68644832555265</c:v>
                </c:pt>
                <c:pt idx="27">
                  <c:v>736.69846456612868</c:v>
                </c:pt>
                <c:pt idx="28">
                  <c:v>736.61091856776704</c:v>
                </c:pt>
                <c:pt idx="29">
                  <c:v>736.72593040601873</c:v>
                </c:pt>
                <c:pt idx="30">
                  <c:v>736.64353350051829</c:v>
                </c:pt>
                <c:pt idx="31">
                  <c:v>736.91903975877926</c:v>
                </c:pt>
                <c:pt idx="32">
                  <c:v>736.78944594487086</c:v>
                </c:pt>
                <c:pt idx="33">
                  <c:v>736.67786532056073</c:v>
                </c:pt>
                <c:pt idx="34">
                  <c:v>736.6469666681279</c:v>
                </c:pt>
                <c:pt idx="35">
                  <c:v>736.68129852015841</c:v>
                </c:pt>
                <c:pt idx="36">
                  <c:v>736.55770534988801</c:v>
                </c:pt>
                <c:pt idx="37">
                  <c:v>736.50620941915031</c:v>
                </c:pt>
                <c:pt idx="38">
                  <c:v>736.63008557600313</c:v>
                </c:pt>
                <c:pt idx="39">
                  <c:v>736.75868750460938</c:v>
                </c:pt>
                <c:pt idx="40">
                  <c:v>737.80095716800736</c:v>
                </c:pt>
                <c:pt idx="41">
                  <c:v>737.64999025684324</c:v>
                </c:pt>
                <c:pt idx="42">
                  <c:v>737.37342574884076</c:v>
                </c:pt>
                <c:pt idx="43">
                  <c:v>737.09529940016068</c:v>
                </c:pt>
                <c:pt idx="44">
                  <c:v>737.11919579799473</c:v>
                </c:pt>
                <c:pt idx="45">
                  <c:v>737.37830427286713</c:v>
                </c:pt>
                <c:pt idx="46">
                  <c:v>737.23250568815854</c:v>
                </c:pt>
                <c:pt idx="47">
                  <c:v>737.50892776082276</c:v>
                </c:pt>
                <c:pt idx="48">
                  <c:v>737.63413501619766</c:v>
                </c:pt>
                <c:pt idx="49">
                  <c:v>737.63770288444346</c:v>
                </c:pt>
                <c:pt idx="50">
                  <c:v>737.52582834964323</c:v>
                </c:pt>
                <c:pt idx="51">
                  <c:v>737.38476585362275</c:v>
                </c:pt>
                <c:pt idx="52">
                  <c:v>737.26101007317232</c:v>
                </c:pt>
                <c:pt idx="53">
                  <c:v>736.86971034228748</c:v>
                </c:pt>
                <c:pt idx="54">
                  <c:v>736.83709258339502</c:v>
                </c:pt>
                <c:pt idx="55">
                  <c:v>736.8614059663106</c:v>
                </c:pt>
                <c:pt idx="56">
                  <c:v>736.93392706674899</c:v>
                </c:pt>
                <c:pt idx="57">
                  <c:v>737.02491272628743</c:v>
                </c:pt>
                <c:pt idx="58">
                  <c:v>737.15724176818014</c:v>
                </c:pt>
                <c:pt idx="59">
                  <c:v>737.20531189175063</c:v>
                </c:pt>
                <c:pt idx="60">
                  <c:v>737.20675313450863</c:v>
                </c:pt>
                <c:pt idx="61">
                  <c:v>737.33565427241967</c:v>
                </c:pt>
                <c:pt idx="62">
                  <c:v>737.57430783075301</c:v>
                </c:pt>
                <c:pt idx="63">
                  <c:v>738.00516596630985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1633648"/>
        <c:axId val="-161634192"/>
      </c:scatterChart>
      <c:valAx>
        <c:axId val="-161633648"/>
        <c:scaling>
          <c:orientation val="minMax"/>
          <c:min val="42217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prstDash val="sys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lang="zh-CN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>
                    <a:solidFill>
                      <a:sysClr val="windowText" lastClr="000000"/>
                    </a:solidFill>
                  </a:rPr>
                  <a:t>日期</a:t>
                </a:r>
              </a:p>
            </c:rich>
          </c:tx>
          <c:layout>
            <c:manualLayout>
              <c:xMode val="edge"/>
              <c:yMode val="edge"/>
              <c:x val="0.86036004087275109"/>
              <c:y val="0.87094853209574352"/>
            </c:manualLayout>
          </c:layout>
          <c:overlay val="0"/>
          <c:spPr>
            <a:noFill/>
            <a:ln w="25400">
              <a:noFill/>
            </a:ln>
          </c:spPr>
        </c:title>
        <c:numFmt formatCode="yyyy/m/d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-161634192"/>
        <c:crosses val="autoZero"/>
        <c:crossBetween val="midCat"/>
        <c:majorUnit val="248"/>
      </c:valAx>
      <c:valAx>
        <c:axId val="-16163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prstDash val="sys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>
                  <a:defRPr lang="zh-CN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>
                    <a:solidFill>
                      <a:sysClr val="windowText" lastClr="000000"/>
                    </a:solidFill>
                  </a:rPr>
                  <a:t>水位</a:t>
                </a:r>
                <a:r>
                  <a:rPr lang="en-US" altLang="zh-CN">
                    <a:solidFill>
                      <a:sysClr val="windowText" lastClr="000000"/>
                    </a:solidFill>
                  </a:rPr>
                  <a:t>(m)</a:t>
                </a:r>
                <a:endParaRPr lang="zh-CN" altLang="en-US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2.0144256777063212E-2"/>
              <c:y val="0.39679790026246886"/>
            </c:manualLayout>
          </c:layout>
          <c:overlay val="0"/>
          <c:spPr>
            <a:noFill/>
            <a:ln w="25400">
              <a:noFill/>
            </a:ln>
          </c:spPr>
        </c:title>
        <c:numFmt formatCode="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61633648"/>
        <c:crosses val="autoZero"/>
        <c:crossBetween val="midCat"/>
        <c:majorUnit val="1.5530596521345528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5"/>
          <c:y val="0.89403973509933776"/>
          <c:w val="0.58587786259542318"/>
          <c:h val="7.2847682119209445E-2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horzOverflow="overflow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000000000000433" l="0.70000000000000062" r="0.70000000000000062" t="0.75000000000000433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222440944881888"/>
          <c:y val="8.3807961504811915E-2"/>
          <c:w val="0.75499781277340361"/>
          <c:h val="0.68673009623797032"/>
        </c:manualLayout>
      </c:layout>
      <c:scatterChart>
        <c:scatterStyle val="smoothMarker"/>
        <c:varyColors val="0"/>
        <c:ser>
          <c:idx val="1"/>
          <c:order val="0"/>
          <c:tx>
            <c:v>P4-6</c:v>
          </c:tx>
          <c:spPr>
            <a:ln w="22225">
              <a:solidFill>
                <a:sysClr val="windowText" lastClr="000000"/>
              </a:solidFill>
            </a:ln>
          </c:spPr>
          <c:marker>
            <c:symbol val="none"/>
          </c:marker>
          <c:xVal>
            <c:numRef>
              <c:f>'P4-06'!$A$7:$A$68</c:f>
              <c:numCache>
                <c:formatCode>m/d/yyyy</c:formatCode>
                <c:ptCount val="62"/>
                <c:pt idx="0">
                  <c:v>42264</c:v>
                </c:pt>
                <c:pt idx="1">
                  <c:v>42265</c:v>
                </c:pt>
                <c:pt idx="2">
                  <c:v>42266</c:v>
                </c:pt>
                <c:pt idx="3">
                  <c:v>42267</c:v>
                </c:pt>
                <c:pt idx="4">
                  <c:v>42268</c:v>
                </c:pt>
                <c:pt idx="5">
                  <c:v>42269</c:v>
                </c:pt>
                <c:pt idx="6">
                  <c:v>42270</c:v>
                </c:pt>
                <c:pt idx="7">
                  <c:v>42271</c:v>
                </c:pt>
                <c:pt idx="8">
                  <c:v>42272</c:v>
                </c:pt>
                <c:pt idx="9">
                  <c:v>42273</c:v>
                </c:pt>
                <c:pt idx="10">
                  <c:v>42280</c:v>
                </c:pt>
                <c:pt idx="11">
                  <c:v>42287</c:v>
                </c:pt>
                <c:pt idx="12">
                  <c:v>42294</c:v>
                </c:pt>
                <c:pt idx="13">
                  <c:v>42301</c:v>
                </c:pt>
                <c:pt idx="14">
                  <c:v>42308</c:v>
                </c:pt>
                <c:pt idx="15">
                  <c:v>42521</c:v>
                </c:pt>
                <c:pt idx="16">
                  <c:v>42531</c:v>
                </c:pt>
                <c:pt idx="17">
                  <c:v>42544</c:v>
                </c:pt>
                <c:pt idx="18">
                  <c:v>42551</c:v>
                </c:pt>
                <c:pt idx="19">
                  <c:v>42561</c:v>
                </c:pt>
                <c:pt idx="20">
                  <c:v>42571</c:v>
                </c:pt>
                <c:pt idx="21">
                  <c:v>42581</c:v>
                </c:pt>
                <c:pt idx="22">
                  <c:v>42653</c:v>
                </c:pt>
                <c:pt idx="23">
                  <c:v>42846</c:v>
                </c:pt>
                <c:pt idx="24">
                  <c:v>42855</c:v>
                </c:pt>
                <c:pt idx="25">
                  <c:v>42865</c:v>
                </c:pt>
                <c:pt idx="26">
                  <c:v>42875</c:v>
                </c:pt>
                <c:pt idx="27">
                  <c:v>42885</c:v>
                </c:pt>
                <c:pt idx="28">
                  <c:v>42896</c:v>
                </c:pt>
                <c:pt idx="29">
                  <c:v>42906</c:v>
                </c:pt>
                <c:pt idx="30">
                  <c:v>42916</c:v>
                </c:pt>
                <c:pt idx="31">
                  <c:v>42926</c:v>
                </c:pt>
                <c:pt idx="32">
                  <c:v>42936</c:v>
                </c:pt>
                <c:pt idx="33">
                  <c:v>42946</c:v>
                </c:pt>
                <c:pt idx="34">
                  <c:v>42957</c:v>
                </c:pt>
                <c:pt idx="35">
                  <c:v>42967</c:v>
                </c:pt>
                <c:pt idx="36">
                  <c:v>42977</c:v>
                </c:pt>
                <c:pt idx="37">
                  <c:v>42988</c:v>
                </c:pt>
                <c:pt idx="38">
                  <c:v>42998</c:v>
                </c:pt>
                <c:pt idx="39">
                  <c:v>43008</c:v>
                </c:pt>
                <c:pt idx="40">
                  <c:v>43018</c:v>
                </c:pt>
                <c:pt idx="41">
                  <c:v>43230</c:v>
                </c:pt>
                <c:pt idx="42">
                  <c:v>43240</c:v>
                </c:pt>
                <c:pt idx="43">
                  <c:v>43250</c:v>
                </c:pt>
                <c:pt idx="44">
                  <c:v>43261</c:v>
                </c:pt>
                <c:pt idx="45">
                  <c:v>43271</c:v>
                </c:pt>
                <c:pt idx="46">
                  <c:v>43281</c:v>
                </c:pt>
                <c:pt idx="47">
                  <c:v>43291</c:v>
                </c:pt>
                <c:pt idx="48">
                  <c:v>43301</c:v>
                </c:pt>
                <c:pt idx="49">
                  <c:v>43311</c:v>
                </c:pt>
                <c:pt idx="50">
                  <c:v>43322</c:v>
                </c:pt>
                <c:pt idx="51">
                  <c:v>43332</c:v>
                </c:pt>
                <c:pt idx="52">
                  <c:v>43342</c:v>
                </c:pt>
                <c:pt idx="53">
                  <c:v>43353</c:v>
                </c:pt>
                <c:pt idx="54">
                  <c:v>43363</c:v>
                </c:pt>
                <c:pt idx="55">
                  <c:v>43373</c:v>
                </c:pt>
                <c:pt idx="56">
                  <c:v>43383</c:v>
                </c:pt>
                <c:pt idx="57">
                  <c:v>43393</c:v>
                </c:pt>
                <c:pt idx="58">
                  <c:v>43605</c:v>
                </c:pt>
                <c:pt idx="59">
                  <c:v>43615</c:v>
                </c:pt>
                <c:pt idx="60">
                  <c:v>43626</c:v>
                </c:pt>
                <c:pt idx="61">
                  <c:v>43636</c:v>
                </c:pt>
              </c:numCache>
            </c:numRef>
          </c:xVal>
          <c:yVal>
            <c:numRef>
              <c:f>'P4-06'!$E$7:$E$68</c:f>
              <c:numCache>
                <c:formatCode>0.000_ </c:formatCode>
                <c:ptCount val="62"/>
                <c:pt idx="0">
                  <c:v>1.7818591417815034E-2</c:v>
                </c:pt>
                <c:pt idx="1">
                  <c:v>8.0520911761230746E-2</c:v>
                </c:pt>
                <c:pt idx="2">
                  <c:v>0.11972560465134524</c:v>
                </c:pt>
                <c:pt idx="3">
                  <c:v>6.2245162906936317E-2</c:v>
                </c:pt>
                <c:pt idx="4">
                  <c:v>5.9421211884523518E-2</c:v>
                </c:pt>
                <c:pt idx="5">
                  <c:v>5.6297187902548902E-2</c:v>
                </c:pt>
                <c:pt idx="6">
                  <c:v>5.640396709090096E-2</c:v>
                </c:pt>
                <c:pt idx="7">
                  <c:v>5.7122173873157107E-2</c:v>
                </c:pt>
                <c:pt idx="8">
                  <c:v>5.6618025345269003E-2</c:v>
                </c:pt>
                <c:pt idx="9">
                  <c:v>5.6572980929000947E-2</c:v>
                </c:pt>
                <c:pt idx="10">
                  <c:v>5.5163602650871564E-2</c:v>
                </c:pt>
                <c:pt idx="11">
                  <c:v>5.5033030717423888E-2</c:v>
                </c:pt>
                <c:pt idx="12">
                  <c:v>5.5677083885009963E-2</c:v>
                </c:pt>
                <c:pt idx="13">
                  <c:v>5.4990375229480269E-2</c:v>
                </c:pt>
                <c:pt idx="14">
                  <c:v>5.5062256534323166E-2</c:v>
                </c:pt>
                <c:pt idx="15">
                  <c:v>5.1715690103133989E-2</c:v>
                </c:pt>
                <c:pt idx="16">
                  <c:v>4.9964718694571468E-2</c:v>
                </c:pt>
                <c:pt idx="17">
                  <c:v>6.4997586108696714E-2</c:v>
                </c:pt>
                <c:pt idx="18">
                  <c:v>5.6084876953080336E-2</c:v>
                </c:pt>
                <c:pt idx="19">
                  <c:v>5.3118020425687522E-2</c:v>
                </c:pt>
                <c:pt idx="20">
                  <c:v>4.8479911434847249E-2</c:v>
                </c:pt>
                <c:pt idx="21">
                  <c:v>4.9007056412084866E-2</c:v>
                </c:pt>
                <c:pt idx="22">
                  <c:v>3.8506887692820922E-2</c:v>
                </c:pt>
                <c:pt idx="23">
                  <c:v>4.6548279337980843E-2</c:v>
                </c:pt>
                <c:pt idx="24">
                  <c:v>4.6084347074474792E-2</c:v>
                </c:pt>
                <c:pt idx="25">
                  <c:v>5.1654814558008751E-2</c:v>
                </c:pt>
                <c:pt idx="26">
                  <c:v>4.9058295442920348E-2</c:v>
                </c:pt>
                <c:pt idx="27">
                  <c:v>4.589486791103687E-2</c:v>
                </c:pt>
                <c:pt idx="28">
                  <c:v>4.6127554008628953E-2</c:v>
                </c:pt>
                <c:pt idx="29">
                  <c:v>4.6745772897452041E-2</c:v>
                </c:pt>
                <c:pt idx="30">
                  <c:v>4.7562681992832055E-2</c:v>
                </c:pt>
                <c:pt idx="31">
                  <c:v>4.5497833340305958E-2</c:v>
                </c:pt>
                <c:pt idx="32">
                  <c:v>4.6024494924997016E-2</c:v>
                </c:pt>
                <c:pt idx="33">
                  <c:v>4.5027499213201892E-2</c:v>
                </c:pt>
                <c:pt idx="34">
                  <c:v>4.6321041050390442E-2</c:v>
                </c:pt>
                <c:pt idx="35">
                  <c:v>4.5486272452983513E-2</c:v>
                </c:pt>
                <c:pt idx="36">
                  <c:v>4.6976321348366719E-2</c:v>
                </c:pt>
                <c:pt idx="37">
                  <c:v>4.6671354179960677E-2</c:v>
                </c:pt>
                <c:pt idx="38">
                  <c:v>4.5750098980566443E-2</c:v>
                </c:pt>
                <c:pt idx="39">
                  <c:v>4.523402039914156E-2</c:v>
                </c:pt>
                <c:pt idx="40">
                  <c:v>4.5759152162910675E-2</c:v>
                </c:pt>
                <c:pt idx="41">
                  <c:v>4.506973876368902E-2</c:v>
                </c:pt>
                <c:pt idx="42">
                  <c:v>4.4814063107615161E-2</c:v>
                </c:pt>
                <c:pt idx="43">
                  <c:v>4.5341570370058697E-2</c:v>
                </c:pt>
                <c:pt idx="44">
                  <c:v>4.7776109081687397E-2</c:v>
                </c:pt>
                <c:pt idx="45">
                  <c:v>5.7245986092676275E-2</c:v>
                </c:pt>
                <c:pt idx="46">
                  <c:v>5.5005355483776032E-2</c:v>
                </c:pt>
                <c:pt idx="47">
                  <c:v>5.1843075571684445E-2</c:v>
                </c:pt>
                <c:pt idx="48">
                  <c:v>5.0122976377587121E-2</c:v>
                </c:pt>
                <c:pt idx="49">
                  <c:v>5.0417241566962374E-2</c:v>
                </c:pt>
                <c:pt idx="50">
                  <c:v>5.3501079155384816E-2</c:v>
                </c:pt>
                <c:pt idx="51">
                  <c:v>5.1459762311381045E-2</c:v>
                </c:pt>
                <c:pt idx="52">
                  <c:v>5.4620284973939219E-2</c:v>
                </c:pt>
                <c:pt idx="53">
                  <c:v>5.7975834323103152E-2</c:v>
                </c:pt>
                <c:pt idx="54">
                  <c:v>5.5565703569684925E-2</c:v>
                </c:pt>
                <c:pt idx="55">
                  <c:v>5.5179420932379479E-2</c:v>
                </c:pt>
                <c:pt idx="56">
                  <c:v>5.4765826496396809E-2</c:v>
                </c:pt>
                <c:pt idx="57">
                  <c:v>5.4106186099540939E-2</c:v>
                </c:pt>
                <c:pt idx="58">
                  <c:v>5.3111591123934744E-2</c:v>
                </c:pt>
                <c:pt idx="59">
                  <c:v>5.3132423927989052E-2</c:v>
                </c:pt>
                <c:pt idx="60">
                  <c:v>5.3077395874341633E-2</c:v>
                </c:pt>
                <c:pt idx="61">
                  <c:v>5.2907240251135197E-2</c:v>
                </c:pt>
              </c:numCache>
            </c:numRef>
          </c:yVal>
          <c:smooth val="1"/>
        </c:ser>
        <c:ser>
          <c:idx val="0"/>
          <c:order val="1"/>
          <c:tx>
            <c:v>P4-7</c:v>
          </c:tx>
          <c:spPr>
            <a:ln w="19050">
              <a:solidFill>
                <a:schemeClr val="tx1"/>
              </a:solidFill>
              <a:prstDash val="lgDashDotDot"/>
            </a:ln>
          </c:spPr>
          <c:marker>
            <c:symbol val="none"/>
          </c:marker>
          <c:xVal>
            <c:numRef>
              <c:f>'P4-07'!$A$7:$A$68</c:f>
              <c:numCache>
                <c:formatCode>m/d/yyyy</c:formatCode>
                <c:ptCount val="62"/>
                <c:pt idx="0">
                  <c:v>42264</c:v>
                </c:pt>
                <c:pt idx="1">
                  <c:v>42265</c:v>
                </c:pt>
                <c:pt idx="2">
                  <c:v>42266</c:v>
                </c:pt>
                <c:pt idx="3">
                  <c:v>42267</c:v>
                </c:pt>
                <c:pt idx="4">
                  <c:v>42268</c:v>
                </c:pt>
                <c:pt idx="5">
                  <c:v>42269</c:v>
                </c:pt>
                <c:pt idx="6">
                  <c:v>42270</c:v>
                </c:pt>
                <c:pt idx="7">
                  <c:v>42271</c:v>
                </c:pt>
                <c:pt idx="8">
                  <c:v>42272</c:v>
                </c:pt>
                <c:pt idx="9">
                  <c:v>42273</c:v>
                </c:pt>
                <c:pt idx="10">
                  <c:v>42280</c:v>
                </c:pt>
                <c:pt idx="11">
                  <c:v>42287</c:v>
                </c:pt>
                <c:pt idx="12">
                  <c:v>42294</c:v>
                </c:pt>
                <c:pt idx="13">
                  <c:v>42301</c:v>
                </c:pt>
                <c:pt idx="14">
                  <c:v>42308</c:v>
                </c:pt>
                <c:pt idx="15">
                  <c:v>42521</c:v>
                </c:pt>
                <c:pt idx="16">
                  <c:v>42531</c:v>
                </c:pt>
                <c:pt idx="17">
                  <c:v>42544</c:v>
                </c:pt>
                <c:pt idx="18">
                  <c:v>42551</c:v>
                </c:pt>
                <c:pt idx="19">
                  <c:v>42561</c:v>
                </c:pt>
                <c:pt idx="20">
                  <c:v>42571</c:v>
                </c:pt>
                <c:pt idx="21">
                  <c:v>42581</c:v>
                </c:pt>
                <c:pt idx="22">
                  <c:v>42653</c:v>
                </c:pt>
                <c:pt idx="23">
                  <c:v>42846</c:v>
                </c:pt>
                <c:pt idx="24">
                  <c:v>42855</c:v>
                </c:pt>
                <c:pt idx="25">
                  <c:v>42865</c:v>
                </c:pt>
                <c:pt idx="26">
                  <c:v>42875</c:v>
                </c:pt>
                <c:pt idx="27">
                  <c:v>42885</c:v>
                </c:pt>
                <c:pt idx="28">
                  <c:v>42896</c:v>
                </c:pt>
                <c:pt idx="29">
                  <c:v>42906</c:v>
                </c:pt>
                <c:pt idx="30">
                  <c:v>42916</c:v>
                </c:pt>
                <c:pt idx="31">
                  <c:v>42926</c:v>
                </c:pt>
                <c:pt idx="32">
                  <c:v>42936</c:v>
                </c:pt>
                <c:pt idx="33">
                  <c:v>42946</c:v>
                </c:pt>
                <c:pt idx="34">
                  <c:v>42957</c:v>
                </c:pt>
                <c:pt idx="35">
                  <c:v>42967</c:v>
                </c:pt>
                <c:pt idx="36">
                  <c:v>42977</c:v>
                </c:pt>
                <c:pt idx="37">
                  <c:v>42988</c:v>
                </c:pt>
                <c:pt idx="38">
                  <c:v>42998</c:v>
                </c:pt>
                <c:pt idx="39">
                  <c:v>43008</c:v>
                </c:pt>
                <c:pt idx="40">
                  <c:v>43018</c:v>
                </c:pt>
                <c:pt idx="41">
                  <c:v>43230</c:v>
                </c:pt>
                <c:pt idx="42">
                  <c:v>43240</c:v>
                </c:pt>
                <c:pt idx="43">
                  <c:v>43250</c:v>
                </c:pt>
                <c:pt idx="44">
                  <c:v>43261</c:v>
                </c:pt>
                <c:pt idx="45">
                  <c:v>43271</c:v>
                </c:pt>
                <c:pt idx="46">
                  <c:v>43281</c:v>
                </c:pt>
                <c:pt idx="47">
                  <c:v>43291</c:v>
                </c:pt>
                <c:pt idx="48">
                  <c:v>43301</c:v>
                </c:pt>
                <c:pt idx="49">
                  <c:v>43311</c:v>
                </c:pt>
                <c:pt idx="50">
                  <c:v>43322</c:v>
                </c:pt>
                <c:pt idx="51">
                  <c:v>43332</c:v>
                </c:pt>
                <c:pt idx="52">
                  <c:v>43342</c:v>
                </c:pt>
                <c:pt idx="53">
                  <c:v>43353</c:v>
                </c:pt>
                <c:pt idx="54">
                  <c:v>43363</c:v>
                </c:pt>
                <c:pt idx="55">
                  <c:v>43373</c:v>
                </c:pt>
                <c:pt idx="56">
                  <c:v>43383</c:v>
                </c:pt>
                <c:pt idx="57">
                  <c:v>43393</c:v>
                </c:pt>
                <c:pt idx="58">
                  <c:v>43605</c:v>
                </c:pt>
                <c:pt idx="59">
                  <c:v>43615</c:v>
                </c:pt>
                <c:pt idx="60">
                  <c:v>43626</c:v>
                </c:pt>
                <c:pt idx="61">
                  <c:v>43636</c:v>
                </c:pt>
              </c:numCache>
            </c:numRef>
          </c:xVal>
          <c:yVal>
            <c:numRef>
              <c:f>'P4-07'!$E$7:$E$68</c:f>
              <c:numCache>
                <c:formatCode>0.000_ </c:formatCode>
                <c:ptCount val="62"/>
                <c:pt idx="0">
                  <c:v>2.0371409999435049E-2</c:v>
                </c:pt>
                <c:pt idx="1">
                  <c:v>0.13246613488039805</c:v>
                </c:pt>
                <c:pt idx="2">
                  <c:v>0.17476950681459008</c:v>
                </c:pt>
                <c:pt idx="3">
                  <c:v>0.11068303257414203</c:v>
                </c:pt>
                <c:pt idx="4">
                  <c:v>0.10295887439056045</c:v>
                </c:pt>
                <c:pt idx="5">
                  <c:v>0.10496062946482526</c:v>
                </c:pt>
                <c:pt idx="6">
                  <c:v>0.10535686281509726</c:v>
                </c:pt>
                <c:pt idx="7">
                  <c:v>0.1062931430428945</c:v>
                </c:pt>
                <c:pt idx="8">
                  <c:v>0.10587511056486001</c:v>
                </c:pt>
                <c:pt idx="9">
                  <c:v>0.10440733179477377</c:v>
                </c:pt>
                <c:pt idx="10">
                  <c:v>0.10427624692294579</c:v>
                </c:pt>
                <c:pt idx="11">
                  <c:v>0.10419646689929041</c:v>
                </c:pt>
                <c:pt idx="12">
                  <c:v>0.10458871034498174</c:v>
                </c:pt>
                <c:pt idx="13">
                  <c:v>0.10392041288382983</c:v>
                </c:pt>
                <c:pt idx="14">
                  <c:v>0.10392968125929078</c:v>
                </c:pt>
                <c:pt idx="15">
                  <c:v>9.9991486110242722E-2</c:v>
                </c:pt>
                <c:pt idx="16">
                  <c:v>9.8128032153467992E-2</c:v>
                </c:pt>
                <c:pt idx="17">
                  <c:v>0.11323277837183315</c:v>
                </c:pt>
                <c:pt idx="18">
                  <c:v>0.10423509957880273</c:v>
                </c:pt>
                <c:pt idx="19">
                  <c:v>0.1013486491917297</c:v>
                </c:pt>
                <c:pt idx="20">
                  <c:v>9.6866656873484336E-2</c:v>
                </c:pt>
                <c:pt idx="21">
                  <c:v>9.779203180836199E-2</c:v>
                </c:pt>
                <c:pt idx="22">
                  <c:v>8.7023738128460426E-2</c:v>
                </c:pt>
                <c:pt idx="23">
                  <c:v>9.4742382222926524E-2</c:v>
                </c:pt>
                <c:pt idx="24">
                  <c:v>9.4299024880197813E-2</c:v>
                </c:pt>
                <c:pt idx="25">
                  <c:v>9.982400765175603E-2</c:v>
                </c:pt>
                <c:pt idx="26">
                  <c:v>9.726897826318992E-2</c:v>
                </c:pt>
                <c:pt idx="27">
                  <c:v>9.4116054497186741E-2</c:v>
                </c:pt>
                <c:pt idx="28">
                  <c:v>9.4306062231658383E-2</c:v>
                </c:pt>
                <c:pt idx="29">
                  <c:v>9.4800519563066066E-2</c:v>
                </c:pt>
                <c:pt idx="30">
                  <c:v>9.5666152418588168E-2</c:v>
                </c:pt>
                <c:pt idx="31">
                  <c:v>9.3597132831098662E-2</c:v>
                </c:pt>
                <c:pt idx="32">
                  <c:v>9.4054553126382057E-2</c:v>
                </c:pt>
                <c:pt idx="33">
                  <c:v>9.3160832709844932E-2</c:v>
                </c:pt>
                <c:pt idx="34">
                  <c:v>9.4462720446741255E-2</c:v>
                </c:pt>
                <c:pt idx="35">
                  <c:v>9.3656802816588114E-2</c:v>
                </c:pt>
                <c:pt idx="36">
                  <c:v>9.5223984851227961E-2</c:v>
                </c:pt>
                <c:pt idx="37">
                  <c:v>9.495167014251199E-2</c:v>
                </c:pt>
                <c:pt idx="38">
                  <c:v>9.3822323225409121E-2</c:v>
                </c:pt>
                <c:pt idx="39">
                  <c:v>9.3533798429540072E-2</c:v>
                </c:pt>
                <c:pt idx="40">
                  <c:v>9.3927881980934436E-2</c:v>
                </c:pt>
                <c:pt idx="41">
                  <c:v>9.3102706395218782E-2</c:v>
                </c:pt>
                <c:pt idx="42">
                  <c:v>9.2775351154200214E-2</c:v>
                </c:pt>
                <c:pt idx="43">
                  <c:v>9.3285668725260118E-2</c:v>
                </c:pt>
                <c:pt idx="44">
                  <c:v>9.5725810389150012E-2</c:v>
                </c:pt>
                <c:pt idx="45">
                  <c:v>0.10518133902596916</c:v>
                </c:pt>
                <c:pt idx="46">
                  <c:v>0.1031940811223227</c:v>
                </c:pt>
                <c:pt idx="47">
                  <c:v>9.9772876180353742E-2</c:v>
                </c:pt>
                <c:pt idx="48">
                  <c:v>9.7930584023976142E-2</c:v>
                </c:pt>
                <c:pt idx="49">
                  <c:v>9.830881202468017E-2</c:v>
                </c:pt>
                <c:pt idx="50">
                  <c:v>0.10135856922893238</c:v>
                </c:pt>
                <c:pt idx="51">
                  <c:v>9.9282008037288261E-2</c:v>
                </c:pt>
                <c:pt idx="52">
                  <c:v>0.10510577319267805</c:v>
                </c:pt>
                <c:pt idx="53">
                  <c:v>0.10575352505118235</c:v>
                </c:pt>
                <c:pt idx="54">
                  <c:v>0.10342123732244413</c:v>
                </c:pt>
                <c:pt idx="55">
                  <c:v>0.10243233972633448</c:v>
                </c:pt>
                <c:pt idx="56">
                  <c:v>0.10197144953308801</c:v>
                </c:pt>
                <c:pt idx="57">
                  <c:v>0.10143312553012407</c:v>
                </c:pt>
                <c:pt idx="58">
                  <c:v>0.10091779237269377</c:v>
                </c:pt>
                <c:pt idx="59">
                  <c:v>0.10088259420486595</c:v>
                </c:pt>
                <c:pt idx="60">
                  <c:v>0.10098445496016911</c:v>
                </c:pt>
                <c:pt idx="61">
                  <c:v>0.10111964788570171</c:v>
                </c:pt>
              </c:numCache>
            </c:numRef>
          </c:yVal>
          <c:smooth val="1"/>
        </c:ser>
        <c:ser>
          <c:idx val="2"/>
          <c:order val="2"/>
          <c:tx>
            <c:v>P4-8</c:v>
          </c:tx>
          <c:spPr>
            <a:ln w="19050">
              <a:solidFill>
                <a:schemeClr val="tx1"/>
              </a:solidFill>
              <a:prstDash val="lgDashDot"/>
            </a:ln>
          </c:spPr>
          <c:marker>
            <c:symbol val="none"/>
          </c:marker>
          <c:xVal>
            <c:numRef>
              <c:f>'P4-08'!$A$7:$A$68</c:f>
              <c:numCache>
                <c:formatCode>m/d/yyyy</c:formatCode>
                <c:ptCount val="62"/>
                <c:pt idx="0">
                  <c:v>42264</c:v>
                </c:pt>
                <c:pt idx="1">
                  <c:v>42265</c:v>
                </c:pt>
                <c:pt idx="2">
                  <c:v>42266</c:v>
                </c:pt>
                <c:pt idx="3">
                  <c:v>42267</c:v>
                </c:pt>
                <c:pt idx="4">
                  <c:v>42268</c:v>
                </c:pt>
                <c:pt idx="5">
                  <c:v>42269</c:v>
                </c:pt>
                <c:pt idx="6">
                  <c:v>42270</c:v>
                </c:pt>
                <c:pt idx="7">
                  <c:v>42271</c:v>
                </c:pt>
                <c:pt idx="8">
                  <c:v>42272</c:v>
                </c:pt>
                <c:pt idx="9">
                  <c:v>42273</c:v>
                </c:pt>
                <c:pt idx="10">
                  <c:v>42280</c:v>
                </c:pt>
                <c:pt idx="11">
                  <c:v>42287</c:v>
                </c:pt>
                <c:pt idx="12">
                  <c:v>42294</c:v>
                </c:pt>
                <c:pt idx="13">
                  <c:v>42301</c:v>
                </c:pt>
                <c:pt idx="14">
                  <c:v>42308</c:v>
                </c:pt>
                <c:pt idx="15">
                  <c:v>42521</c:v>
                </c:pt>
                <c:pt idx="16">
                  <c:v>42531</c:v>
                </c:pt>
                <c:pt idx="17">
                  <c:v>42544</c:v>
                </c:pt>
                <c:pt idx="18">
                  <c:v>42551</c:v>
                </c:pt>
                <c:pt idx="19">
                  <c:v>42561</c:v>
                </c:pt>
                <c:pt idx="20">
                  <c:v>42571</c:v>
                </c:pt>
                <c:pt idx="21">
                  <c:v>42581</c:v>
                </c:pt>
                <c:pt idx="22">
                  <c:v>42653</c:v>
                </c:pt>
                <c:pt idx="23">
                  <c:v>42846</c:v>
                </c:pt>
                <c:pt idx="24">
                  <c:v>42855</c:v>
                </c:pt>
                <c:pt idx="25">
                  <c:v>42865</c:v>
                </c:pt>
                <c:pt idx="26">
                  <c:v>42875</c:v>
                </c:pt>
                <c:pt idx="27">
                  <c:v>42885</c:v>
                </c:pt>
                <c:pt idx="28">
                  <c:v>42896</c:v>
                </c:pt>
                <c:pt idx="29">
                  <c:v>42906</c:v>
                </c:pt>
                <c:pt idx="30">
                  <c:v>42916</c:v>
                </c:pt>
                <c:pt idx="31">
                  <c:v>42926</c:v>
                </c:pt>
                <c:pt idx="32">
                  <c:v>42936</c:v>
                </c:pt>
                <c:pt idx="33">
                  <c:v>42946</c:v>
                </c:pt>
                <c:pt idx="34">
                  <c:v>42957</c:v>
                </c:pt>
                <c:pt idx="35">
                  <c:v>42967</c:v>
                </c:pt>
                <c:pt idx="36">
                  <c:v>42977</c:v>
                </c:pt>
                <c:pt idx="37">
                  <c:v>42988</c:v>
                </c:pt>
                <c:pt idx="38">
                  <c:v>42998</c:v>
                </c:pt>
                <c:pt idx="39">
                  <c:v>43008</c:v>
                </c:pt>
                <c:pt idx="40">
                  <c:v>43018</c:v>
                </c:pt>
                <c:pt idx="41">
                  <c:v>43230</c:v>
                </c:pt>
                <c:pt idx="42">
                  <c:v>43240</c:v>
                </c:pt>
                <c:pt idx="43">
                  <c:v>43250</c:v>
                </c:pt>
                <c:pt idx="44">
                  <c:v>43261</c:v>
                </c:pt>
                <c:pt idx="45">
                  <c:v>43271</c:v>
                </c:pt>
                <c:pt idx="46">
                  <c:v>43281</c:v>
                </c:pt>
                <c:pt idx="47">
                  <c:v>43291</c:v>
                </c:pt>
                <c:pt idx="48">
                  <c:v>43301</c:v>
                </c:pt>
                <c:pt idx="49">
                  <c:v>43311</c:v>
                </c:pt>
                <c:pt idx="50">
                  <c:v>43322</c:v>
                </c:pt>
                <c:pt idx="51">
                  <c:v>43332</c:v>
                </c:pt>
                <c:pt idx="52">
                  <c:v>43342</c:v>
                </c:pt>
                <c:pt idx="53">
                  <c:v>43353</c:v>
                </c:pt>
                <c:pt idx="54">
                  <c:v>43363</c:v>
                </c:pt>
                <c:pt idx="55">
                  <c:v>43373</c:v>
                </c:pt>
                <c:pt idx="56">
                  <c:v>43383</c:v>
                </c:pt>
                <c:pt idx="57">
                  <c:v>43393</c:v>
                </c:pt>
                <c:pt idx="58">
                  <c:v>43605</c:v>
                </c:pt>
                <c:pt idx="59">
                  <c:v>43615</c:v>
                </c:pt>
                <c:pt idx="60">
                  <c:v>43626</c:v>
                </c:pt>
                <c:pt idx="61">
                  <c:v>43636</c:v>
                </c:pt>
              </c:numCache>
            </c:numRef>
          </c:xVal>
          <c:yVal>
            <c:numRef>
              <c:f>'P4-08'!$E$7:$E$68</c:f>
              <c:numCache>
                <c:formatCode>0.000_ </c:formatCode>
                <c:ptCount val="62"/>
                <c:pt idx="0">
                  <c:v>7.2126274057819864E-2</c:v>
                </c:pt>
                <c:pt idx="1">
                  <c:v>0.19682821007500068</c:v>
                </c:pt>
                <c:pt idx="2">
                  <c:v>0.24422014772714373</c:v>
                </c:pt>
                <c:pt idx="3">
                  <c:v>0.16906487686480914</c:v>
                </c:pt>
                <c:pt idx="4">
                  <c:v>0.17467871748688002</c:v>
                </c:pt>
                <c:pt idx="5">
                  <c:v>0.16329440617569252</c:v>
                </c:pt>
                <c:pt idx="6">
                  <c:v>0.16334228650505483</c:v>
                </c:pt>
                <c:pt idx="7">
                  <c:v>0.1636847042164124</c:v>
                </c:pt>
                <c:pt idx="8">
                  <c:v>0.16328275774031858</c:v>
                </c:pt>
                <c:pt idx="9">
                  <c:v>0.16279577320889832</c:v>
                </c:pt>
                <c:pt idx="10">
                  <c:v>0.16114144615237092</c:v>
                </c:pt>
                <c:pt idx="11">
                  <c:v>0.16131142696403233</c:v>
                </c:pt>
                <c:pt idx="12">
                  <c:v>0.16104168110709216</c:v>
                </c:pt>
                <c:pt idx="13">
                  <c:v>0.1602234223062271</c:v>
                </c:pt>
                <c:pt idx="14">
                  <c:v>0.16028597829907343</c:v>
                </c:pt>
                <c:pt idx="15">
                  <c:v>0.15476312820922761</c:v>
                </c:pt>
                <c:pt idx="16">
                  <c:v>0.15301268176366911</c:v>
                </c:pt>
                <c:pt idx="17">
                  <c:v>0.16800335473435113</c:v>
                </c:pt>
                <c:pt idx="18">
                  <c:v>0.15924210709290709</c:v>
                </c:pt>
                <c:pt idx="19">
                  <c:v>0.15252946089594205</c:v>
                </c:pt>
                <c:pt idx="20">
                  <c:v>0.15328971267772301</c:v>
                </c:pt>
                <c:pt idx="21">
                  <c:v>0.15415921395462706</c:v>
                </c:pt>
                <c:pt idx="22">
                  <c:v>0.14634471919599956</c:v>
                </c:pt>
                <c:pt idx="23">
                  <c:v>0.15104297890069796</c:v>
                </c:pt>
                <c:pt idx="24">
                  <c:v>0.15053474826787072</c:v>
                </c:pt>
                <c:pt idx="25">
                  <c:v>0.15556655603388392</c:v>
                </c:pt>
                <c:pt idx="26">
                  <c:v>0.15370283935304463</c:v>
                </c:pt>
                <c:pt idx="27">
                  <c:v>0.15051780737363218</c:v>
                </c:pt>
                <c:pt idx="28">
                  <c:v>0.15056863008090038</c:v>
                </c:pt>
                <c:pt idx="29">
                  <c:v>0.15105992004864777</c:v>
                </c:pt>
                <c:pt idx="30">
                  <c:v>0.15199169578962501</c:v>
                </c:pt>
                <c:pt idx="31">
                  <c:v>0.14999264371162102</c:v>
                </c:pt>
                <c:pt idx="32">
                  <c:v>0.15033145807716819</c:v>
                </c:pt>
                <c:pt idx="33">
                  <c:v>0.14941666680332322</c:v>
                </c:pt>
                <c:pt idx="34">
                  <c:v>0.15063639380517091</c:v>
                </c:pt>
                <c:pt idx="35">
                  <c:v>0.15009978466366675</c:v>
                </c:pt>
                <c:pt idx="36">
                  <c:v>0.15318758166038909</c:v>
                </c:pt>
                <c:pt idx="37">
                  <c:v>0.15097521439074035</c:v>
                </c:pt>
                <c:pt idx="38">
                  <c:v>0.15000958435214828</c:v>
                </c:pt>
                <c:pt idx="39">
                  <c:v>0.14860353903936918</c:v>
                </c:pt>
                <c:pt idx="40">
                  <c:v>0.15006040632283479</c:v>
                </c:pt>
                <c:pt idx="41">
                  <c:v>0.14916806744000538</c:v>
                </c:pt>
                <c:pt idx="42">
                  <c:v>0.14864292864171552</c:v>
                </c:pt>
                <c:pt idx="43">
                  <c:v>0.15021793225715535</c:v>
                </c:pt>
                <c:pt idx="44">
                  <c:v>0.15138728920478212</c:v>
                </c:pt>
                <c:pt idx="45">
                  <c:v>0.16116370104078809</c:v>
                </c:pt>
                <c:pt idx="46">
                  <c:v>0.15945762696789634</c:v>
                </c:pt>
                <c:pt idx="47">
                  <c:v>0.15654867005786266</c:v>
                </c:pt>
                <c:pt idx="48">
                  <c:v>0.15417121382545462</c:v>
                </c:pt>
                <c:pt idx="49">
                  <c:v>0.15449312005009175</c:v>
                </c:pt>
                <c:pt idx="50">
                  <c:v>0.15730025254807584</c:v>
                </c:pt>
                <c:pt idx="51">
                  <c:v>0.15561134357667716</c:v>
                </c:pt>
                <c:pt idx="52">
                  <c:v>0.15936137951835971</c:v>
                </c:pt>
                <c:pt idx="53">
                  <c:v>0.16135010624379548</c:v>
                </c:pt>
                <c:pt idx="54">
                  <c:v>0.1593505384604606</c:v>
                </c:pt>
                <c:pt idx="55">
                  <c:v>0.15759981444640236</c:v>
                </c:pt>
                <c:pt idx="56">
                  <c:v>0.15626186933565406</c:v>
                </c:pt>
                <c:pt idx="57">
                  <c:v>0.15438172774327258</c:v>
                </c:pt>
                <c:pt idx="58">
                  <c:v>0.15089204492835318</c:v>
                </c:pt>
                <c:pt idx="59">
                  <c:v>0.15048542919103169</c:v>
                </c:pt>
                <c:pt idx="60">
                  <c:v>0.15078438440891412</c:v>
                </c:pt>
                <c:pt idx="61">
                  <c:v>0.15125823553779172</c:v>
                </c:pt>
              </c:numCache>
            </c:numRef>
          </c:yVal>
          <c:smooth val="1"/>
        </c:ser>
        <c:ser>
          <c:idx val="3"/>
          <c:order val="3"/>
          <c:tx>
            <c:v>P4-9</c:v>
          </c:tx>
          <c:spPr>
            <a:ln w="1905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'P4-09'!$A$7:$A$68</c:f>
              <c:numCache>
                <c:formatCode>m/d/yyyy</c:formatCode>
                <c:ptCount val="62"/>
                <c:pt idx="0">
                  <c:v>42264</c:v>
                </c:pt>
                <c:pt idx="1">
                  <c:v>42265</c:v>
                </c:pt>
                <c:pt idx="2">
                  <c:v>42266</c:v>
                </c:pt>
                <c:pt idx="3">
                  <c:v>42267</c:v>
                </c:pt>
                <c:pt idx="4">
                  <c:v>42268</c:v>
                </c:pt>
                <c:pt idx="5">
                  <c:v>42269</c:v>
                </c:pt>
                <c:pt idx="6">
                  <c:v>42270</c:v>
                </c:pt>
                <c:pt idx="7">
                  <c:v>42271</c:v>
                </c:pt>
                <c:pt idx="8">
                  <c:v>42272</c:v>
                </c:pt>
                <c:pt idx="9">
                  <c:v>42273</c:v>
                </c:pt>
                <c:pt idx="10">
                  <c:v>42280</c:v>
                </c:pt>
                <c:pt idx="11">
                  <c:v>42287</c:v>
                </c:pt>
                <c:pt idx="12">
                  <c:v>42294</c:v>
                </c:pt>
                <c:pt idx="13">
                  <c:v>42301</c:v>
                </c:pt>
                <c:pt idx="14">
                  <c:v>42308</c:v>
                </c:pt>
                <c:pt idx="15">
                  <c:v>42521</c:v>
                </c:pt>
                <c:pt idx="16">
                  <c:v>42531</c:v>
                </c:pt>
                <c:pt idx="17">
                  <c:v>42544</c:v>
                </c:pt>
                <c:pt idx="18">
                  <c:v>42551</c:v>
                </c:pt>
                <c:pt idx="19">
                  <c:v>42561</c:v>
                </c:pt>
                <c:pt idx="20">
                  <c:v>42571</c:v>
                </c:pt>
                <c:pt idx="21">
                  <c:v>42581</c:v>
                </c:pt>
                <c:pt idx="22">
                  <c:v>42653</c:v>
                </c:pt>
                <c:pt idx="23">
                  <c:v>42846</c:v>
                </c:pt>
                <c:pt idx="24">
                  <c:v>42855</c:v>
                </c:pt>
                <c:pt idx="25">
                  <c:v>42865</c:v>
                </c:pt>
                <c:pt idx="26">
                  <c:v>42875</c:v>
                </c:pt>
                <c:pt idx="27">
                  <c:v>42885</c:v>
                </c:pt>
                <c:pt idx="28">
                  <c:v>42896</c:v>
                </c:pt>
                <c:pt idx="29">
                  <c:v>42906</c:v>
                </c:pt>
                <c:pt idx="30">
                  <c:v>42916</c:v>
                </c:pt>
                <c:pt idx="31">
                  <c:v>42926</c:v>
                </c:pt>
                <c:pt idx="32">
                  <c:v>42936</c:v>
                </c:pt>
                <c:pt idx="33">
                  <c:v>42946</c:v>
                </c:pt>
                <c:pt idx="34">
                  <c:v>42957</c:v>
                </c:pt>
                <c:pt idx="35">
                  <c:v>42967</c:v>
                </c:pt>
                <c:pt idx="36">
                  <c:v>42977</c:v>
                </c:pt>
                <c:pt idx="37">
                  <c:v>42988</c:v>
                </c:pt>
                <c:pt idx="38">
                  <c:v>42998</c:v>
                </c:pt>
                <c:pt idx="39">
                  <c:v>43008</c:v>
                </c:pt>
                <c:pt idx="40">
                  <c:v>43018</c:v>
                </c:pt>
                <c:pt idx="41">
                  <c:v>43230</c:v>
                </c:pt>
                <c:pt idx="42">
                  <c:v>43240</c:v>
                </c:pt>
                <c:pt idx="43">
                  <c:v>43250</c:v>
                </c:pt>
                <c:pt idx="44">
                  <c:v>43261</c:v>
                </c:pt>
                <c:pt idx="45">
                  <c:v>43271</c:v>
                </c:pt>
                <c:pt idx="46">
                  <c:v>43281</c:v>
                </c:pt>
                <c:pt idx="47">
                  <c:v>43291</c:v>
                </c:pt>
                <c:pt idx="48">
                  <c:v>43301</c:v>
                </c:pt>
                <c:pt idx="49">
                  <c:v>43311</c:v>
                </c:pt>
                <c:pt idx="50">
                  <c:v>43322</c:v>
                </c:pt>
                <c:pt idx="51">
                  <c:v>43332</c:v>
                </c:pt>
                <c:pt idx="52">
                  <c:v>43342</c:v>
                </c:pt>
                <c:pt idx="53">
                  <c:v>43353</c:v>
                </c:pt>
                <c:pt idx="54">
                  <c:v>43363</c:v>
                </c:pt>
                <c:pt idx="55">
                  <c:v>43373</c:v>
                </c:pt>
                <c:pt idx="56">
                  <c:v>43383</c:v>
                </c:pt>
                <c:pt idx="57">
                  <c:v>43393</c:v>
                </c:pt>
                <c:pt idx="58">
                  <c:v>43605</c:v>
                </c:pt>
                <c:pt idx="59">
                  <c:v>43615</c:v>
                </c:pt>
                <c:pt idx="60">
                  <c:v>43626</c:v>
                </c:pt>
                <c:pt idx="61">
                  <c:v>43636</c:v>
                </c:pt>
              </c:numCache>
            </c:numRef>
          </c:xVal>
          <c:yVal>
            <c:numRef>
              <c:f>'P4-09'!$E$7:$E$68</c:f>
              <c:numCache>
                <c:formatCode>0.000_ </c:formatCode>
                <c:ptCount val="62"/>
                <c:pt idx="0">
                  <c:v>7.2069245818560945E-2</c:v>
                </c:pt>
                <c:pt idx="1">
                  <c:v>0.26281783974341894</c:v>
                </c:pt>
                <c:pt idx="2">
                  <c:v>0.31486535647468866</c:v>
                </c:pt>
                <c:pt idx="3">
                  <c:v>0.2137321624570489</c:v>
                </c:pt>
                <c:pt idx="4">
                  <c:v>0.20963093547400286</c:v>
                </c:pt>
                <c:pt idx="5">
                  <c:v>0.20887988765483118</c:v>
                </c:pt>
                <c:pt idx="6">
                  <c:v>0.20577571016796137</c:v>
                </c:pt>
                <c:pt idx="7">
                  <c:v>0.20908611307860797</c:v>
                </c:pt>
                <c:pt idx="8">
                  <c:v>0.20818243608697512</c:v>
                </c:pt>
                <c:pt idx="9">
                  <c:v>0.20889394684174128</c:v>
                </c:pt>
                <c:pt idx="10">
                  <c:v>0.2070937908050105</c:v>
                </c:pt>
                <c:pt idx="11">
                  <c:v>0.20867131673247935</c:v>
                </c:pt>
                <c:pt idx="12">
                  <c:v>0.2072885883267519</c:v>
                </c:pt>
                <c:pt idx="13">
                  <c:v>0.206511656958416</c:v>
                </c:pt>
                <c:pt idx="14">
                  <c:v>0.20667718166444704</c:v>
                </c:pt>
                <c:pt idx="15">
                  <c:v>0.19945059426083583</c:v>
                </c:pt>
                <c:pt idx="16">
                  <c:v>0.19859233454636877</c:v>
                </c:pt>
                <c:pt idx="17">
                  <c:v>0.21355589977700157</c:v>
                </c:pt>
                <c:pt idx="18">
                  <c:v>0.2050718580451632</c:v>
                </c:pt>
                <c:pt idx="19">
                  <c:v>0.20246307896291454</c:v>
                </c:pt>
                <c:pt idx="20">
                  <c:v>0.2010325381459151</c:v>
                </c:pt>
                <c:pt idx="21">
                  <c:v>0.20189223625385849</c:v>
                </c:pt>
                <c:pt idx="22">
                  <c:v>0.1981688108618998</c:v>
                </c:pt>
                <c:pt idx="23">
                  <c:v>0.20035519753684145</c:v>
                </c:pt>
                <c:pt idx="24">
                  <c:v>0.19864986684659464</c:v>
                </c:pt>
                <c:pt idx="25">
                  <c:v>0.20296389033768897</c:v>
                </c:pt>
                <c:pt idx="26">
                  <c:v>0.20356980723313872</c:v>
                </c:pt>
                <c:pt idx="27">
                  <c:v>0.20050666487104057</c:v>
                </c:pt>
                <c:pt idx="28">
                  <c:v>0.20022056043957576</c:v>
                </c:pt>
                <c:pt idx="29">
                  <c:v>0.20055715412356384</c:v>
                </c:pt>
                <c:pt idx="30">
                  <c:v>0.20175208702948738</c:v>
                </c:pt>
                <c:pt idx="31">
                  <c:v>0.19986714044659465</c:v>
                </c:pt>
                <c:pt idx="32">
                  <c:v>0.19998494672675188</c:v>
                </c:pt>
                <c:pt idx="33">
                  <c:v>0.19912665262516743</c:v>
                </c:pt>
                <c:pt idx="34">
                  <c:v>0.20025421966685092</c:v>
                </c:pt>
                <c:pt idx="35">
                  <c:v>0.19944640686782705</c:v>
                </c:pt>
                <c:pt idx="36">
                  <c:v>0.20214744861548378</c:v>
                </c:pt>
                <c:pt idx="37">
                  <c:v>0.20087692102814653</c:v>
                </c:pt>
                <c:pt idx="38">
                  <c:v>0.19978299333883115</c:v>
                </c:pt>
                <c:pt idx="39">
                  <c:v>0.19948006537380386</c:v>
                </c:pt>
                <c:pt idx="40">
                  <c:v>0.19981665215841599</c:v>
                </c:pt>
                <c:pt idx="41">
                  <c:v>0.19860495441066722</c:v>
                </c:pt>
                <c:pt idx="42">
                  <c:v>0.19810009234461107</c:v>
                </c:pt>
                <c:pt idx="43">
                  <c:v>0.19931456447061985</c:v>
                </c:pt>
                <c:pt idx="44">
                  <c:v>0.20057536769224887</c:v>
                </c:pt>
                <c:pt idx="45">
                  <c:v>0.21079369772556295</c:v>
                </c:pt>
                <c:pt idx="46">
                  <c:v>0.20931362996905195</c:v>
                </c:pt>
                <c:pt idx="47">
                  <c:v>0.20660221322392897</c:v>
                </c:pt>
                <c:pt idx="48">
                  <c:v>0.20387548431530128</c:v>
                </c:pt>
                <c:pt idx="49">
                  <c:v>0.20410976272543874</c:v>
                </c:pt>
                <c:pt idx="50">
                  <c:v>0.20665004189085506</c:v>
                </c:pt>
                <c:pt idx="51">
                  <c:v>0.20522064400155454</c:v>
                </c:pt>
                <c:pt idx="52">
                  <c:v>0.2079306643217918</c:v>
                </c:pt>
                <c:pt idx="53">
                  <c:v>0.20915818643331124</c:v>
                </c:pt>
                <c:pt idx="54">
                  <c:v>0.20919316553375938</c:v>
                </c:pt>
                <c:pt idx="55">
                  <c:v>0.20809635636905194</c:v>
                </c:pt>
                <c:pt idx="56">
                  <c:v>0.20671339072179179</c:v>
                </c:pt>
                <c:pt idx="57">
                  <c:v>0.20550009875659186</c:v>
                </c:pt>
                <c:pt idx="58">
                  <c:v>0.20166382688517165</c:v>
                </c:pt>
                <c:pt idx="59">
                  <c:v>0.20134404493524533</c:v>
                </c:pt>
                <c:pt idx="60">
                  <c:v>0.20158241143441852</c:v>
                </c:pt>
                <c:pt idx="61">
                  <c:v>0.20229340261518641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1647792"/>
        <c:axId val="-161647248"/>
      </c:scatterChart>
      <c:valAx>
        <c:axId val="-161647792"/>
        <c:scaling>
          <c:orientation val="minMax"/>
          <c:max val="43800"/>
          <c:min val="4225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时间</a:t>
                </a:r>
              </a:p>
            </c:rich>
          </c:tx>
          <c:layout>
            <c:manualLayout>
              <c:xMode val="edge"/>
              <c:yMode val="edge"/>
              <c:x val="0.85055664916885387"/>
              <c:y val="0.84683836395450574"/>
            </c:manualLayout>
          </c:layout>
          <c:overlay val="0"/>
        </c:title>
        <c:numFmt formatCode="m/d/yyyy" sourceLinked="0"/>
        <c:majorTickMark val="none"/>
        <c:minorTickMark val="none"/>
        <c:tickLblPos val="low"/>
        <c:txPr>
          <a:bodyPr/>
          <a:lstStyle/>
          <a:p>
            <a:pPr>
              <a:defRPr sz="1000"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-161647248"/>
        <c:crosses val="autoZero"/>
        <c:crossBetween val="midCat"/>
        <c:majorUnit val="300"/>
      </c:valAx>
      <c:valAx>
        <c:axId val="-1616472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 altLang="en-US"/>
                  <a:t>渗压</a:t>
                </a:r>
                <a:r>
                  <a:rPr lang="en-US" altLang="zh-CN"/>
                  <a:t>(MPa)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1.666666666666667E-2"/>
              <c:y val="0.3084113444152814"/>
            </c:manualLayout>
          </c:layout>
          <c:overlay val="0"/>
        </c:title>
        <c:numFmt formatCode="0.000_ " sourceLinked="1"/>
        <c:majorTickMark val="in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000"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-161647792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b"/>
      <c:layout>
        <c:manualLayout>
          <c:xMode val="edge"/>
          <c:yMode val="edge"/>
          <c:x val="0.32094160104986891"/>
          <c:y val="0.87924577136191318"/>
          <c:w val="0.51516951006124234"/>
          <c:h val="0.12075422863808691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33473188114248"/>
          <c:y val="0.1296296296296281"/>
          <c:w val="0.82476713221066345"/>
          <c:h val="0.63921045583587865"/>
        </c:manualLayout>
      </c:layout>
      <c:scatterChart>
        <c:scatterStyle val="smoothMarker"/>
        <c:varyColors val="0"/>
        <c:ser>
          <c:idx val="0"/>
          <c:order val="0"/>
          <c:tx>
            <c:v>P4-10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'P4-10'!$A$8:$A$15</c:f>
              <c:numCache>
                <c:formatCode>m/d/yyyy</c:formatCode>
                <c:ptCount val="8"/>
                <c:pt idx="0">
                  <c:v>42609</c:v>
                </c:pt>
                <c:pt idx="1">
                  <c:v>42610</c:v>
                </c:pt>
                <c:pt idx="2">
                  <c:v>42611</c:v>
                </c:pt>
                <c:pt idx="3">
                  <c:v>42612</c:v>
                </c:pt>
                <c:pt idx="4">
                  <c:v>42613</c:v>
                </c:pt>
                <c:pt idx="5">
                  <c:v>42614</c:v>
                </c:pt>
                <c:pt idx="6">
                  <c:v>42615</c:v>
                </c:pt>
                <c:pt idx="7">
                  <c:v>42623</c:v>
                </c:pt>
              </c:numCache>
            </c:numRef>
          </c:xVal>
          <c:yVal>
            <c:numRef>
              <c:f>'P4-10'!$F$8:$F$15</c:f>
              <c:numCache>
                <c:formatCode>0.0</c:formatCode>
                <c:ptCount val="8"/>
                <c:pt idx="0">
                  <c:v>740.61432828933471</c:v>
                </c:pt>
                <c:pt idx="1">
                  <c:v>740.43914092322802</c:v>
                </c:pt>
                <c:pt idx="2">
                  <c:v>740.12201619453094</c:v>
                </c:pt>
                <c:pt idx="3">
                  <c:v>739.93676648754388</c:v>
                </c:pt>
                <c:pt idx="4">
                  <c:v>739.25708711430116</c:v>
                </c:pt>
                <c:pt idx="5">
                  <c:v>738.66735392754902</c:v>
                </c:pt>
                <c:pt idx="6">
                  <c:v>738.75751425714907</c:v>
                </c:pt>
                <c:pt idx="7">
                  <c:v>739.06932760949758</c:v>
                </c:pt>
              </c:numCache>
            </c:numRef>
          </c:yVal>
          <c:smooth val="1"/>
        </c:ser>
        <c:ser>
          <c:idx val="1"/>
          <c:order val="1"/>
          <c:tx>
            <c:v>P4-11</c:v>
          </c:tx>
          <c:spPr>
            <a:ln w="19050" cap="rnd">
              <a:solidFill>
                <a:schemeClr val="tx1"/>
              </a:solidFill>
              <a:prstDash val="lgDashDotDot"/>
              <a:round/>
            </a:ln>
            <a:effectLst/>
          </c:spPr>
          <c:marker>
            <c:symbol val="none"/>
          </c:marker>
          <c:xVal>
            <c:numRef>
              <c:f>'P4-11'!$A$8:$A$15</c:f>
              <c:numCache>
                <c:formatCode>m/d/yyyy</c:formatCode>
                <c:ptCount val="8"/>
                <c:pt idx="0">
                  <c:v>42609</c:v>
                </c:pt>
                <c:pt idx="1">
                  <c:v>42610</c:v>
                </c:pt>
                <c:pt idx="2">
                  <c:v>42611</c:v>
                </c:pt>
                <c:pt idx="3">
                  <c:v>42612</c:v>
                </c:pt>
                <c:pt idx="4">
                  <c:v>42613</c:v>
                </c:pt>
                <c:pt idx="5">
                  <c:v>42614</c:v>
                </c:pt>
                <c:pt idx="6">
                  <c:v>42615</c:v>
                </c:pt>
                <c:pt idx="7">
                  <c:v>42623</c:v>
                </c:pt>
              </c:numCache>
            </c:numRef>
          </c:xVal>
          <c:yVal>
            <c:numRef>
              <c:f>'P4-11'!$F$8:$F$15</c:f>
              <c:numCache>
                <c:formatCode>0.0</c:formatCode>
                <c:ptCount val="8"/>
                <c:pt idx="0">
                  <c:v>748.47684933924882</c:v>
                </c:pt>
                <c:pt idx="1">
                  <c:v>746.4049059507264</c:v>
                </c:pt>
                <c:pt idx="2">
                  <c:v>744.53455737647721</c:v>
                </c:pt>
                <c:pt idx="3">
                  <c:v>743.38451694209652</c:v>
                </c:pt>
                <c:pt idx="4">
                  <c:v>743.25219138504849</c:v>
                </c:pt>
                <c:pt idx="5">
                  <c:v>743.2144253180569</c:v>
                </c:pt>
                <c:pt idx="6">
                  <c:v>743.31896050497699</c:v>
                </c:pt>
                <c:pt idx="7">
                  <c:v>743.63145235388458</c:v>
                </c:pt>
              </c:numCache>
            </c:numRef>
          </c:yVal>
          <c:smooth val="1"/>
        </c:ser>
        <c:ser>
          <c:idx val="2"/>
          <c:order val="2"/>
          <c:tx>
            <c:v>P4-12</c:v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'P4-12'!$A$8:$A$15</c:f>
              <c:numCache>
                <c:formatCode>m/d/yyyy</c:formatCode>
                <c:ptCount val="8"/>
                <c:pt idx="0">
                  <c:v>42609</c:v>
                </c:pt>
                <c:pt idx="1">
                  <c:v>42610</c:v>
                </c:pt>
                <c:pt idx="2">
                  <c:v>42611</c:v>
                </c:pt>
                <c:pt idx="3">
                  <c:v>42612</c:v>
                </c:pt>
                <c:pt idx="4">
                  <c:v>42613</c:v>
                </c:pt>
                <c:pt idx="5">
                  <c:v>42614</c:v>
                </c:pt>
                <c:pt idx="6">
                  <c:v>42615</c:v>
                </c:pt>
                <c:pt idx="7">
                  <c:v>42623</c:v>
                </c:pt>
              </c:numCache>
            </c:numRef>
          </c:xVal>
          <c:yVal>
            <c:numRef>
              <c:f>'P4-12'!$F$8:$F$15</c:f>
              <c:numCache>
                <c:formatCode>0.0</c:formatCode>
                <c:ptCount val="8"/>
                <c:pt idx="0">
                  <c:v>743.42921185573732</c:v>
                </c:pt>
                <c:pt idx="1">
                  <c:v>741.64211677018011</c:v>
                </c:pt>
                <c:pt idx="2">
                  <c:v>740.16600279017985</c:v>
                </c:pt>
                <c:pt idx="3">
                  <c:v>738.8181576191929</c:v>
                </c:pt>
                <c:pt idx="4">
                  <c:v>738.77893288680127</c:v>
                </c:pt>
                <c:pt idx="5">
                  <c:v>738.64520636267332</c:v>
                </c:pt>
                <c:pt idx="6">
                  <c:v>738.75423943862734</c:v>
                </c:pt>
                <c:pt idx="7">
                  <c:v>739.07810817453731</c:v>
                </c:pt>
              </c:numCache>
            </c:numRef>
          </c:yVal>
          <c:smooth val="1"/>
        </c:ser>
        <c:ser>
          <c:idx val="3"/>
          <c:order val="3"/>
          <c:tx>
            <c:v>P4-13</c:v>
          </c:tx>
          <c:spPr>
            <a:ln w="15875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'P4-13'!$A$8:$A$15</c:f>
              <c:numCache>
                <c:formatCode>m/d/yyyy</c:formatCode>
                <c:ptCount val="8"/>
                <c:pt idx="0">
                  <c:v>42609</c:v>
                </c:pt>
                <c:pt idx="1">
                  <c:v>42610</c:v>
                </c:pt>
                <c:pt idx="2">
                  <c:v>42611</c:v>
                </c:pt>
                <c:pt idx="3">
                  <c:v>42612</c:v>
                </c:pt>
                <c:pt idx="4">
                  <c:v>42613</c:v>
                </c:pt>
                <c:pt idx="5">
                  <c:v>42614</c:v>
                </c:pt>
                <c:pt idx="6">
                  <c:v>42615</c:v>
                </c:pt>
                <c:pt idx="7">
                  <c:v>42623</c:v>
                </c:pt>
              </c:numCache>
            </c:numRef>
          </c:xVal>
          <c:yVal>
            <c:numRef>
              <c:f>'P4-13'!$F$8:$F$15</c:f>
              <c:numCache>
                <c:formatCode>0.0</c:formatCode>
                <c:ptCount val="8"/>
                <c:pt idx="0">
                  <c:v>741.02013581900894</c:v>
                </c:pt>
                <c:pt idx="1">
                  <c:v>739.92191296303122</c:v>
                </c:pt>
                <c:pt idx="2">
                  <c:v>739.19779292756311</c:v>
                </c:pt>
                <c:pt idx="3">
                  <c:v>738.81521368449603</c:v>
                </c:pt>
                <c:pt idx="4">
                  <c:v>738.74529836436841</c:v>
                </c:pt>
                <c:pt idx="5">
                  <c:v>738.61779248510209</c:v>
                </c:pt>
                <c:pt idx="6">
                  <c:v>738.71471410857862</c:v>
                </c:pt>
                <c:pt idx="7">
                  <c:v>739.03254137926911</c:v>
                </c:pt>
              </c:numCache>
            </c:numRef>
          </c:yVal>
          <c:smooth val="1"/>
        </c:ser>
        <c:ser>
          <c:idx val="4"/>
          <c:order val="4"/>
          <c:tx>
            <c:v>P4-14</c:v>
          </c:tx>
          <c:spPr>
            <a:ln w="19050" cap="rnd">
              <a:solidFill>
                <a:schemeClr val="tx1"/>
              </a:solidFill>
              <a:prstDash val="lgDashDot"/>
              <a:round/>
            </a:ln>
            <a:effectLst/>
          </c:spPr>
          <c:marker>
            <c:symbol val="none"/>
          </c:marker>
          <c:xVal>
            <c:numRef>
              <c:f>'P4-14'!$A$8:$A$15</c:f>
              <c:numCache>
                <c:formatCode>m/d/yyyy</c:formatCode>
                <c:ptCount val="8"/>
                <c:pt idx="0">
                  <c:v>42609</c:v>
                </c:pt>
                <c:pt idx="1">
                  <c:v>42610</c:v>
                </c:pt>
                <c:pt idx="2">
                  <c:v>42611</c:v>
                </c:pt>
                <c:pt idx="3">
                  <c:v>42612</c:v>
                </c:pt>
                <c:pt idx="4">
                  <c:v>42613</c:v>
                </c:pt>
                <c:pt idx="5">
                  <c:v>42614</c:v>
                </c:pt>
                <c:pt idx="6">
                  <c:v>42615</c:v>
                </c:pt>
                <c:pt idx="7">
                  <c:v>42623</c:v>
                </c:pt>
              </c:numCache>
            </c:numRef>
          </c:xVal>
          <c:yVal>
            <c:numRef>
              <c:f>'P4-14'!$F$8:$F$15</c:f>
              <c:numCache>
                <c:formatCode>0.0</c:formatCode>
                <c:ptCount val="8"/>
                <c:pt idx="0">
                  <c:v>738.09517892066754</c:v>
                </c:pt>
                <c:pt idx="1">
                  <c:v>737.98303645534315</c:v>
                </c:pt>
                <c:pt idx="2">
                  <c:v>737.89473726068991</c:v>
                </c:pt>
                <c:pt idx="3">
                  <c:v>737.78259485717149</c:v>
                </c:pt>
                <c:pt idx="4">
                  <c:v>737.69767898653822</c:v>
                </c:pt>
                <c:pt idx="5">
                  <c:v>737.61091953080279</c:v>
                </c:pt>
                <c:pt idx="6">
                  <c:v>737.70137093235178</c:v>
                </c:pt>
                <c:pt idx="7">
                  <c:v>738.00412551231318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1646704"/>
        <c:axId val="-161641808"/>
      </c:scatterChart>
      <c:valAx>
        <c:axId val="-161646704"/>
        <c:scaling>
          <c:orientation val="minMax"/>
          <c:min val="42609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prstDash val="sysDot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>
                    <a:solidFill>
                      <a:sysClr val="windowText" lastClr="000000"/>
                    </a:solidFill>
                  </a:rPr>
                  <a:t>日期</a:t>
                </a:r>
              </a:p>
            </c:rich>
          </c:tx>
          <c:layout>
            <c:manualLayout>
              <c:xMode val="edge"/>
              <c:yMode val="edge"/>
              <c:x val="0.89643753472421495"/>
              <c:y val="0.88946703090684831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-161641808"/>
        <c:crosses val="autoZero"/>
        <c:crossBetween val="midCat"/>
        <c:majorUnit val="7"/>
      </c:valAx>
      <c:valAx>
        <c:axId val="-16164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prstDash val="sysDot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>
                    <a:solidFill>
                      <a:sysClr val="windowText" lastClr="000000"/>
                    </a:solidFill>
                  </a:rPr>
                  <a:t>水位</a:t>
                </a:r>
                <a:r>
                  <a:rPr lang="en-US" altLang="zh-CN">
                    <a:solidFill>
                      <a:sysClr val="windowText" lastClr="000000"/>
                    </a:solidFill>
                  </a:rPr>
                  <a:t>(m)</a:t>
                </a:r>
                <a:endParaRPr lang="zh-CN" altLang="en-US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,##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61646704"/>
        <c:crosses val="autoZero"/>
        <c:crossBetween val="midCat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2037588367147537"/>
          <c:y val="0.8509064938311286"/>
          <c:w val="0.60951395674080899"/>
          <c:h val="0.10374203224596976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433" l="0.70000000000000062" r="0.70000000000000062" t="0.75000000000000433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/>
            </a:pPr>
            <a:r>
              <a:rPr lang="zh-CN" altLang="en-US" sz="1200" b="0"/>
              <a:t>桩号</a:t>
            </a:r>
            <a:r>
              <a:rPr lang="en-US" altLang="zh-CN" sz="1200" b="0"/>
              <a:t>0+950</a:t>
            </a:r>
            <a:r>
              <a:rPr lang="zh-CN" altLang="en-US" sz="1200" b="0"/>
              <a:t>混凝土防渗墙后坝基渗压过程线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046562881929841"/>
          <c:y val="0.12962962962962837"/>
          <c:w val="0.80274047805093063"/>
          <c:h val="0.66632691746865536"/>
        </c:manualLayout>
      </c:layout>
      <c:scatterChart>
        <c:scatterStyle val="smoothMarker"/>
        <c:varyColors val="0"/>
        <c:ser>
          <c:idx val="1"/>
          <c:order val="0"/>
          <c:tx>
            <c:v>P5-7</c:v>
          </c:tx>
          <c:spPr>
            <a:ln w="19050" cap="rnd">
              <a:solidFill>
                <a:schemeClr val="tx1"/>
              </a:solidFill>
              <a:prstDash val="lgDashDotDot"/>
              <a:round/>
            </a:ln>
            <a:effectLst/>
          </c:spPr>
          <c:marker>
            <c:symbol val="none"/>
          </c:marker>
          <c:xVal>
            <c:numRef>
              <c:f>'P5-07'!$A$12:$A$320</c:f>
              <c:numCache>
                <c:formatCode>m/d/yyyy</c:formatCode>
                <c:ptCount val="309"/>
                <c:pt idx="0">
                  <c:v>42263</c:v>
                </c:pt>
                <c:pt idx="1">
                  <c:v>42264</c:v>
                </c:pt>
                <c:pt idx="2">
                  <c:v>42265</c:v>
                </c:pt>
                <c:pt idx="3">
                  <c:v>42266</c:v>
                </c:pt>
                <c:pt idx="4">
                  <c:v>42273</c:v>
                </c:pt>
                <c:pt idx="5">
                  <c:v>42280</c:v>
                </c:pt>
                <c:pt idx="6">
                  <c:v>42287</c:v>
                </c:pt>
                <c:pt idx="7">
                  <c:v>42294</c:v>
                </c:pt>
                <c:pt idx="8">
                  <c:v>42297</c:v>
                </c:pt>
                <c:pt idx="9">
                  <c:v>42301</c:v>
                </c:pt>
                <c:pt idx="10">
                  <c:v>42521</c:v>
                </c:pt>
                <c:pt idx="11">
                  <c:v>42531</c:v>
                </c:pt>
                <c:pt idx="12">
                  <c:v>42541</c:v>
                </c:pt>
                <c:pt idx="13">
                  <c:v>42551</c:v>
                </c:pt>
                <c:pt idx="14">
                  <c:v>42561</c:v>
                </c:pt>
                <c:pt idx="15">
                  <c:v>42571</c:v>
                </c:pt>
                <c:pt idx="16">
                  <c:v>42581</c:v>
                </c:pt>
                <c:pt idx="17">
                  <c:v>42592</c:v>
                </c:pt>
                <c:pt idx="18">
                  <c:v>42602</c:v>
                </c:pt>
                <c:pt idx="19">
                  <c:v>42612</c:v>
                </c:pt>
                <c:pt idx="20">
                  <c:v>42623</c:v>
                </c:pt>
                <c:pt idx="21">
                  <c:v>42633</c:v>
                </c:pt>
                <c:pt idx="22">
                  <c:v>42643</c:v>
                </c:pt>
                <c:pt idx="23">
                  <c:v>42653</c:v>
                </c:pt>
                <c:pt idx="24">
                  <c:v>42855</c:v>
                </c:pt>
                <c:pt idx="25">
                  <c:v>42865</c:v>
                </c:pt>
                <c:pt idx="26">
                  <c:v>42875</c:v>
                </c:pt>
                <c:pt idx="27">
                  <c:v>42885</c:v>
                </c:pt>
                <c:pt idx="28">
                  <c:v>42896</c:v>
                </c:pt>
                <c:pt idx="29">
                  <c:v>42906</c:v>
                </c:pt>
                <c:pt idx="30">
                  <c:v>42916</c:v>
                </c:pt>
                <c:pt idx="31">
                  <c:v>42926</c:v>
                </c:pt>
                <c:pt idx="32">
                  <c:v>42936</c:v>
                </c:pt>
                <c:pt idx="33">
                  <c:v>42946</c:v>
                </c:pt>
                <c:pt idx="34">
                  <c:v>42957</c:v>
                </c:pt>
                <c:pt idx="35">
                  <c:v>42967</c:v>
                </c:pt>
                <c:pt idx="36">
                  <c:v>42977</c:v>
                </c:pt>
                <c:pt idx="37">
                  <c:v>42988</c:v>
                </c:pt>
                <c:pt idx="38">
                  <c:v>42998</c:v>
                </c:pt>
                <c:pt idx="39">
                  <c:v>43008</c:v>
                </c:pt>
                <c:pt idx="40">
                  <c:v>43018</c:v>
                </c:pt>
                <c:pt idx="41">
                  <c:v>43230</c:v>
                </c:pt>
                <c:pt idx="42">
                  <c:v>43240</c:v>
                </c:pt>
                <c:pt idx="43">
                  <c:v>43250</c:v>
                </c:pt>
                <c:pt idx="44">
                  <c:v>43261</c:v>
                </c:pt>
                <c:pt idx="45">
                  <c:v>43271</c:v>
                </c:pt>
                <c:pt idx="46">
                  <c:v>43281</c:v>
                </c:pt>
                <c:pt idx="47">
                  <c:v>43291</c:v>
                </c:pt>
                <c:pt idx="48">
                  <c:v>43301</c:v>
                </c:pt>
                <c:pt idx="49">
                  <c:v>43311</c:v>
                </c:pt>
                <c:pt idx="50">
                  <c:v>43322</c:v>
                </c:pt>
                <c:pt idx="51">
                  <c:v>43332</c:v>
                </c:pt>
                <c:pt idx="52">
                  <c:v>43342</c:v>
                </c:pt>
                <c:pt idx="53">
                  <c:v>43353</c:v>
                </c:pt>
                <c:pt idx="54">
                  <c:v>43363</c:v>
                </c:pt>
                <c:pt idx="55">
                  <c:v>43373</c:v>
                </c:pt>
                <c:pt idx="56">
                  <c:v>43383</c:v>
                </c:pt>
                <c:pt idx="57">
                  <c:v>43393</c:v>
                </c:pt>
                <c:pt idx="58">
                  <c:v>43605</c:v>
                </c:pt>
                <c:pt idx="59">
                  <c:v>43615</c:v>
                </c:pt>
                <c:pt idx="60">
                  <c:v>43626</c:v>
                </c:pt>
                <c:pt idx="61">
                  <c:v>43636</c:v>
                </c:pt>
                <c:pt idx="62">
                  <c:v>43646</c:v>
                </c:pt>
                <c:pt idx="63">
                  <c:v>43656</c:v>
                </c:pt>
                <c:pt idx="64">
                  <c:v>43666</c:v>
                </c:pt>
                <c:pt idx="65">
                  <c:v>43676</c:v>
                </c:pt>
                <c:pt idx="66">
                  <c:v>43687</c:v>
                </c:pt>
                <c:pt idx="67">
                  <c:v>43697</c:v>
                </c:pt>
                <c:pt idx="68">
                  <c:v>43707</c:v>
                </c:pt>
              </c:numCache>
            </c:numRef>
          </c:xVal>
          <c:yVal>
            <c:numRef>
              <c:f>'P5-07'!$F$12:$F$320</c:f>
              <c:numCache>
                <c:formatCode>0.0</c:formatCode>
                <c:ptCount val="309"/>
                <c:pt idx="0">
                  <c:v>734.45283824696537</c:v>
                </c:pt>
                <c:pt idx="1">
                  <c:v>734.51904455984698</c:v>
                </c:pt>
                <c:pt idx="2">
                  <c:v>734.56831260344802</c:v>
                </c:pt>
                <c:pt idx="3">
                  <c:v>735.49202584106058</c:v>
                </c:pt>
                <c:pt idx="4">
                  <c:v>736.49366831125167</c:v>
                </c:pt>
                <c:pt idx="5">
                  <c:v>734.41775003645205</c:v>
                </c:pt>
                <c:pt idx="6">
                  <c:v>734.41061107822338</c:v>
                </c:pt>
                <c:pt idx="7">
                  <c:v>734.3678160079744</c:v>
                </c:pt>
                <c:pt idx="8">
                  <c:v>734.24377858510695</c:v>
                </c:pt>
                <c:pt idx="9">
                  <c:v>734.2889935349408</c:v>
                </c:pt>
                <c:pt idx="10">
                  <c:v>733.99613184555471</c:v>
                </c:pt>
                <c:pt idx="11">
                  <c:v>734.00567055222984</c:v>
                </c:pt>
                <c:pt idx="12">
                  <c:v>734.98587120049285</c:v>
                </c:pt>
                <c:pt idx="13">
                  <c:v>734.42582065331771</c:v>
                </c:pt>
                <c:pt idx="14">
                  <c:v>734.12963666295082</c:v>
                </c:pt>
                <c:pt idx="15">
                  <c:v>734.147147587208</c:v>
                </c:pt>
                <c:pt idx="16">
                  <c:v>734.18227731965965</c:v>
                </c:pt>
                <c:pt idx="17">
                  <c:v>734.19382810278159</c:v>
                </c:pt>
                <c:pt idx="18">
                  <c:v>734.101523831657</c:v>
                </c:pt>
                <c:pt idx="19">
                  <c:v>733.99513785213401</c:v>
                </c:pt>
                <c:pt idx="20">
                  <c:v>734.26157584062787</c:v>
                </c:pt>
                <c:pt idx="21">
                  <c:v>734.41673448848769</c:v>
                </c:pt>
                <c:pt idx="22">
                  <c:v>735.82949105587534</c:v>
                </c:pt>
                <c:pt idx="23">
                  <c:v>734.82676985372927</c:v>
                </c:pt>
                <c:pt idx="24">
                  <c:v>735.88980846329525</c:v>
                </c:pt>
                <c:pt idx="25">
                  <c:v>736.40271286463076</c:v>
                </c:pt>
                <c:pt idx="26">
                  <c:v>736.08112423739317</c:v>
                </c:pt>
                <c:pt idx="27">
                  <c:v>735.80163642034722</c:v>
                </c:pt>
                <c:pt idx="28">
                  <c:v>735.83363301672034</c:v>
                </c:pt>
                <c:pt idx="29">
                  <c:v>735.92536494276726</c:v>
                </c:pt>
                <c:pt idx="30">
                  <c:v>735.92799861666469</c:v>
                </c:pt>
                <c:pt idx="31">
                  <c:v>735.78984317533047</c:v>
                </c:pt>
                <c:pt idx="32">
                  <c:v>735.81288895592627</c:v>
                </c:pt>
                <c:pt idx="33">
                  <c:v>735.75183689081177</c:v>
                </c:pt>
                <c:pt idx="34">
                  <c:v>735.85287650150951</c:v>
                </c:pt>
                <c:pt idx="35">
                  <c:v>735.8981706210036</c:v>
                </c:pt>
                <c:pt idx="36">
                  <c:v>735.82005636647921</c:v>
                </c:pt>
                <c:pt idx="37">
                  <c:v>735.96443136209007</c:v>
                </c:pt>
                <c:pt idx="38">
                  <c:v>735.77424592696195</c:v>
                </c:pt>
                <c:pt idx="39">
                  <c:v>735.79018384219205</c:v>
                </c:pt>
                <c:pt idx="40">
                  <c:v>735.80916966027246</c:v>
                </c:pt>
                <c:pt idx="41">
                  <c:v>735.73661487097456</c:v>
                </c:pt>
                <c:pt idx="42">
                  <c:v>735.85965537180812</c:v>
                </c:pt>
                <c:pt idx="43">
                  <c:v>735.81030045811269</c:v>
                </c:pt>
                <c:pt idx="44">
                  <c:v>736.08886056508243</c:v>
                </c:pt>
                <c:pt idx="45">
                  <c:v>736.88039541150124</c:v>
                </c:pt>
                <c:pt idx="46">
                  <c:v>736.78931844729766</c:v>
                </c:pt>
                <c:pt idx="47">
                  <c:v>736.3620560212936</c:v>
                </c:pt>
                <c:pt idx="48">
                  <c:v>736.25946399339955</c:v>
                </c:pt>
                <c:pt idx="49">
                  <c:v>736.05753239746446</c:v>
                </c:pt>
                <c:pt idx="50">
                  <c:v>736.5631018735196</c:v>
                </c:pt>
                <c:pt idx="51">
                  <c:v>736.3378805495413</c:v>
                </c:pt>
                <c:pt idx="52">
                  <c:v>736.5972429504061</c:v>
                </c:pt>
                <c:pt idx="53">
                  <c:v>737.11749020090963</c:v>
                </c:pt>
                <c:pt idx="54">
                  <c:v>736.75559988664645</c:v>
                </c:pt>
                <c:pt idx="55">
                  <c:v>736.60279403869822</c:v>
                </c:pt>
                <c:pt idx="56">
                  <c:v>736.56978883253248</c:v>
                </c:pt>
                <c:pt idx="57">
                  <c:v>736.54844851679297</c:v>
                </c:pt>
                <c:pt idx="58">
                  <c:v>736.41010193635714</c:v>
                </c:pt>
                <c:pt idx="59">
                  <c:v>736.42368952472486</c:v>
                </c:pt>
                <c:pt idx="60">
                  <c:v>736.39808588652897</c:v>
                </c:pt>
                <c:pt idx="61">
                  <c:v>736.40192976690855</c:v>
                </c:pt>
                <c:pt idx="62">
                  <c:v>736.51715059825415</c:v>
                </c:pt>
                <c:pt idx="63">
                  <c:v>736.67223166876386</c:v>
                </c:pt>
                <c:pt idx="64">
                  <c:v>736.81546907398979</c:v>
                </c:pt>
                <c:pt idx="65">
                  <c:v>737.007144615882</c:v>
                </c:pt>
                <c:pt idx="66">
                  <c:v>737.10017803201856</c:v>
                </c:pt>
                <c:pt idx="67">
                  <c:v>737.17066187600631</c:v>
                </c:pt>
                <c:pt idx="68">
                  <c:v>737.26345365456302</c:v>
                </c:pt>
              </c:numCache>
            </c:numRef>
          </c:yVal>
          <c:smooth val="1"/>
        </c:ser>
        <c:ser>
          <c:idx val="2"/>
          <c:order val="1"/>
          <c:tx>
            <c:v>P5-8</c:v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'P5-08'!$A$10:$A$320</c:f>
              <c:numCache>
                <c:formatCode>m/d/yyyy</c:formatCode>
                <c:ptCount val="311"/>
                <c:pt idx="0">
                  <c:v>42261</c:v>
                </c:pt>
                <c:pt idx="1">
                  <c:v>42262</c:v>
                </c:pt>
                <c:pt idx="2">
                  <c:v>42263</c:v>
                </c:pt>
                <c:pt idx="3">
                  <c:v>42264</c:v>
                </c:pt>
                <c:pt idx="4">
                  <c:v>42265</c:v>
                </c:pt>
                <c:pt idx="5">
                  <c:v>42266</c:v>
                </c:pt>
                <c:pt idx="6">
                  <c:v>42273</c:v>
                </c:pt>
                <c:pt idx="7">
                  <c:v>42280</c:v>
                </c:pt>
                <c:pt idx="8">
                  <c:v>42287</c:v>
                </c:pt>
                <c:pt idx="9">
                  <c:v>42294</c:v>
                </c:pt>
                <c:pt idx="10">
                  <c:v>42297</c:v>
                </c:pt>
                <c:pt idx="11">
                  <c:v>42301</c:v>
                </c:pt>
                <c:pt idx="12">
                  <c:v>42521</c:v>
                </c:pt>
                <c:pt idx="13">
                  <c:v>42531</c:v>
                </c:pt>
                <c:pt idx="14">
                  <c:v>42541</c:v>
                </c:pt>
                <c:pt idx="15">
                  <c:v>42551</c:v>
                </c:pt>
                <c:pt idx="16">
                  <c:v>42561</c:v>
                </c:pt>
                <c:pt idx="17">
                  <c:v>42571</c:v>
                </c:pt>
                <c:pt idx="18">
                  <c:v>42581</c:v>
                </c:pt>
                <c:pt idx="19">
                  <c:v>42592</c:v>
                </c:pt>
                <c:pt idx="20">
                  <c:v>42602</c:v>
                </c:pt>
                <c:pt idx="21">
                  <c:v>42612</c:v>
                </c:pt>
                <c:pt idx="22">
                  <c:v>42623</c:v>
                </c:pt>
                <c:pt idx="23">
                  <c:v>42633</c:v>
                </c:pt>
                <c:pt idx="24">
                  <c:v>42643</c:v>
                </c:pt>
                <c:pt idx="25">
                  <c:v>42653</c:v>
                </c:pt>
                <c:pt idx="26">
                  <c:v>42855</c:v>
                </c:pt>
                <c:pt idx="27">
                  <c:v>42865</c:v>
                </c:pt>
                <c:pt idx="28">
                  <c:v>42875</c:v>
                </c:pt>
                <c:pt idx="29">
                  <c:v>42885</c:v>
                </c:pt>
                <c:pt idx="30">
                  <c:v>42896</c:v>
                </c:pt>
                <c:pt idx="31">
                  <c:v>42906</c:v>
                </c:pt>
                <c:pt idx="32">
                  <c:v>42916</c:v>
                </c:pt>
                <c:pt idx="33">
                  <c:v>42926</c:v>
                </c:pt>
                <c:pt idx="34">
                  <c:v>42936</c:v>
                </c:pt>
                <c:pt idx="35">
                  <c:v>42946</c:v>
                </c:pt>
                <c:pt idx="36">
                  <c:v>42957</c:v>
                </c:pt>
                <c:pt idx="37">
                  <c:v>42967</c:v>
                </c:pt>
                <c:pt idx="38">
                  <c:v>42977</c:v>
                </c:pt>
                <c:pt idx="39">
                  <c:v>42988</c:v>
                </c:pt>
                <c:pt idx="40">
                  <c:v>42998</c:v>
                </c:pt>
                <c:pt idx="41">
                  <c:v>43008</c:v>
                </c:pt>
                <c:pt idx="42">
                  <c:v>43018</c:v>
                </c:pt>
                <c:pt idx="43">
                  <c:v>43230</c:v>
                </c:pt>
                <c:pt idx="44">
                  <c:v>43240</c:v>
                </c:pt>
                <c:pt idx="45">
                  <c:v>43250</c:v>
                </c:pt>
                <c:pt idx="46">
                  <c:v>43261</c:v>
                </c:pt>
                <c:pt idx="47">
                  <c:v>43271</c:v>
                </c:pt>
                <c:pt idx="48">
                  <c:v>43281</c:v>
                </c:pt>
                <c:pt idx="49">
                  <c:v>43291</c:v>
                </c:pt>
                <c:pt idx="50">
                  <c:v>43301</c:v>
                </c:pt>
                <c:pt idx="51">
                  <c:v>43311</c:v>
                </c:pt>
                <c:pt idx="52">
                  <c:v>43322</c:v>
                </c:pt>
                <c:pt idx="53">
                  <c:v>43332</c:v>
                </c:pt>
                <c:pt idx="54">
                  <c:v>43342</c:v>
                </c:pt>
                <c:pt idx="55">
                  <c:v>43353</c:v>
                </c:pt>
                <c:pt idx="56">
                  <c:v>43363</c:v>
                </c:pt>
                <c:pt idx="57">
                  <c:v>43373</c:v>
                </c:pt>
                <c:pt idx="58">
                  <c:v>43383</c:v>
                </c:pt>
                <c:pt idx="59">
                  <c:v>43393</c:v>
                </c:pt>
                <c:pt idx="60">
                  <c:v>43605</c:v>
                </c:pt>
                <c:pt idx="61">
                  <c:v>43615</c:v>
                </c:pt>
                <c:pt idx="62">
                  <c:v>43626</c:v>
                </c:pt>
                <c:pt idx="63">
                  <c:v>43636</c:v>
                </c:pt>
                <c:pt idx="64">
                  <c:v>43646</c:v>
                </c:pt>
                <c:pt idx="65">
                  <c:v>43656</c:v>
                </c:pt>
                <c:pt idx="66">
                  <c:v>43666</c:v>
                </c:pt>
                <c:pt idx="67">
                  <c:v>43676</c:v>
                </c:pt>
                <c:pt idx="68">
                  <c:v>43687</c:v>
                </c:pt>
                <c:pt idx="69">
                  <c:v>43697</c:v>
                </c:pt>
                <c:pt idx="70">
                  <c:v>43707</c:v>
                </c:pt>
              </c:numCache>
            </c:numRef>
          </c:xVal>
          <c:yVal>
            <c:numRef>
              <c:f>'P5-08'!$F$10:$F$320</c:f>
              <c:numCache>
                <c:formatCode>0.0</c:formatCode>
                <c:ptCount val="311"/>
                <c:pt idx="0">
                  <c:v>734.6086572365366</c:v>
                </c:pt>
                <c:pt idx="1">
                  <c:v>734.604081523182</c:v>
                </c:pt>
                <c:pt idx="2">
                  <c:v>734.49587663530815</c:v>
                </c:pt>
                <c:pt idx="3">
                  <c:v>734.56548269463826</c:v>
                </c:pt>
                <c:pt idx="4">
                  <c:v>736.05515054892237</c:v>
                </c:pt>
                <c:pt idx="5">
                  <c:v>734.66936436216849</c:v>
                </c:pt>
                <c:pt idx="6">
                  <c:v>734.66320405617546</c:v>
                </c:pt>
                <c:pt idx="7">
                  <c:v>734.56911321234031</c:v>
                </c:pt>
                <c:pt idx="8">
                  <c:v>734.90634056210342</c:v>
                </c:pt>
                <c:pt idx="9">
                  <c:v>734.77544961289607</c:v>
                </c:pt>
                <c:pt idx="10">
                  <c:v>734.59290881463619</c:v>
                </c:pt>
                <c:pt idx="11">
                  <c:v>734.67298431993561</c:v>
                </c:pt>
                <c:pt idx="12">
                  <c:v>734.29832836571325</c:v>
                </c:pt>
                <c:pt idx="13">
                  <c:v>734.16872340559087</c:v>
                </c:pt>
                <c:pt idx="14">
                  <c:v>735.55076658850555</c:v>
                </c:pt>
                <c:pt idx="15">
                  <c:v>734.48605196070059</c:v>
                </c:pt>
                <c:pt idx="16">
                  <c:v>734.44614329890783</c:v>
                </c:pt>
                <c:pt idx="17">
                  <c:v>734.35111949548127</c:v>
                </c:pt>
                <c:pt idx="18">
                  <c:v>734.4949000180668</c:v>
                </c:pt>
                <c:pt idx="19">
                  <c:v>734.53146423747421</c:v>
                </c:pt>
                <c:pt idx="20">
                  <c:v>734.45800026834161</c:v>
                </c:pt>
                <c:pt idx="21">
                  <c:v>734.31014729324511</c:v>
                </c:pt>
                <c:pt idx="22">
                  <c:v>734.78727519078359</c:v>
                </c:pt>
                <c:pt idx="23">
                  <c:v>735.08942517432354</c:v>
                </c:pt>
                <c:pt idx="24">
                  <c:v>736.76626400221232</c:v>
                </c:pt>
                <c:pt idx="25">
                  <c:v>735.90660562094342</c:v>
                </c:pt>
                <c:pt idx="26">
                  <c:v>736.47248290391235</c:v>
                </c:pt>
                <c:pt idx="27">
                  <c:v>737.03050502326164</c:v>
                </c:pt>
                <c:pt idx="28">
                  <c:v>736.47391240223192</c:v>
                </c:pt>
                <c:pt idx="29">
                  <c:v>736.17342086003612</c:v>
                </c:pt>
                <c:pt idx="30">
                  <c:v>736.21034250954517</c:v>
                </c:pt>
                <c:pt idx="31">
                  <c:v>736.34877581378566</c:v>
                </c:pt>
                <c:pt idx="32">
                  <c:v>736.29049899164943</c:v>
                </c:pt>
                <c:pt idx="33">
                  <c:v>736.12233883046815</c:v>
                </c:pt>
                <c:pt idx="34">
                  <c:v>736.16694909174703</c:v>
                </c:pt>
                <c:pt idx="35">
                  <c:v>736.05918179872117</c:v>
                </c:pt>
                <c:pt idx="36">
                  <c:v>736.14526168977113</c:v>
                </c:pt>
                <c:pt idx="37">
                  <c:v>736.20895574285976</c:v>
                </c:pt>
                <c:pt idx="38">
                  <c:v>736.14543434337793</c:v>
                </c:pt>
                <c:pt idx="39">
                  <c:v>736.27018150987567</c:v>
                </c:pt>
                <c:pt idx="40">
                  <c:v>736.09311987762646</c:v>
                </c:pt>
                <c:pt idx="41">
                  <c:v>736.09941808431472</c:v>
                </c:pt>
                <c:pt idx="42">
                  <c:v>736.13738211596433</c:v>
                </c:pt>
                <c:pt idx="43">
                  <c:v>736.0462625918716</c:v>
                </c:pt>
                <c:pt idx="44">
                  <c:v>736.1286538819113</c:v>
                </c:pt>
                <c:pt idx="45">
                  <c:v>736.14350353360635</c:v>
                </c:pt>
                <c:pt idx="46">
                  <c:v>736.53771428920822</c:v>
                </c:pt>
                <c:pt idx="47">
                  <c:v>737.47392181600594</c:v>
                </c:pt>
                <c:pt idx="48">
                  <c:v>737.3236102799018</c:v>
                </c:pt>
                <c:pt idx="49">
                  <c:v>736.83675830992092</c:v>
                </c:pt>
                <c:pt idx="50">
                  <c:v>736.59073177863809</c:v>
                </c:pt>
                <c:pt idx="51">
                  <c:v>736.54471574976833</c:v>
                </c:pt>
                <c:pt idx="52">
                  <c:v>736.82975302478008</c:v>
                </c:pt>
                <c:pt idx="53">
                  <c:v>736.6028314122176</c:v>
                </c:pt>
                <c:pt idx="54">
                  <c:v>736.9483155296806</c:v>
                </c:pt>
                <c:pt idx="55">
                  <c:v>737.73658815165697</c:v>
                </c:pt>
                <c:pt idx="56">
                  <c:v>737.02103023491111</c:v>
                </c:pt>
                <c:pt idx="57">
                  <c:v>736.89075683415911</c:v>
                </c:pt>
                <c:pt idx="58">
                  <c:v>736.86186904857323</c:v>
                </c:pt>
                <c:pt idx="59">
                  <c:v>736.81670607233139</c:v>
                </c:pt>
                <c:pt idx="60">
                  <c:v>736.44764011784969</c:v>
                </c:pt>
                <c:pt idx="61">
                  <c:v>736.44360754225227</c:v>
                </c:pt>
                <c:pt idx="62">
                  <c:v>736.43170498913707</c:v>
                </c:pt>
                <c:pt idx="63">
                  <c:v>736.43921339994404</c:v>
                </c:pt>
                <c:pt idx="64">
                  <c:v>736.47998993438512</c:v>
                </c:pt>
                <c:pt idx="65">
                  <c:v>736.64908383125567</c:v>
                </c:pt>
                <c:pt idx="66">
                  <c:v>736.79321114220181</c:v>
                </c:pt>
                <c:pt idx="67">
                  <c:v>736.81320306060184</c:v>
                </c:pt>
                <c:pt idx="68">
                  <c:v>736.91582072583992</c:v>
                </c:pt>
                <c:pt idx="69">
                  <c:v>737.26979443025039</c:v>
                </c:pt>
                <c:pt idx="70">
                  <c:v>737.6369243958859</c:v>
                </c:pt>
              </c:numCache>
            </c:numRef>
          </c:yVal>
          <c:smooth val="1"/>
        </c:ser>
        <c:ser>
          <c:idx val="3"/>
          <c:order val="2"/>
          <c:tx>
            <c:v>P5-9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'P5-09'!$A$10:$A$320</c:f>
              <c:numCache>
                <c:formatCode>m/d/yyyy</c:formatCode>
                <c:ptCount val="311"/>
                <c:pt idx="0">
                  <c:v>42261</c:v>
                </c:pt>
                <c:pt idx="1">
                  <c:v>42262</c:v>
                </c:pt>
                <c:pt idx="2">
                  <c:v>42263</c:v>
                </c:pt>
                <c:pt idx="3">
                  <c:v>42264</c:v>
                </c:pt>
                <c:pt idx="4">
                  <c:v>42265</c:v>
                </c:pt>
                <c:pt idx="5">
                  <c:v>42266</c:v>
                </c:pt>
                <c:pt idx="6">
                  <c:v>42273</c:v>
                </c:pt>
                <c:pt idx="7">
                  <c:v>42280</c:v>
                </c:pt>
                <c:pt idx="8">
                  <c:v>42287</c:v>
                </c:pt>
                <c:pt idx="9">
                  <c:v>42294</c:v>
                </c:pt>
                <c:pt idx="10">
                  <c:v>42297</c:v>
                </c:pt>
                <c:pt idx="11">
                  <c:v>42301</c:v>
                </c:pt>
                <c:pt idx="12">
                  <c:v>42521</c:v>
                </c:pt>
                <c:pt idx="13">
                  <c:v>42531</c:v>
                </c:pt>
                <c:pt idx="14">
                  <c:v>42544</c:v>
                </c:pt>
                <c:pt idx="15">
                  <c:v>42551</c:v>
                </c:pt>
                <c:pt idx="16">
                  <c:v>42561</c:v>
                </c:pt>
                <c:pt idx="17">
                  <c:v>42571</c:v>
                </c:pt>
                <c:pt idx="18">
                  <c:v>42581</c:v>
                </c:pt>
                <c:pt idx="19">
                  <c:v>42592</c:v>
                </c:pt>
                <c:pt idx="20">
                  <c:v>42602</c:v>
                </c:pt>
                <c:pt idx="21">
                  <c:v>42612</c:v>
                </c:pt>
                <c:pt idx="22">
                  <c:v>42623</c:v>
                </c:pt>
                <c:pt idx="23">
                  <c:v>42633</c:v>
                </c:pt>
                <c:pt idx="24">
                  <c:v>42643</c:v>
                </c:pt>
                <c:pt idx="25">
                  <c:v>42653</c:v>
                </c:pt>
                <c:pt idx="26">
                  <c:v>42855</c:v>
                </c:pt>
                <c:pt idx="27">
                  <c:v>42865</c:v>
                </c:pt>
                <c:pt idx="28">
                  <c:v>42875</c:v>
                </c:pt>
                <c:pt idx="29">
                  <c:v>42885</c:v>
                </c:pt>
                <c:pt idx="30">
                  <c:v>42896</c:v>
                </c:pt>
                <c:pt idx="31">
                  <c:v>42906</c:v>
                </c:pt>
                <c:pt idx="32">
                  <c:v>42916</c:v>
                </c:pt>
                <c:pt idx="33">
                  <c:v>42926</c:v>
                </c:pt>
                <c:pt idx="34">
                  <c:v>42936</c:v>
                </c:pt>
                <c:pt idx="35">
                  <c:v>42946</c:v>
                </c:pt>
                <c:pt idx="36">
                  <c:v>42957</c:v>
                </c:pt>
                <c:pt idx="37">
                  <c:v>42967</c:v>
                </c:pt>
                <c:pt idx="38">
                  <c:v>42977</c:v>
                </c:pt>
                <c:pt idx="39">
                  <c:v>42988</c:v>
                </c:pt>
                <c:pt idx="40">
                  <c:v>42998</c:v>
                </c:pt>
                <c:pt idx="41">
                  <c:v>43008</c:v>
                </c:pt>
                <c:pt idx="42">
                  <c:v>43018</c:v>
                </c:pt>
                <c:pt idx="43">
                  <c:v>43230</c:v>
                </c:pt>
                <c:pt idx="44">
                  <c:v>43240</c:v>
                </c:pt>
                <c:pt idx="45">
                  <c:v>43250</c:v>
                </c:pt>
                <c:pt idx="46">
                  <c:v>43261</c:v>
                </c:pt>
                <c:pt idx="47">
                  <c:v>43271</c:v>
                </c:pt>
                <c:pt idx="48">
                  <c:v>43281</c:v>
                </c:pt>
                <c:pt idx="49">
                  <c:v>43291</c:v>
                </c:pt>
                <c:pt idx="50">
                  <c:v>43301</c:v>
                </c:pt>
                <c:pt idx="51">
                  <c:v>43311</c:v>
                </c:pt>
                <c:pt idx="52">
                  <c:v>43322</c:v>
                </c:pt>
                <c:pt idx="53">
                  <c:v>43332</c:v>
                </c:pt>
                <c:pt idx="54">
                  <c:v>43342</c:v>
                </c:pt>
                <c:pt idx="55">
                  <c:v>43353</c:v>
                </c:pt>
                <c:pt idx="56">
                  <c:v>43363</c:v>
                </c:pt>
                <c:pt idx="57">
                  <c:v>43373</c:v>
                </c:pt>
                <c:pt idx="58">
                  <c:v>43383</c:v>
                </c:pt>
                <c:pt idx="59">
                  <c:v>43393</c:v>
                </c:pt>
                <c:pt idx="60">
                  <c:v>43605</c:v>
                </c:pt>
                <c:pt idx="61">
                  <c:v>43615</c:v>
                </c:pt>
                <c:pt idx="62">
                  <c:v>43626</c:v>
                </c:pt>
                <c:pt idx="63">
                  <c:v>43636</c:v>
                </c:pt>
                <c:pt idx="64">
                  <c:v>43646</c:v>
                </c:pt>
                <c:pt idx="65">
                  <c:v>43656</c:v>
                </c:pt>
                <c:pt idx="66">
                  <c:v>43666</c:v>
                </c:pt>
                <c:pt idx="67">
                  <c:v>43676</c:v>
                </c:pt>
                <c:pt idx="68">
                  <c:v>43687</c:v>
                </c:pt>
                <c:pt idx="69">
                  <c:v>43697</c:v>
                </c:pt>
                <c:pt idx="70">
                  <c:v>43707</c:v>
                </c:pt>
              </c:numCache>
            </c:numRef>
          </c:xVal>
          <c:yVal>
            <c:numRef>
              <c:f>'P5-09'!$F$10:$F$320</c:f>
              <c:numCache>
                <c:formatCode>0.0</c:formatCode>
                <c:ptCount val="311"/>
                <c:pt idx="0">
                  <c:v>734.01138317800212</c:v>
                </c:pt>
                <c:pt idx="1">
                  <c:v>733.90526585114844</c:v>
                </c:pt>
                <c:pt idx="2">
                  <c:v>733.93386549580248</c:v>
                </c:pt>
                <c:pt idx="3">
                  <c:v>733.98319340174078</c:v>
                </c:pt>
                <c:pt idx="4">
                  <c:v>735.30595038485296</c:v>
                </c:pt>
                <c:pt idx="5">
                  <c:v>734.02176142814233</c:v>
                </c:pt>
                <c:pt idx="6">
                  <c:v>733.81448032973287</c:v>
                </c:pt>
                <c:pt idx="7">
                  <c:v>733.83881493130787</c:v>
                </c:pt>
                <c:pt idx="8">
                  <c:v>733.95321444220895</c:v>
                </c:pt>
                <c:pt idx="9">
                  <c:v>734.09253739892767</c:v>
                </c:pt>
                <c:pt idx="10">
                  <c:v>733.90516986566627</c:v>
                </c:pt>
                <c:pt idx="11">
                  <c:v>733.96490196292223</c:v>
                </c:pt>
                <c:pt idx="12">
                  <c:v>733.47920442975555</c:v>
                </c:pt>
                <c:pt idx="13">
                  <c:v>733.32260559221356</c:v>
                </c:pt>
                <c:pt idx="14">
                  <c:v>734.71727666041818</c:v>
                </c:pt>
                <c:pt idx="15">
                  <c:v>733.62865330770705</c:v>
                </c:pt>
                <c:pt idx="16">
                  <c:v>733.5946315642301</c:v>
                </c:pt>
                <c:pt idx="17">
                  <c:v>733.49292846813273</c:v>
                </c:pt>
                <c:pt idx="18">
                  <c:v>733.60763272841643</c:v>
                </c:pt>
                <c:pt idx="19">
                  <c:v>733.63096360107488</c:v>
                </c:pt>
                <c:pt idx="20">
                  <c:v>733.56754478178743</c:v>
                </c:pt>
                <c:pt idx="21">
                  <c:v>733.43059564164423</c:v>
                </c:pt>
                <c:pt idx="22">
                  <c:v>733.91245193473515</c:v>
                </c:pt>
                <c:pt idx="23">
                  <c:v>734.21156372673386</c:v>
                </c:pt>
                <c:pt idx="24">
                  <c:v>735.93402632409413</c:v>
                </c:pt>
                <c:pt idx="25">
                  <c:v>734.98040310585293</c:v>
                </c:pt>
                <c:pt idx="26">
                  <c:v>735.54824201963709</c:v>
                </c:pt>
                <c:pt idx="27">
                  <c:v>736.15465052791797</c:v>
                </c:pt>
                <c:pt idx="28">
                  <c:v>735.57229788831046</c:v>
                </c:pt>
                <c:pt idx="29">
                  <c:v>735.27115505282859</c:v>
                </c:pt>
                <c:pt idx="30">
                  <c:v>735.31890252463961</c:v>
                </c:pt>
                <c:pt idx="31">
                  <c:v>735.42935025845895</c:v>
                </c:pt>
                <c:pt idx="32">
                  <c:v>735.36744652645541</c:v>
                </c:pt>
                <c:pt idx="33">
                  <c:v>735.22622894027211</c:v>
                </c:pt>
                <c:pt idx="34">
                  <c:v>735.22911917566648</c:v>
                </c:pt>
                <c:pt idx="35">
                  <c:v>735.14894032721566</c:v>
                </c:pt>
                <c:pt idx="36">
                  <c:v>735.23323831940445</c:v>
                </c:pt>
                <c:pt idx="37">
                  <c:v>735.33833805545896</c:v>
                </c:pt>
                <c:pt idx="38">
                  <c:v>735.21453060863701</c:v>
                </c:pt>
                <c:pt idx="39">
                  <c:v>735.37488856545895</c:v>
                </c:pt>
                <c:pt idx="40">
                  <c:v>735.18794846296134</c:v>
                </c:pt>
                <c:pt idx="41">
                  <c:v>735.17588628580427</c:v>
                </c:pt>
                <c:pt idx="42">
                  <c:v>735.21409813608909</c:v>
                </c:pt>
                <c:pt idx="43">
                  <c:v>735.17226854288094</c:v>
                </c:pt>
                <c:pt idx="44">
                  <c:v>735.3206327918582</c:v>
                </c:pt>
                <c:pt idx="45">
                  <c:v>735.19632408379789</c:v>
                </c:pt>
                <c:pt idx="46">
                  <c:v>735.62582652693436</c:v>
                </c:pt>
                <c:pt idx="47">
                  <c:v>736.51258424090952</c:v>
                </c:pt>
                <c:pt idx="48">
                  <c:v>736.36348884761605</c:v>
                </c:pt>
                <c:pt idx="49">
                  <c:v>735.87128069695405</c:v>
                </c:pt>
                <c:pt idx="50">
                  <c:v>735.65782531901311</c:v>
                </c:pt>
                <c:pt idx="51">
                  <c:v>735.61087400936765</c:v>
                </c:pt>
                <c:pt idx="52">
                  <c:v>735.88998830641913</c:v>
                </c:pt>
                <c:pt idx="53">
                  <c:v>735.66237714166414</c:v>
                </c:pt>
                <c:pt idx="54">
                  <c:v>735.86260904820347</c:v>
                </c:pt>
                <c:pt idx="55">
                  <c:v>736.93428500970299</c:v>
                </c:pt>
                <c:pt idx="56">
                  <c:v>736.0677582317071</c:v>
                </c:pt>
                <c:pt idx="57">
                  <c:v>735.86918708510711</c:v>
                </c:pt>
                <c:pt idx="58">
                  <c:v>735.80771532632878</c:v>
                </c:pt>
                <c:pt idx="59">
                  <c:v>735.74747276894664</c:v>
                </c:pt>
                <c:pt idx="60">
                  <c:v>735.20702013454866</c:v>
                </c:pt>
                <c:pt idx="61">
                  <c:v>735.2427741517705</c:v>
                </c:pt>
                <c:pt idx="62">
                  <c:v>735.17754767007557</c:v>
                </c:pt>
                <c:pt idx="63">
                  <c:v>735.18671958179993</c:v>
                </c:pt>
                <c:pt idx="64">
                  <c:v>735.40024180464764</c:v>
                </c:pt>
                <c:pt idx="65">
                  <c:v>735.64778902573414</c:v>
                </c:pt>
                <c:pt idx="66">
                  <c:v>735.80814757094663</c:v>
                </c:pt>
                <c:pt idx="67">
                  <c:v>736.14165728701118</c:v>
                </c:pt>
                <c:pt idx="68">
                  <c:v>736.32108958260085</c:v>
                </c:pt>
                <c:pt idx="69">
                  <c:v>736.53750550625421</c:v>
                </c:pt>
                <c:pt idx="70">
                  <c:v>736.63054499151212</c:v>
                </c:pt>
              </c:numCache>
            </c:numRef>
          </c:yVal>
          <c:smooth val="1"/>
        </c:ser>
        <c:ser>
          <c:idx val="0"/>
          <c:order val="3"/>
          <c:tx>
            <c:v>P5-10</c:v>
          </c:tx>
          <c:spPr>
            <a:ln w="15875">
              <a:solidFill>
                <a:schemeClr val="tx1"/>
              </a:solidFill>
              <a:prstDash val="dashDot"/>
            </a:ln>
          </c:spPr>
          <c:marker>
            <c:symbol val="none"/>
          </c:marker>
          <c:xVal>
            <c:numRef>
              <c:f>'P5-10'!$A$13:$A$46</c:f>
              <c:numCache>
                <c:formatCode>m/d/yyyy</c:formatCode>
                <c:ptCount val="34"/>
                <c:pt idx="0">
                  <c:v>42529</c:v>
                </c:pt>
                <c:pt idx="1">
                  <c:v>42530</c:v>
                </c:pt>
                <c:pt idx="2">
                  <c:v>42531</c:v>
                </c:pt>
                <c:pt idx="3">
                  <c:v>42541</c:v>
                </c:pt>
                <c:pt idx="4">
                  <c:v>42551</c:v>
                </c:pt>
                <c:pt idx="5">
                  <c:v>42561</c:v>
                </c:pt>
                <c:pt idx="6">
                  <c:v>42571</c:v>
                </c:pt>
                <c:pt idx="7">
                  <c:v>42581</c:v>
                </c:pt>
                <c:pt idx="8">
                  <c:v>42592</c:v>
                </c:pt>
                <c:pt idx="9">
                  <c:v>42602</c:v>
                </c:pt>
                <c:pt idx="10">
                  <c:v>42612</c:v>
                </c:pt>
                <c:pt idx="11">
                  <c:v>42623</c:v>
                </c:pt>
                <c:pt idx="12">
                  <c:v>42633</c:v>
                </c:pt>
                <c:pt idx="13">
                  <c:v>42643</c:v>
                </c:pt>
                <c:pt idx="14">
                  <c:v>42653</c:v>
                </c:pt>
                <c:pt idx="15">
                  <c:v>42855</c:v>
                </c:pt>
                <c:pt idx="16">
                  <c:v>42865</c:v>
                </c:pt>
                <c:pt idx="17">
                  <c:v>42875</c:v>
                </c:pt>
                <c:pt idx="18">
                  <c:v>42885</c:v>
                </c:pt>
                <c:pt idx="19">
                  <c:v>42896</c:v>
                </c:pt>
                <c:pt idx="20">
                  <c:v>42906</c:v>
                </c:pt>
                <c:pt idx="21">
                  <c:v>42916</c:v>
                </c:pt>
                <c:pt idx="22">
                  <c:v>42926</c:v>
                </c:pt>
                <c:pt idx="23">
                  <c:v>42936</c:v>
                </c:pt>
                <c:pt idx="24">
                  <c:v>42946</c:v>
                </c:pt>
                <c:pt idx="25">
                  <c:v>42957</c:v>
                </c:pt>
                <c:pt idx="26">
                  <c:v>42967</c:v>
                </c:pt>
                <c:pt idx="27">
                  <c:v>42977</c:v>
                </c:pt>
                <c:pt idx="28">
                  <c:v>42988</c:v>
                </c:pt>
                <c:pt idx="29">
                  <c:v>42998</c:v>
                </c:pt>
                <c:pt idx="30">
                  <c:v>43008</c:v>
                </c:pt>
                <c:pt idx="31">
                  <c:v>43018</c:v>
                </c:pt>
                <c:pt idx="32">
                  <c:v>43230</c:v>
                </c:pt>
                <c:pt idx="33">
                  <c:v>43240</c:v>
                </c:pt>
              </c:numCache>
            </c:numRef>
          </c:xVal>
          <c:yVal>
            <c:numRef>
              <c:f>'P5-10'!$F$13:$F$46</c:f>
              <c:numCache>
                <c:formatCode>0.0</c:formatCode>
                <c:ptCount val="34"/>
                <c:pt idx="0">
                  <c:v>735.85303350761581</c:v>
                </c:pt>
                <c:pt idx="1">
                  <c:v>735.92071547556191</c:v>
                </c:pt>
                <c:pt idx="2">
                  <c:v>735.52476549242454</c:v>
                </c:pt>
                <c:pt idx="3">
                  <c:v>736.82559773302376</c:v>
                </c:pt>
                <c:pt idx="4">
                  <c:v>735.79021118781986</c:v>
                </c:pt>
                <c:pt idx="5">
                  <c:v>735.72969870318775</c:v>
                </c:pt>
                <c:pt idx="6">
                  <c:v>735.64590552168022</c:v>
                </c:pt>
                <c:pt idx="7">
                  <c:v>735.75093751378154</c:v>
                </c:pt>
                <c:pt idx="8">
                  <c:v>735.74236741425761</c:v>
                </c:pt>
                <c:pt idx="9">
                  <c:v>735.66446280327921</c:v>
                </c:pt>
                <c:pt idx="10">
                  <c:v>735.52733241502347</c:v>
                </c:pt>
                <c:pt idx="11">
                  <c:v>735.99376182180379</c:v>
                </c:pt>
                <c:pt idx="12">
                  <c:v>736.26740943445816</c:v>
                </c:pt>
                <c:pt idx="13">
                  <c:v>738.21363709738296</c:v>
                </c:pt>
                <c:pt idx="14">
                  <c:v>737.2169471270538</c:v>
                </c:pt>
                <c:pt idx="15">
                  <c:v>737.77440602174602</c:v>
                </c:pt>
                <c:pt idx="16">
                  <c:v>738.39931169911563</c:v>
                </c:pt>
                <c:pt idx="17">
                  <c:v>737.77069812648824</c:v>
                </c:pt>
                <c:pt idx="18">
                  <c:v>737.47373882573106</c:v>
                </c:pt>
                <c:pt idx="19">
                  <c:v>737.5068785271086</c:v>
                </c:pt>
                <c:pt idx="20">
                  <c:v>737.64442243199505</c:v>
                </c:pt>
                <c:pt idx="21">
                  <c:v>737.58851235817565</c:v>
                </c:pt>
                <c:pt idx="22">
                  <c:v>737.41745146530866</c:v>
                </c:pt>
                <c:pt idx="23">
                  <c:v>737.41527856285711</c:v>
                </c:pt>
                <c:pt idx="24">
                  <c:v>737.3630770544363</c:v>
                </c:pt>
                <c:pt idx="25">
                  <c:v>737.44688334319767</c:v>
                </c:pt>
                <c:pt idx="26">
                  <c:v>737.48462983030595</c:v>
                </c:pt>
                <c:pt idx="27">
                  <c:v>737.51571347893321</c:v>
                </c:pt>
                <c:pt idx="28">
                  <c:v>737.72860621701045</c:v>
                </c:pt>
                <c:pt idx="29">
                  <c:v>737.42538848069603</c:v>
                </c:pt>
                <c:pt idx="30">
                  <c:v>737.35438558463329</c:v>
                </c:pt>
                <c:pt idx="31">
                  <c:v>737.39430469772242</c:v>
                </c:pt>
                <c:pt idx="32">
                  <c:v>737.35232971042228</c:v>
                </c:pt>
                <c:pt idx="33">
                  <c:v>737.52811316589487</c:v>
                </c:pt>
              </c:numCache>
            </c:numRef>
          </c:yVal>
          <c:smooth val="1"/>
        </c:ser>
        <c:ser>
          <c:idx val="4"/>
          <c:order val="4"/>
          <c:tx>
            <c:v>P5-11</c:v>
          </c:tx>
          <c:spPr>
            <a:ln w="15875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'P5-11'!$A$13:$A$47</c:f>
              <c:numCache>
                <c:formatCode>m/d/yyyy</c:formatCode>
                <c:ptCount val="35"/>
                <c:pt idx="0">
                  <c:v>42529</c:v>
                </c:pt>
                <c:pt idx="1">
                  <c:v>42530</c:v>
                </c:pt>
                <c:pt idx="2">
                  <c:v>42531</c:v>
                </c:pt>
                <c:pt idx="3">
                  <c:v>42541</c:v>
                </c:pt>
                <c:pt idx="4">
                  <c:v>42551</c:v>
                </c:pt>
                <c:pt idx="5">
                  <c:v>42561</c:v>
                </c:pt>
                <c:pt idx="6">
                  <c:v>42571</c:v>
                </c:pt>
                <c:pt idx="7">
                  <c:v>42581</c:v>
                </c:pt>
                <c:pt idx="8">
                  <c:v>42592</c:v>
                </c:pt>
                <c:pt idx="9">
                  <c:v>42602</c:v>
                </c:pt>
                <c:pt idx="10">
                  <c:v>42612</c:v>
                </c:pt>
                <c:pt idx="11">
                  <c:v>42623</c:v>
                </c:pt>
                <c:pt idx="12">
                  <c:v>42633</c:v>
                </c:pt>
                <c:pt idx="13">
                  <c:v>42643</c:v>
                </c:pt>
                <c:pt idx="14">
                  <c:v>42653</c:v>
                </c:pt>
                <c:pt idx="15">
                  <c:v>42855</c:v>
                </c:pt>
                <c:pt idx="16">
                  <c:v>42865</c:v>
                </c:pt>
                <c:pt idx="17">
                  <c:v>42875</c:v>
                </c:pt>
                <c:pt idx="18">
                  <c:v>42885</c:v>
                </c:pt>
                <c:pt idx="19">
                  <c:v>42896</c:v>
                </c:pt>
                <c:pt idx="20">
                  <c:v>42906</c:v>
                </c:pt>
                <c:pt idx="21">
                  <c:v>42916</c:v>
                </c:pt>
                <c:pt idx="22">
                  <c:v>42926</c:v>
                </c:pt>
                <c:pt idx="23">
                  <c:v>42936</c:v>
                </c:pt>
                <c:pt idx="24">
                  <c:v>42946</c:v>
                </c:pt>
                <c:pt idx="25">
                  <c:v>42957</c:v>
                </c:pt>
                <c:pt idx="26">
                  <c:v>42967</c:v>
                </c:pt>
                <c:pt idx="27">
                  <c:v>42977</c:v>
                </c:pt>
                <c:pt idx="28">
                  <c:v>42988</c:v>
                </c:pt>
                <c:pt idx="29">
                  <c:v>42998</c:v>
                </c:pt>
                <c:pt idx="30">
                  <c:v>43008</c:v>
                </c:pt>
                <c:pt idx="31">
                  <c:v>43018</c:v>
                </c:pt>
                <c:pt idx="32">
                  <c:v>43230</c:v>
                </c:pt>
                <c:pt idx="33">
                  <c:v>43240</c:v>
                </c:pt>
                <c:pt idx="34">
                  <c:v>43250</c:v>
                </c:pt>
              </c:numCache>
            </c:numRef>
          </c:xVal>
          <c:yVal>
            <c:numRef>
              <c:f>'P5-11'!$F$13:$F$48</c:f>
              <c:numCache>
                <c:formatCode>0.0</c:formatCode>
                <c:ptCount val="36"/>
                <c:pt idx="0">
                  <c:v>734.76226158366285</c:v>
                </c:pt>
                <c:pt idx="1">
                  <c:v>734.91919407639261</c:v>
                </c:pt>
                <c:pt idx="2">
                  <c:v>735.12364798441968</c:v>
                </c:pt>
                <c:pt idx="3">
                  <c:v>736.38150079863897</c:v>
                </c:pt>
                <c:pt idx="4">
                  <c:v>735.38827402149104</c:v>
                </c:pt>
                <c:pt idx="5">
                  <c:v>735.30545901117387</c:v>
                </c:pt>
                <c:pt idx="6">
                  <c:v>735.21974422396545</c:v>
                </c:pt>
                <c:pt idx="7">
                  <c:v>735.31676159702067</c:v>
                </c:pt>
                <c:pt idx="8">
                  <c:v>735.33524893330127</c:v>
                </c:pt>
                <c:pt idx="9">
                  <c:v>735.27688749371305</c:v>
                </c:pt>
                <c:pt idx="10">
                  <c:v>735.07978465682731</c:v>
                </c:pt>
                <c:pt idx="11">
                  <c:v>735.52516239934437</c:v>
                </c:pt>
                <c:pt idx="12">
                  <c:v>735.67688161511364</c:v>
                </c:pt>
                <c:pt idx="13">
                  <c:v>737.71237718002419</c:v>
                </c:pt>
                <c:pt idx="14">
                  <c:v>736.84913760251516</c:v>
                </c:pt>
                <c:pt idx="15">
                  <c:v>737.31619946729825</c:v>
                </c:pt>
                <c:pt idx="16">
                  <c:v>737.92784555147057</c:v>
                </c:pt>
                <c:pt idx="17">
                  <c:v>737.25859889235653</c:v>
                </c:pt>
                <c:pt idx="18">
                  <c:v>736.97124653016465</c:v>
                </c:pt>
                <c:pt idx="19">
                  <c:v>737.0166184823039</c:v>
                </c:pt>
                <c:pt idx="20">
                  <c:v>737.17121772548558</c:v>
                </c:pt>
                <c:pt idx="21">
                  <c:v>737.09681265800941</c:v>
                </c:pt>
                <c:pt idx="22">
                  <c:v>736.94725410391106</c:v>
                </c:pt>
                <c:pt idx="23">
                  <c:v>736.9299834478029</c:v>
                </c:pt>
                <c:pt idx="24">
                  <c:v>736.87452867874867</c:v>
                </c:pt>
                <c:pt idx="25">
                  <c:v>736.94296066688662</c:v>
                </c:pt>
                <c:pt idx="26">
                  <c:v>737.00849746631127</c:v>
                </c:pt>
                <c:pt idx="27">
                  <c:v>736.9463215384169</c:v>
                </c:pt>
                <c:pt idx="28">
                  <c:v>737.19231612794647</c:v>
                </c:pt>
                <c:pt idx="29">
                  <c:v>736.96573898521842</c:v>
                </c:pt>
                <c:pt idx="30">
                  <c:v>736.89208120555315</c:v>
                </c:pt>
                <c:pt idx="31">
                  <c:v>736.93241167041788</c:v>
                </c:pt>
                <c:pt idx="32">
                  <c:v>736.84120170521749</c:v>
                </c:pt>
                <c:pt idx="33">
                  <c:v>736.97246075211388</c:v>
                </c:pt>
                <c:pt idx="34">
                  <c:v>736.9029114256607</c:v>
                </c:pt>
                <c:pt idx="35">
                  <c:v>737.32179719345493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1637456"/>
        <c:axId val="-161644528"/>
      </c:scatterChart>
      <c:valAx>
        <c:axId val="-161637456"/>
        <c:scaling>
          <c:orientation val="minMax"/>
          <c:max val="43240"/>
          <c:min val="42248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prstDash val="sys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lang="zh-CN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>
                    <a:solidFill>
                      <a:sysClr val="windowText" lastClr="000000"/>
                    </a:solidFill>
                  </a:rPr>
                  <a:t>日期</a:t>
                </a:r>
              </a:p>
            </c:rich>
          </c:tx>
          <c:layout>
            <c:manualLayout>
              <c:xMode val="edge"/>
              <c:yMode val="edge"/>
              <c:x val="0.89598345054196449"/>
              <c:y val="0.89743859832090456"/>
            </c:manualLayout>
          </c:layout>
          <c:overlay val="0"/>
          <c:spPr>
            <a:noFill/>
            <a:ln w="25400">
              <a:noFill/>
            </a:ln>
          </c:spPr>
        </c:title>
        <c:numFmt formatCode="yyyy/m/d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-161644528"/>
        <c:crosses val="autoZero"/>
        <c:crossBetween val="midCat"/>
        <c:majorUnit val="248"/>
      </c:valAx>
      <c:valAx>
        <c:axId val="-16164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prstDash val="sys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>
                  <a:defRPr lang="zh-CN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>
                    <a:solidFill>
                      <a:sysClr val="windowText" lastClr="000000"/>
                    </a:solidFill>
                  </a:rPr>
                  <a:t>水位</a:t>
                </a:r>
                <a:r>
                  <a:rPr lang="en-US" altLang="zh-CN">
                    <a:solidFill>
                      <a:sysClr val="windowText" lastClr="000000"/>
                    </a:solidFill>
                  </a:rPr>
                  <a:t>(m)</a:t>
                </a:r>
                <a:endParaRPr lang="zh-CN" altLang="en-US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2.3325519424575811E-3"/>
              <c:y val="0.37913785611235684"/>
            </c:manualLayout>
          </c:layout>
          <c:overlay val="0"/>
          <c:spPr>
            <a:noFill/>
            <a:ln w="25400">
              <a:noFill/>
            </a:ln>
          </c:spPr>
        </c:title>
        <c:numFmt formatCode="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61637456"/>
        <c:crosses val="autoZero"/>
        <c:crossBetween val="midCat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wMode val="edge"/>
          <c:hMode val="edge"/>
          <c:x val="0.15165815150968726"/>
          <c:y val="0.88968173680276719"/>
          <c:w val="0.86945502995331692"/>
          <c:h val="0.96418556951904189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horzOverflow="overflow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000000000000433" l="0.70000000000000062" r="0.70000000000000062" t="0.75000000000000433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720603674540852"/>
          <c:y val="6.9444444444444503E-2"/>
          <c:w val="0.78889129483815001"/>
          <c:h val="0.75496864975211431"/>
        </c:manualLayout>
      </c:layout>
      <c:scatterChart>
        <c:scatterStyle val="smoothMarker"/>
        <c:varyColors val="0"/>
        <c:ser>
          <c:idx val="0"/>
          <c:order val="0"/>
          <c:tx>
            <c:v>P6-1</c:v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'P6-01'!$A$8:$A$100</c:f>
              <c:numCache>
                <c:formatCode>m/d/yyyy</c:formatCode>
                <c:ptCount val="93"/>
                <c:pt idx="0">
                  <c:v>42249</c:v>
                </c:pt>
                <c:pt idx="1">
                  <c:v>42250</c:v>
                </c:pt>
                <c:pt idx="2">
                  <c:v>42251</c:v>
                </c:pt>
                <c:pt idx="3">
                  <c:v>42252</c:v>
                </c:pt>
                <c:pt idx="4">
                  <c:v>42253</c:v>
                </c:pt>
                <c:pt idx="5">
                  <c:v>42254</c:v>
                </c:pt>
                <c:pt idx="6">
                  <c:v>42255</c:v>
                </c:pt>
                <c:pt idx="7">
                  <c:v>42259</c:v>
                </c:pt>
                <c:pt idx="8">
                  <c:v>42266</c:v>
                </c:pt>
                <c:pt idx="9">
                  <c:v>42273</c:v>
                </c:pt>
                <c:pt idx="10">
                  <c:v>42280</c:v>
                </c:pt>
                <c:pt idx="11">
                  <c:v>42287</c:v>
                </c:pt>
                <c:pt idx="12">
                  <c:v>42294</c:v>
                </c:pt>
                <c:pt idx="13">
                  <c:v>42301</c:v>
                </c:pt>
                <c:pt idx="14">
                  <c:v>42485</c:v>
                </c:pt>
                <c:pt idx="15">
                  <c:v>42501</c:v>
                </c:pt>
                <c:pt idx="16">
                  <c:v>42520</c:v>
                </c:pt>
                <c:pt idx="17">
                  <c:v>42531</c:v>
                </c:pt>
                <c:pt idx="18">
                  <c:v>42541</c:v>
                </c:pt>
                <c:pt idx="19">
                  <c:v>42551</c:v>
                </c:pt>
                <c:pt idx="20">
                  <c:v>42561</c:v>
                </c:pt>
                <c:pt idx="21">
                  <c:v>42571</c:v>
                </c:pt>
                <c:pt idx="22">
                  <c:v>42581</c:v>
                </c:pt>
                <c:pt idx="23">
                  <c:v>42592</c:v>
                </c:pt>
                <c:pt idx="24">
                  <c:v>42602</c:v>
                </c:pt>
                <c:pt idx="25">
                  <c:v>42612</c:v>
                </c:pt>
                <c:pt idx="26">
                  <c:v>42623</c:v>
                </c:pt>
                <c:pt idx="27">
                  <c:v>42633</c:v>
                </c:pt>
                <c:pt idx="28">
                  <c:v>42643</c:v>
                </c:pt>
                <c:pt idx="29">
                  <c:v>42653</c:v>
                </c:pt>
                <c:pt idx="30">
                  <c:v>42855</c:v>
                </c:pt>
                <c:pt idx="31">
                  <c:v>42865</c:v>
                </c:pt>
                <c:pt idx="32">
                  <c:v>42875</c:v>
                </c:pt>
                <c:pt idx="33">
                  <c:v>42885</c:v>
                </c:pt>
                <c:pt idx="34">
                  <c:v>42896</c:v>
                </c:pt>
                <c:pt idx="35">
                  <c:v>42906</c:v>
                </c:pt>
                <c:pt idx="36">
                  <c:v>42916</c:v>
                </c:pt>
                <c:pt idx="37">
                  <c:v>42926</c:v>
                </c:pt>
                <c:pt idx="38">
                  <c:v>42936</c:v>
                </c:pt>
                <c:pt idx="39">
                  <c:v>42946</c:v>
                </c:pt>
                <c:pt idx="40">
                  <c:v>42957</c:v>
                </c:pt>
                <c:pt idx="41">
                  <c:v>42967</c:v>
                </c:pt>
                <c:pt idx="42">
                  <c:v>42977</c:v>
                </c:pt>
                <c:pt idx="43">
                  <c:v>42988</c:v>
                </c:pt>
                <c:pt idx="44">
                  <c:v>42998</c:v>
                </c:pt>
                <c:pt idx="45">
                  <c:v>43008</c:v>
                </c:pt>
                <c:pt idx="46">
                  <c:v>43018</c:v>
                </c:pt>
                <c:pt idx="47">
                  <c:v>43230</c:v>
                </c:pt>
                <c:pt idx="48">
                  <c:v>43240</c:v>
                </c:pt>
                <c:pt idx="49">
                  <c:v>43250</c:v>
                </c:pt>
                <c:pt idx="50">
                  <c:v>43261</c:v>
                </c:pt>
                <c:pt idx="51">
                  <c:v>43271</c:v>
                </c:pt>
                <c:pt idx="52">
                  <c:v>43281</c:v>
                </c:pt>
                <c:pt idx="53">
                  <c:v>43291</c:v>
                </c:pt>
                <c:pt idx="54">
                  <c:v>43301</c:v>
                </c:pt>
                <c:pt idx="55">
                  <c:v>43311</c:v>
                </c:pt>
                <c:pt idx="56">
                  <c:v>43322</c:v>
                </c:pt>
                <c:pt idx="57">
                  <c:v>43332</c:v>
                </c:pt>
                <c:pt idx="58">
                  <c:v>43342</c:v>
                </c:pt>
                <c:pt idx="59">
                  <c:v>43353</c:v>
                </c:pt>
                <c:pt idx="60">
                  <c:v>43363</c:v>
                </c:pt>
                <c:pt idx="61">
                  <c:v>43373</c:v>
                </c:pt>
                <c:pt idx="62">
                  <c:v>43383</c:v>
                </c:pt>
                <c:pt idx="63">
                  <c:v>43393</c:v>
                </c:pt>
                <c:pt idx="64">
                  <c:v>43605</c:v>
                </c:pt>
                <c:pt idx="65">
                  <c:v>43615</c:v>
                </c:pt>
                <c:pt idx="66">
                  <c:v>43626</c:v>
                </c:pt>
                <c:pt idx="67">
                  <c:v>43636</c:v>
                </c:pt>
                <c:pt idx="68">
                  <c:v>43646</c:v>
                </c:pt>
                <c:pt idx="69">
                  <c:v>43656</c:v>
                </c:pt>
                <c:pt idx="70">
                  <c:v>43666</c:v>
                </c:pt>
                <c:pt idx="71">
                  <c:v>43676</c:v>
                </c:pt>
                <c:pt idx="72">
                  <c:v>43687</c:v>
                </c:pt>
                <c:pt idx="73">
                  <c:v>43697</c:v>
                </c:pt>
                <c:pt idx="74">
                  <c:v>43707</c:v>
                </c:pt>
              </c:numCache>
            </c:numRef>
          </c:xVal>
          <c:yVal>
            <c:numRef>
              <c:f>'P6-01'!$F$8:$F$100</c:f>
              <c:numCache>
                <c:formatCode>0.0</c:formatCode>
                <c:ptCount val="93"/>
                <c:pt idx="0">
                  <c:v>730.56948903873911</c:v>
                </c:pt>
                <c:pt idx="1">
                  <c:v>730.69001004622169</c:v>
                </c:pt>
                <c:pt idx="2">
                  <c:v>730.69232153972087</c:v>
                </c:pt>
                <c:pt idx="3">
                  <c:v>730.69232153972087</c:v>
                </c:pt>
                <c:pt idx="4">
                  <c:v>730.65365498223696</c:v>
                </c:pt>
                <c:pt idx="5">
                  <c:v>730.65656155045872</c:v>
                </c:pt>
                <c:pt idx="6">
                  <c:v>730.62168281170625</c:v>
                </c:pt>
                <c:pt idx="7">
                  <c:v>730.62458936660983</c:v>
                </c:pt>
                <c:pt idx="8">
                  <c:v>730.86526492433222</c:v>
                </c:pt>
                <c:pt idx="9">
                  <c:v>730.85218502272483</c:v>
                </c:pt>
                <c:pt idx="10">
                  <c:v>730.96321129969317</c:v>
                </c:pt>
                <c:pt idx="11">
                  <c:v>731.0886604869778</c:v>
                </c:pt>
                <c:pt idx="12">
                  <c:v>731.26421370102435</c:v>
                </c:pt>
                <c:pt idx="13">
                  <c:v>731.30330308431121</c:v>
                </c:pt>
                <c:pt idx="14">
                  <c:v>731.03079232198195</c:v>
                </c:pt>
                <c:pt idx="15">
                  <c:v>731.19324624824583</c:v>
                </c:pt>
                <c:pt idx="16">
                  <c:v>731.1167894619449</c:v>
                </c:pt>
                <c:pt idx="17">
                  <c:v>731.13742406871438</c:v>
                </c:pt>
                <c:pt idx="18">
                  <c:v>732.24937073180877</c:v>
                </c:pt>
                <c:pt idx="19">
                  <c:v>731.40340303383425</c:v>
                </c:pt>
                <c:pt idx="20">
                  <c:v>731.6606710207559</c:v>
                </c:pt>
                <c:pt idx="21">
                  <c:v>731.45718143358158</c:v>
                </c:pt>
                <c:pt idx="22">
                  <c:v>731.47259484975427</c:v>
                </c:pt>
                <c:pt idx="23">
                  <c:v>731.71546596090445</c:v>
                </c:pt>
                <c:pt idx="24">
                  <c:v>731.61314420763586</c:v>
                </c:pt>
                <c:pt idx="25">
                  <c:v>731.62448463527039</c:v>
                </c:pt>
                <c:pt idx="26">
                  <c:v>731.87783815573812</c:v>
                </c:pt>
                <c:pt idx="27">
                  <c:v>732.71877957431138</c:v>
                </c:pt>
                <c:pt idx="28">
                  <c:v>737.11160754277046</c:v>
                </c:pt>
                <c:pt idx="29">
                  <c:v>736.95174193395803</c:v>
                </c:pt>
                <c:pt idx="30">
                  <c:v>736.85588707275338</c:v>
                </c:pt>
                <c:pt idx="31">
                  <c:v>737.58753758721798</c:v>
                </c:pt>
                <c:pt idx="32">
                  <c:v>736.48784405106437</c:v>
                </c:pt>
                <c:pt idx="33">
                  <c:v>736.22082549562822</c:v>
                </c:pt>
                <c:pt idx="34">
                  <c:v>736.24456518996351</c:v>
                </c:pt>
                <c:pt idx="35">
                  <c:v>736.47030945160429</c:v>
                </c:pt>
                <c:pt idx="36">
                  <c:v>736.47974437727851</c:v>
                </c:pt>
                <c:pt idx="37">
                  <c:v>736.2046878179201</c:v>
                </c:pt>
                <c:pt idx="38">
                  <c:v>736.10911040552298</c:v>
                </c:pt>
                <c:pt idx="39">
                  <c:v>736.23098964350004</c:v>
                </c:pt>
                <c:pt idx="40">
                  <c:v>736.38821105473107</c:v>
                </c:pt>
                <c:pt idx="41">
                  <c:v>736.21847127192939</c:v>
                </c:pt>
                <c:pt idx="42">
                  <c:v>736.37918968442068</c:v>
                </c:pt>
                <c:pt idx="43">
                  <c:v>736.38921496867226</c:v>
                </c:pt>
                <c:pt idx="44">
                  <c:v>736.3617184388994</c:v>
                </c:pt>
                <c:pt idx="45">
                  <c:v>736.29699490942596</c:v>
                </c:pt>
                <c:pt idx="46">
                  <c:v>736.32899298391351</c:v>
                </c:pt>
                <c:pt idx="47">
                  <c:v>736.30412852895461</c:v>
                </c:pt>
                <c:pt idx="48">
                  <c:v>736.26165507904523</c:v>
                </c:pt>
                <c:pt idx="49">
                  <c:v>736.38485153630859</c:v>
                </c:pt>
                <c:pt idx="50">
                  <c:v>736.88318586628793</c:v>
                </c:pt>
                <c:pt idx="51">
                  <c:v>738.46423577797998</c:v>
                </c:pt>
                <c:pt idx="52">
                  <c:v>737.66776527169282</c:v>
                </c:pt>
                <c:pt idx="53">
                  <c:v>736.99973516934301</c:v>
                </c:pt>
                <c:pt idx="54">
                  <c:v>736.76293002761383</c:v>
                </c:pt>
                <c:pt idx="55">
                  <c:v>736.75231581626758</c:v>
                </c:pt>
                <c:pt idx="56">
                  <c:v>737.10676403732202</c:v>
                </c:pt>
                <c:pt idx="57">
                  <c:v>736.80336320328774</c:v>
                </c:pt>
                <c:pt idx="58">
                  <c:v>737.75995366392931</c:v>
                </c:pt>
                <c:pt idx="59">
                  <c:v>738.33908167501124</c:v>
                </c:pt>
                <c:pt idx="60">
                  <c:v>737.17747384081554</c:v>
                </c:pt>
                <c:pt idx="61">
                  <c:v>737.03041872716108</c:v>
                </c:pt>
                <c:pt idx="62">
                  <c:v>737.01005393881951</c:v>
                </c:pt>
                <c:pt idx="63">
                  <c:v>736.97616573609491</c:v>
                </c:pt>
                <c:pt idx="64">
                  <c:v>736.9060710849011</c:v>
                </c:pt>
                <c:pt idx="65">
                  <c:v>736.90359379574818</c:v>
                </c:pt>
                <c:pt idx="66">
                  <c:v>736.90373040783095</c:v>
                </c:pt>
                <c:pt idx="67">
                  <c:v>736.91550391295414</c:v>
                </c:pt>
                <c:pt idx="68">
                  <c:v>736.96525608991635</c:v>
                </c:pt>
                <c:pt idx="69">
                  <c:v>737.04962446364834</c:v>
                </c:pt>
                <c:pt idx="70">
                  <c:v>736.9683243159302</c:v>
                </c:pt>
                <c:pt idx="71">
                  <c:v>737.09692381502418</c:v>
                </c:pt>
                <c:pt idx="72">
                  <c:v>737.21545492438929</c:v>
                </c:pt>
                <c:pt idx="73">
                  <c:v>737.3715377511611</c:v>
                </c:pt>
                <c:pt idx="74">
                  <c:v>737.96160700959672</c:v>
                </c:pt>
              </c:numCache>
            </c:numRef>
          </c:yVal>
          <c:smooth val="1"/>
        </c:ser>
        <c:ser>
          <c:idx val="1"/>
          <c:order val="1"/>
          <c:tx>
            <c:v>P6-5</c:v>
          </c:tx>
          <c:spPr>
            <a:ln w="19050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'P6-05'!$A$8:$A$100</c:f>
              <c:numCache>
                <c:formatCode>m/d/yyyy</c:formatCode>
                <c:ptCount val="93"/>
                <c:pt idx="0">
                  <c:v>42249</c:v>
                </c:pt>
                <c:pt idx="1">
                  <c:v>42250</c:v>
                </c:pt>
                <c:pt idx="2">
                  <c:v>42251</c:v>
                </c:pt>
                <c:pt idx="3">
                  <c:v>42252</c:v>
                </c:pt>
                <c:pt idx="4">
                  <c:v>42253</c:v>
                </c:pt>
                <c:pt idx="5">
                  <c:v>42254</c:v>
                </c:pt>
                <c:pt idx="6">
                  <c:v>42255</c:v>
                </c:pt>
                <c:pt idx="7">
                  <c:v>42259</c:v>
                </c:pt>
                <c:pt idx="8">
                  <c:v>42266</c:v>
                </c:pt>
                <c:pt idx="9">
                  <c:v>42273</c:v>
                </c:pt>
                <c:pt idx="10">
                  <c:v>42280</c:v>
                </c:pt>
                <c:pt idx="11">
                  <c:v>42287</c:v>
                </c:pt>
                <c:pt idx="12">
                  <c:v>42294</c:v>
                </c:pt>
                <c:pt idx="13">
                  <c:v>42301</c:v>
                </c:pt>
                <c:pt idx="14">
                  <c:v>42485</c:v>
                </c:pt>
                <c:pt idx="15">
                  <c:v>42501</c:v>
                </c:pt>
                <c:pt idx="16">
                  <c:v>42520</c:v>
                </c:pt>
                <c:pt idx="17">
                  <c:v>42531</c:v>
                </c:pt>
                <c:pt idx="18">
                  <c:v>42544</c:v>
                </c:pt>
                <c:pt idx="19">
                  <c:v>42551</c:v>
                </c:pt>
                <c:pt idx="20">
                  <c:v>42561</c:v>
                </c:pt>
                <c:pt idx="21">
                  <c:v>42571</c:v>
                </c:pt>
                <c:pt idx="22">
                  <c:v>42581</c:v>
                </c:pt>
                <c:pt idx="23">
                  <c:v>42592</c:v>
                </c:pt>
                <c:pt idx="24">
                  <c:v>42602</c:v>
                </c:pt>
                <c:pt idx="25">
                  <c:v>42612</c:v>
                </c:pt>
                <c:pt idx="26">
                  <c:v>42623</c:v>
                </c:pt>
                <c:pt idx="27">
                  <c:v>42633</c:v>
                </c:pt>
                <c:pt idx="28">
                  <c:v>42643</c:v>
                </c:pt>
                <c:pt idx="29">
                  <c:v>42653</c:v>
                </c:pt>
                <c:pt idx="30">
                  <c:v>42855</c:v>
                </c:pt>
                <c:pt idx="31">
                  <c:v>42865</c:v>
                </c:pt>
                <c:pt idx="32">
                  <c:v>42875</c:v>
                </c:pt>
                <c:pt idx="33">
                  <c:v>42885</c:v>
                </c:pt>
                <c:pt idx="34">
                  <c:v>42896</c:v>
                </c:pt>
                <c:pt idx="35">
                  <c:v>42906</c:v>
                </c:pt>
                <c:pt idx="36">
                  <c:v>42916</c:v>
                </c:pt>
                <c:pt idx="37">
                  <c:v>42926</c:v>
                </c:pt>
                <c:pt idx="38">
                  <c:v>42936</c:v>
                </c:pt>
                <c:pt idx="39">
                  <c:v>42946</c:v>
                </c:pt>
                <c:pt idx="40">
                  <c:v>42957</c:v>
                </c:pt>
                <c:pt idx="41">
                  <c:v>42967</c:v>
                </c:pt>
                <c:pt idx="42">
                  <c:v>42977</c:v>
                </c:pt>
                <c:pt idx="43">
                  <c:v>42988</c:v>
                </c:pt>
                <c:pt idx="44">
                  <c:v>42998</c:v>
                </c:pt>
                <c:pt idx="45">
                  <c:v>43008</c:v>
                </c:pt>
                <c:pt idx="46">
                  <c:v>43018</c:v>
                </c:pt>
                <c:pt idx="47">
                  <c:v>43230</c:v>
                </c:pt>
                <c:pt idx="48">
                  <c:v>43240</c:v>
                </c:pt>
                <c:pt idx="49">
                  <c:v>43250</c:v>
                </c:pt>
                <c:pt idx="50">
                  <c:v>43261</c:v>
                </c:pt>
                <c:pt idx="51">
                  <c:v>43271</c:v>
                </c:pt>
                <c:pt idx="52">
                  <c:v>43281</c:v>
                </c:pt>
                <c:pt idx="53">
                  <c:v>43291</c:v>
                </c:pt>
                <c:pt idx="54">
                  <c:v>43301</c:v>
                </c:pt>
                <c:pt idx="55">
                  <c:v>43311</c:v>
                </c:pt>
                <c:pt idx="56">
                  <c:v>43322</c:v>
                </c:pt>
                <c:pt idx="57">
                  <c:v>43332</c:v>
                </c:pt>
                <c:pt idx="58">
                  <c:v>43342</c:v>
                </c:pt>
                <c:pt idx="59">
                  <c:v>43353</c:v>
                </c:pt>
                <c:pt idx="60">
                  <c:v>43363</c:v>
                </c:pt>
                <c:pt idx="61">
                  <c:v>43373</c:v>
                </c:pt>
                <c:pt idx="62">
                  <c:v>43383</c:v>
                </c:pt>
                <c:pt idx="63">
                  <c:v>43393</c:v>
                </c:pt>
                <c:pt idx="64">
                  <c:v>43605</c:v>
                </c:pt>
                <c:pt idx="65">
                  <c:v>43615</c:v>
                </c:pt>
                <c:pt idx="66">
                  <c:v>43626</c:v>
                </c:pt>
                <c:pt idx="67">
                  <c:v>43636</c:v>
                </c:pt>
                <c:pt idx="68">
                  <c:v>43646</c:v>
                </c:pt>
                <c:pt idx="69">
                  <c:v>43656</c:v>
                </c:pt>
                <c:pt idx="70">
                  <c:v>43666</c:v>
                </c:pt>
                <c:pt idx="71">
                  <c:v>43676</c:v>
                </c:pt>
                <c:pt idx="72">
                  <c:v>43687</c:v>
                </c:pt>
                <c:pt idx="73">
                  <c:v>43697</c:v>
                </c:pt>
                <c:pt idx="74">
                  <c:v>43707</c:v>
                </c:pt>
              </c:numCache>
            </c:numRef>
          </c:xVal>
          <c:yVal>
            <c:numRef>
              <c:f>'P6-05'!$F$8:$F$100</c:f>
              <c:numCache>
                <c:formatCode>0.0</c:formatCode>
                <c:ptCount val="93"/>
                <c:pt idx="0">
                  <c:v>731.17274514625672</c:v>
                </c:pt>
                <c:pt idx="1">
                  <c:v>730.98001718700084</c:v>
                </c:pt>
                <c:pt idx="2">
                  <c:v>730.97626027642366</c:v>
                </c:pt>
                <c:pt idx="3">
                  <c:v>731.61340440695028</c:v>
                </c:pt>
                <c:pt idx="4">
                  <c:v>731.31625927155062</c:v>
                </c:pt>
                <c:pt idx="5">
                  <c:v>731.4259061035782</c:v>
                </c:pt>
                <c:pt idx="6">
                  <c:v>731.42734533514704</c:v>
                </c:pt>
                <c:pt idx="7">
                  <c:v>731.55861047977271</c:v>
                </c:pt>
                <c:pt idx="8">
                  <c:v>731.55673399784439</c:v>
                </c:pt>
                <c:pt idx="9">
                  <c:v>731.38390143258221</c:v>
                </c:pt>
                <c:pt idx="10">
                  <c:v>731.2710910528134</c:v>
                </c:pt>
                <c:pt idx="11">
                  <c:v>731.32469350668612</c:v>
                </c:pt>
                <c:pt idx="12">
                  <c:v>731.41877180735105</c:v>
                </c:pt>
                <c:pt idx="13">
                  <c:v>731.84719306376712</c:v>
                </c:pt>
                <c:pt idx="14">
                  <c:v>731.86975058553242</c:v>
                </c:pt>
                <c:pt idx="15">
                  <c:v>731.78791064652455</c:v>
                </c:pt>
                <c:pt idx="16">
                  <c:v>731.76272832881284</c:v>
                </c:pt>
                <c:pt idx="17">
                  <c:v>731.79801366852007</c:v>
                </c:pt>
                <c:pt idx="18">
                  <c:v>732.79106365726909</c:v>
                </c:pt>
                <c:pt idx="19">
                  <c:v>732.12071961749848</c:v>
                </c:pt>
                <c:pt idx="20">
                  <c:v>732.26923960886165</c:v>
                </c:pt>
                <c:pt idx="21">
                  <c:v>732.363638190963</c:v>
                </c:pt>
                <c:pt idx="22">
                  <c:v>732.44744621699749</c:v>
                </c:pt>
                <c:pt idx="23">
                  <c:v>732.29811912468779</c:v>
                </c:pt>
                <c:pt idx="24">
                  <c:v>731.96049787270988</c:v>
                </c:pt>
                <c:pt idx="25">
                  <c:v>732.19020563272682</c:v>
                </c:pt>
                <c:pt idx="26">
                  <c:v>732.35157521809344</c:v>
                </c:pt>
                <c:pt idx="27">
                  <c:v>732.79160564624419</c:v>
                </c:pt>
                <c:pt idx="28">
                  <c:v>736.48640259164438</c:v>
                </c:pt>
                <c:pt idx="29">
                  <c:v>736.29189823255535</c:v>
                </c:pt>
                <c:pt idx="30">
                  <c:v>735.54553490003832</c:v>
                </c:pt>
                <c:pt idx="31">
                  <c:v>736.36259417880478</c:v>
                </c:pt>
                <c:pt idx="32">
                  <c:v>735.45590052322086</c:v>
                </c:pt>
                <c:pt idx="33">
                  <c:v>735.70747087186214</c:v>
                </c:pt>
                <c:pt idx="34">
                  <c:v>735.58096095278643</c:v>
                </c:pt>
                <c:pt idx="35">
                  <c:v>735.82460806401912</c:v>
                </c:pt>
                <c:pt idx="36">
                  <c:v>736.93192628716281</c:v>
                </c:pt>
                <c:pt idx="37">
                  <c:v>735.9352445408274</c:v>
                </c:pt>
                <c:pt idx="38">
                  <c:v>734.94012100658858</c:v>
                </c:pt>
                <c:pt idx="39">
                  <c:v>736.53479382313174</c:v>
                </c:pt>
                <c:pt idx="40">
                  <c:v>736.84204570048632</c:v>
                </c:pt>
                <c:pt idx="41">
                  <c:v>736.67937966635884</c:v>
                </c:pt>
                <c:pt idx="42">
                  <c:v>736.88734898778398</c:v>
                </c:pt>
                <c:pt idx="43">
                  <c:v>736.87632665994408</c:v>
                </c:pt>
                <c:pt idx="44">
                  <c:v>736.80195123955707</c:v>
                </c:pt>
                <c:pt idx="45">
                  <c:v>736.72273581383786</c:v>
                </c:pt>
                <c:pt idx="46">
                  <c:v>736.78087468906313</c:v>
                </c:pt>
                <c:pt idx="47">
                  <c:v>736.76113130671786</c:v>
                </c:pt>
                <c:pt idx="48">
                  <c:v>736.68409940388881</c:v>
                </c:pt>
                <c:pt idx="49">
                  <c:v>736.50886826811256</c:v>
                </c:pt>
                <c:pt idx="50">
                  <c:v>737.19720846372934</c:v>
                </c:pt>
                <c:pt idx="51">
                  <c:v>738.04640170914752</c:v>
                </c:pt>
                <c:pt idx="52">
                  <c:v>737.60260892289421</c:v>
                </c:pt>
                <c:pt idx="53">
                  <c:v>737.11721823337314</c:v>
                </c:pt>
                <c:pt idx="54">
                  <c:v>737.20727560800617</c:v>
                </c:pt>
                <c:pt idx="55">
                  <c:v>737.1961389239126</c:v>
                </c:pt>
                <c:pt idx="56">
                  <c:v>737.50103630776721</c:v>
                </c:pt>
                <c:pt idx="57">
                  <c:v>737.25639099622504</c:v>
                </c:pt>
                <c:pt idx="58">
                  <c:v>737.76300993057191</c:v>
                </c:pt>
                <c:pt idx="59">
                  <c:v>738.57749702284877</c:v>
                </c:pt>
                <c:pt idx="60">
                  <c:v>737.64562272676972</c:v>
                </c:pt>
                <c:pt idx="61">
                  <c:v>737.52948758799312</c:v>
                </c:pt>
                <c:pt idx="62">
                  <c:v>737.52439397483511</c:v>
                </c:pt>
                <c:pt idx="63">
                  <c:v>737.49288825123188</c:v>
                </c:pt>
                <c:pt idx="64">
                  <c:v>736.76684139208351</c:v>
                </c:pt>
                <c:pt idx="65">
                  <c:v>736.78004449382502</c:v>
                </c:pt>
                <c:pt idx="66">
                  <c:v>736.77132167189427</c:v>
                </c:pt>
                <c:pt idx="67">
                  <c:v>736.77071378148344</c:v>
                </c:pt>
                <c:pt idx="68">
                  <c:v>737.67638486586111</c:v>
                </c:pt>
                <c:pt idx="69">
                  <c:v>737.66827286756404</c:v>
                </c:pt>
                <c:pt idx="70">
                  <c:v>737.75488994491093</c:v>
                </c:pt>
                <c:pt idx="71">
                  <c:v>737.75332955876911</c:v>
                </c:pt>
                <c:pt idx="72">
                  <c:v>737.75551334998386</c:v>
                </c:pt>
                <c:pt idx="73">
                  <c:v>737.83548725733385</c:v>
                </c:pt>
                <c:pt idx="74">
                  <c:v>738.11010666842003</c:v>
                </c:pt>
              </c:numCache>
            </c:numRef>
          </c:yVal>
          <c:smooth val="1"/>
        </c:ser>
        <c:ser>
          <c:idx val="2"/>
          <c:order val="2"/>
          <c:tx>
            <c:v>P6-6</c:v>
          </c:tx>
          <c:spPr>
            <a:ln w="15875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'P6-06'!$A$8:$A$100</c:f>
              <c:numCache>
                <c:formatCode>m/d/yyyy</c:formatCode>
                <c:ptCount val="93"/>
                <c:pt idx="0">
                  <c:v>42249</c:v>
                </c:pt>
                <c:pt idx="1">
                  <c:v>42250</c:v>
                </c:pt>
                <c:pt idx="2">
                  <c:v>42251</c:v>
                </c:pt>
                <c:pt idx="3">
                  <c:v>42252</c:v>
                </c:pt>
                <c:pt idx="4">
                  <c:v>42253</c:v>
                </c:pt>
                <c:pt idx="5">
                  <c:v>42254</c:v>
                </c:pt>
                <c:pt idx="6">
                  <c:v>42255</c:v>
                </c:pt>
                <c:pt idx="7">
                  <c:v>42259</c:v>
                </c:pt>
                <c:pt idx="8">
                  <c:v>42266</c:v>
                </c:pt>
                <c:pt idx="9">
                  <c:v>42273</c:v>
                </c:pt>
                <c:pt idx="10">
                  <c:v>42280</c:v>
                </c:pt>
                <c:pt idx="11">
                  <c:v>42287</c:v>
                </c:pt>
                <c:pt idx="12">
                  <c:v>42294</c:v>
                </c:pt>
                <c:pt idx="13">
                  <c:v>42301</c:v>
                </c:pt>
                <c:pt idx="14">
                  <c:v>42485</c:v>
                </c:pt>
                <c:pt idx="15">
                  <c:v>42501</c:v>
                </c:pt>
                <c:pt idx="16">
                  <c:v>42520</c:v>
                </c:pt>
                <c:pt idx="17">
                  <c:v>42531</c:v>
                </c:pt>
                <c:pt idx="18">
                  <c:v>42544</c:v>
                </c:pt>
                <c:pt idx="19">
                  <c:v>42551</c:v>
                </c:pt>
                <c:pt idx="20">
                  <c:v>42561</c:v>
                </c:pt>
                <c:pt idx="21">
                  <c:v>42571</c:v>
                </c:pt>
                <c:pt idx="22">
                  <c:v>42581</c:v>
                </c:pt>
                <c:pt idx="23">
                  <c:v>42592</c:v>
                </c:pt>
                <c:pt idx="24">
                  <c:v>42602</c:v>
                </c:pt>
                <c:pt idx="25">
                  <c:v>42612</c:v>
                </c:pt>
                <c:pt idx="26">
                  <c:v>42623</c:v>
                </c:pt>
                <c:pt idx="27">
                  <c:v>42633</c:v>
                </c:pt>
                <c:pt idx="28">
                  <c:v>42643</c:v>
                </c:pt>
                <c:pt idx="29">
                  <c:v>42653</c:v>
                </c:pt>
                <c:pt idx="30">
                  <c:v>42855</c:v>
                </c:pt>
                <c:pt idx="31">
                  <c:v>42865</c:v>
                </c:pt>
                <c:pt idx="32">
                  <c:v>42875</c:v>
                </c:pt>
                <c:pt idx="33">
                  <c:v>42885</c:v>
                </c:pt>
                <c:pt idx="34">
                  <c:v>42896</c:v>
                </c:pt>
                <c:pt idx="35">
                  <c:v>42906</c:v>
                </c:pt>
                <c:pt idx="36">
                  <c:v>42916</c:v>
                </c:pt>
                <c:pt idx="37">
                  <c:v>42926</c:v>
                </c:pt>
                <c:pt idx="38">
                  <c:v>42936</c:v>
                </c:pt>
                <c:pt idx="39">
                  <c:v>42946</c:v>
                </c:pt>
                <c:pt idx="40">
                  <c:v>42957</c:v>
                </c:pt>
                <c:pt idx="41">
                  <c:v>42967</c:v>
                </c:pt>
                <c:pt idx="42">
                  <c:v>42977</c:v>
                </c:pt>
                <c:pt idx="43">
                  <c:v>42988</c:v>
                </c:pt>
                <c:pt idx="44">
                  <c:v>42998</c:v>
                </c:pt>
                <c:pt idx="45">
                  <c:v>43008</c:v>
                </c:pt>
                <c:pt idx="46">
                  <c:v>43018</c:v>
                </c:pt>
                <c:pt idx="47">
                  <c:v>43230</c:v>
                </c:pt>
                <c:pt idx="48">
                  <c:v>43240</c:v>
                </c:pt>
                <c:pt idx="49">
                  <c:v>43250</c:v>
                </c:pt>
                <c:pt idx="50">
                  <c:v>43261</c:v>
                </c:pt>
                <c:pt idx="51">
                  <c:v>43271</c:v>
                </c:pt>
                <c:pt idx="52">
                  <c:v>43281</c:v>
                </c:pt>
                <c:pt idx="53">
                  <c:v>43291</c:v>
                </c:pt>
                <c:pt idx="54">
                  <c:v>43301</c:v>
                </c:pt>
                <c:pt idx="55">
                  <c:v>43311</c:v>
                </c:pt>
                <c:pt idx="56">
                  <c:v>43322</c:v>
                </c:pt>
                <c:pt idx="57">
                  <c:v>43332</c:v>
                </c:pt>
                <c:pt idx="58">
                  <c:v>43342</c:v>
                </c:pt>
                <c:pt idx="59">
                  <c:v>43353</c:v>
                </c:pt>
                <c:pt idx="60">
                  <c:v>43363</c:v>
                </c:pt>
                <c:pt idx="61">
                  <c:v>43373</c:v>
                </c:pt>
                <c:pt idx="62">
                  <c:v>43383</c:v>
                </c:pt>
                <c:pt idx="63">
                  <c:v>43393</c:v>
                </c:pt>
                <c:pt idx="64">
                  <c:v>43605</c:v>
                </c:pt>
                <c:pt idx="65">
                  <c:v>43615</c:v>
                </c:pt>
                <c:pt idx="66">
                  <c:v>43626</c:v>
                </c:pt>
                <c:pt idx="67">
                  <c:v>43636</c:v>
                </c:pt>
                <c:pt idx="68">
                  <c:v>43646</c:v>
                </c:pt>
                <c:pt idx="69">
                  <c:v>43656</c:v>
                </c:pt>
                <c:pt idx="70">
                  <c:v>43666</c:v>
                </c:pt>
                <c:pt idx="71">
                  <c:v>43676</c:v>
                </c:pt>
                <c:pt idx="72">
                  <c:v>43687</c:v>
                </c:pt>
                <c:pt idx="73">
                  <c:v>43697</c:v>
                </c:pt>
                <c:pt idx="74">
                  <c:v>43707</c:v>
                </c:pt>
              </c:numCache>
            </c:numRef>
          </c:xVal>
          <c:yVal>
            <c:numRef>
              <c:f>'P6-06'!$F$8:$F$100</c:f>
              <c:numCache>
                <c:formatCode>0.0</c:formatCode>
                <c:ptCount val="93"/>
                <c:pt idx="0">
                  <c:v>729.82091849059964</c:v>
                </c:pt>
                <c:pt idx="1">
                  <c:v>730.11909372571483</c:v>
                </c:pt>
                <c:pt idx="2">
                  <c:v>730.28364062471394</c:v>
                </c:pt>
                <c:pt idx="3">
                  <c:v>732.35126452969325</c:v>
                </c:pt>
                <c:pt idx="4">
                  <c:v>732.27834712833828</c:v>
                </c:pt>
                <c:pt idx="5">
                  <c:v>732.24974100626378</c:v>
                </c:pt>
                <c:pt idx="6">
                  <c:v>732.2093533663201</c:v>
                </c:pt>
                <c:pt idx="7">
                  <c:v>732.27426988477851</c:v>
                </c:pt>
                <c:pt idx="8">
                  <c:v>732.25020990938958</c:v>
                </c:pt>
                <c:pt idx="9">
                  <c:v>732.13269835164908</c:v>
                </c:pt>
                <c:pt idx="10">
                  <c:v>731.63160394027886</c:v>
                </c:pt>
                <c:pt idx="11">
                  <c:v>731.65478247127464</c:v>
                </c:pt>
                <c:pt idx="12">
                  <c:v>731.56121316756185</c:v>
                </c:pt>
                <c:pt idx="13">
                  <c:v>731.84438736061077</c:v>
                </c:pt>
                <c:pt idx="14">
                  <c:v>731.97289484723854</c:v>
                </c:pt>
                <c:pt idx="15">
                  <c:v>731.77047709164447</c:v>
                </c:pt>
                <c:pt idx="16">
                  <c:v>731.55663467218812</c:v>
                </c:pt>
                <c:pt idx="17">
                  <c:v>731.61595719469119</c:v>
                </c:pt>
                <c:pt idx="18">
                  <c:v>732.47143267231445</c:v>
                </c:pt>
                <c:pt idx="19">
                  <c:v>731.8197120862975</c:v>
                </c:pt>
                <c:pt idx="20">
                  <c:v>731.95036615577646</c:v>
                </c:pt>
                <c:pt idx="21">
                  <c:v>731.97672868389839</c:v>
                </c:pt>
                <c:pt idx="22">
                  <c:v>732.05739924514387</c:v>
                </c:pt>
                <c:pt idx="23">
                  <c:v>731.67838896784349</c:v>
                </c:pt>
                <c:pt idx="24">
                  <c:v>731.69017840621098</c:v>
                </c:pt>
                <c:pt idx="25">
                  <c:v>732.02544807904133</c:v>
                </c:pt>
                <c:pt idx="26">
                  <c:v>732.19733515344251</c:v>
                </c:pt>
                <c:pt idx="27">
                  <c:v>732.19158094970942</c:v>
                </c:pt>
                <c:pt idx="28">
                  <c:v>736.10118862093964</c:v>
                </c:pt>
                <c:pt idx="29">
                  <c:v>735.91828436347714</c:v>
                </c:pt>
                <c:pt idx="30">
                  <c:v>734.96133890779697</c:v>
                </c:pt>
                <c:pt idx="31">
                  <c:v>735.68787155812106</c:v>
                </c:pt>
                <c:pt idx="32">
                  <c:v>735.02596366970727</c:v>
                </c:pt>
                <c:pt idx="33">
                  <c:v>735.22176031466267</c:v>
                </c:pt>
                <c:pt idx="34">
                  <c:v>735.04384772230856</c:v>
                </c:pt>
                <c:pt idx="35">
                  <c:v>735.22167488826653</c:v>
                </c:pt>
                <c:pt idx="36">
                  <c:v>736.62092418838188</c:v>
                </c:pt>
                <c:pt idx="37">
                  <c:v>736.15079542280944</c:v>
                </c:pt>
                <c:pt idx="38">
                  <c:v>735.28924431730945</c:v>
                </c:pt>
                <c:pt idx="39">
                  <c:v>736.19219219720276</c:v>
                </c:pt>
                <c:pt idx="40">
                  <c:v>736.45376119865045</c:v>
                </c:pt>
                <c:pt idx="41">
                  <c:v>736.38749175438591</c:v>
                </c:pt>
                <c:pt idx="42">
                  <c:v>736.56102519206593</c:v>
                </c:pt>
                <c:pt idx="43">
                  <c:v>736.53611500555485</c:v>
                </c:pt>
                <c:pt idx="44">
                  <c:v>736.42403449055166</c:v>
                </c:pt>
                <c:pt idx="45">
                  <c:v>736.30819873054406</c:v>
                </c:pt>
                <c:pt idx="46">
                  <c:v>736.49463106322764</c:v>
                </c:pt>
                <c:pt idx="47">
                  <c:v>736.42065610551799</c:v>
                </c:pt>
                <c:pt idx="48">
                  <c:v>736.3864533894573</c:v>
                </c:pt>
                <c:pt idx="49">
                  <c:v>736.26194659801445</c:v>
                </c:pt>
                <c:pt idx="50">
                  <c:v>736.81829631211224</c:v>
                </c:pt>
                <c:pt idx="51">
                  <c:v>737.78870847991652</c:v>
                </c:pt>
                <c:pt idx="52">
                  <c:v>737.33018707521114</c:v>
                </c:pt>
                <c:pt idx="53">
                  <c:v>736.80917890800265</c:v>
                </c:pt>
                <c:pt idx="54">
                  <c:v>736.87300902448067</c:v>
                </c:pt>
                <c:pt idx="55">
                  <c:v>736.85536660700416</c:v>
                </c:pt>
                <c:pt idx="56">
                  <c:v>737.19111353857465</c:v>
                </c:pt>
                <c:pt idx="57">
                  <c:v>736.94854733983345</c:v>
                </c:pt>
                <c:pt idx="58">
                  <c:v>737.63659131159841</c:v>
                </c:pt>
                <c:pt idx="59">
                  <c:v>738.0948429998964</c:v>
                </c:pt>
                <c:pt idx="60">
                  <c:v>737.38662433319962</c:v>
                </c:pt>
                <c:pt idx="61">
                  <c:v>737.22897200488069</c:v>
                </c:pt>
                <c:pt idx="62">
                  <c:v>737.19111353857465</c:v>
                </c:pt>
                <c:pt idx="63">
                  <c:v>737.13595621876959</c:v>
                </c:pt>
                <c:pt idx="64">
                  <c:v>736.97309896289516</c:v>
                </c:pt>
                <c:pt idx="65">
                  <c:v>736.96012018475335</c:v>
                </c:pt>
                <c:pt idx="66">
                  <c:v>736.99383714482144</c:v>
                </c:pt>
                <c:pt idx="67">
                  <c:v>737.01210281817202</c:v>
                </c:pt>
                <c:pt idx="68">
                  <c:v>737.37110329051723</c:v>
                </c:pt>
                <c:pt idx="69">
                  <c:v>737.37152913320767</c:v>
                </c:pt>
                <c:pt idx="70">
                  <c:v>737.37071992145218</c:v>
                </c:pt>
              </c:numCache>
            </c:numRef>
          </c:yVal>
          <c:smooth val="1"/>
        </c:ser>
        <c:ser>
          <c:idx val="3"/>
          <c:order val="3"/>
          <c:tx>
            <c:v>P6-7</c:v>
          </c:tx>
          <c:spPr>
            <a:ln w="15875" cap="rnd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'P6-07'!$A$8:$A$100</c:f>
              <c:numCache>
                <c:formatCode>m/d/yyyy</c:formatCode>
                <c:ptCount val="93"/>
                <c:pt idx="0">
                  <c:v>42249</c:v>
                </c:pt>
                <c:pt idx="1">
                  <c:v>42250</c:v>
                </c:pt>
                <c:pt idx="2">
                  <c:v>42251</c:v>
                </c:pt>
                <c:pt idx="3">
                  <c:v>42252</c:v>
                </c:pt>
                <c:pt idx="4">
                  <c:v>42253</c:v>
                </c:pt>
                <c:pt idx="5">
                  <c:v>42254</c:v>
                </c:pt>
                <c:pt idx="6">
                  <c:v>42255</c:v>
                </c:pt>
                <c:pt idx="7">
                  <c:v>42259</c:v>
                </c:pt>
                <c:pt idx="8">
                  <c:v>42266</c:v>
                </c:pt>
                <c:pt idx="9">
                  <c:v>42273</c:v>
                </c:pt>
                <c:pt idx="10">
                  <c:v>42280</c:v>
                </c:pt>
                <c:pt idx="11">
                  <c:v>42287</c:v>
                </c:pt>
                <c:pt idx="12">
                  <c:v>42294</c:v>
                </c:pt>
                <c:pt idx="13">
                  <c:v>42301</c:v>
                </c:pt>
                <c:pt idx="14">
                  <c:v>42485</c:v>
                </c:pt>
                <c:pt idx="15">
                  <c:v>42501</c:v>
                </c:pt>
                <c:pt idx="16">
                  <c:v>42520</c:v>
                </c:pt>
                <c:pt idx="17">
                  <c:v>42531</c:v>
                </c:pt>
                <c:pt idx="18">
                  <c:v>42544</c:v>
                </c:pt>
                <c:pt idx="19">
                  <c:v>42551</c:v>
                </c:pt>
                <c:pt idx="20">
                  <c:v>42561</c:v>
                </c:pt>
                <c:pt idx="21">
                  <c:v>42571</c:v>
                </c:pt>
                <c:pt idx="22">
                  <c:v>42581</c:v>
                </c:pt>
                <c:pt idx="23">
                  <c:v>42592</c:v>
                </c:pt>
                <c:pt idx="24">
                  <c:v>42602</c:v>
                </c:pt>
                <c:pt idx="25">
                  <c:v>42612</c:v>
                </c:pt>
                <c:pt idx="26">
                  <c:v>42623</c:v>
                </c:pt>
                <c:pt idx="27">
                  <c:v>42633</c:v>
                </c:pt>
                <c:pt idx="28">
                  <c:v>42643</c:v>
                </c:pt>
                <c:pt idx="29">
                  <c:v>42653</c:v>
                </c:pt>
                <c:pt idx="30">
                  <c:v>42855</c:v>
                </c:pt>
                <c:pt idx="31">
                  <c:v>42865</c:v>
                </c:pt>
                <c:pt idx="32">
                  <c:v>42875</c:v>
                </c:pt>
                <c:pt idx="33">
                  <c:v>42885</c:v>
                </c:pt>
                <c:pt idx="34">
                  <c:v>42896</c:v>
                </c:pt>
                <c:pt idx="35">
                  <c:v>42906</c:v>
                </c:pt>
                <c:pt idx="36">
                  <c:v>42916</c:v>
                </c:pt>
                <c:pt idx="37">
                  <c:v>42926</c:v>
                </c:pt>
                <c:pt idx="38">
                  <c:v>42936</c:v>
                </c:pt>
                <c:pt idx="39">
                  <c:v>42946</c:v>
                </c:pt>
                <c:pt idx="40">
                  <c:v>42957</c:v>
                </c:pt>
                <c:pt idx="41">
                  <c:v>42967</c:v>
                </c:pt>
                <c:pt idx="42">
                  <c:v>42977</c:v>
                </c:pt>
                <c:pt idx="43">
                  <c:v>42988</c:v>
                </c:pt>
                <c:pt idx="44">
                  <c:v>42998</c:v>
                </c:pt>
                <c:pt idx="45">
                  <c:v>43008</c:v>
                </c:pt>
                <c:pt idx="46">
                  <c:v>43018</c:v>
                </c:pt>
                <c:pt idx="47">
                  <c:v>43230</c:v>
                </c:pt>
                <c:pt idx="48">
                  <c:v>43240</c:v>
                </c:pt>
                <c:pt idx="49">
                  <c:v>43250</c:v>
                </c:pt>
                <c:pt idx="50">
                  <c:v>43261</c:v>
                </c:pt>
                <c:pt idx="51">
                  <c:v>43271</c:v>
                </c:pt>
                <c:pt idx="52">
                  <c:v>43281</c:v>
                </c:pt>
                <c:pt idx="53">
                  <c:v>43291</c:v>
                </c:pt>
                <c:pt idx="54">
                  <c:v>43301</c:v>
                </c:pt>
                <c:pt idx="55">
                  <c:v>43311</c:v>
                </c:pt>
                <c:pt idx="56">
                  <c:v>43322</c:v>
                </c:pt>
                <c:pt idx="57">
                  <c:v>43332</c:v>
                </c:pt>
                <c:pt idx="58">
                  <c:v>43342</c:v>
                </c:pt>
                <c:pt idx="59">
                  <c:v>43353</c:v>
                </c:pt>
                <c:pt idx="60">
                  <c:v>43363</c:v>
                </c:pt>
                <c:pt idx="61">
                  <c:v>43373</c:v>
                </c:pt>
                <c:pt idx="62">
                  <c:v>43383</c:v>
                </c:pt>
                <c:pt idx="63">
                  <c:v>43393</c:v>
                </c:pt>
                <c:pt idx="64">
                  <c:v>43605</c:v>
                </c:pt>
                <c:pt idx="65">
                  <c:v>43615</c:v>
                </c:pt>
                <c:pt idx="66">
                  <c:v>43626</c:v>
                </c:pt>
                <c:pt idx="67">
                  <c:v>43636</c:v>
                </c:pt>
                <c:pt idx="68">
                  <c:v>43646</c:v>
                </c:pt>
                <c:pt idx="69">
                  <c:v>43656</c:v>
                </c:pt>
                <c:pt idx="70">
                  <c:v>43666</c:v>
                </c:pt>
                <c:pt idx="71">
                  <c:v>43676</c:v>
                </c:pt>
                <c:pt idx="72">
                  <c:v>43687</c:v>
                </c:pt>
                <c:pt idx="73">
                  <c:v>43697</c:v>
                </c:pt>
                <c:pt idx="74">
                  <c:v>43707</c:v>
                </c:pt>
              </c:numCache>
            </c:numRef>
          </c:xVal>
          <c:yVal>
            <c:numRef>
              <c:f>'P6-07'!$F$8:$F$100</c:f>
              <c:numCache>
                <c:formatCode>0.0</c:formatCode>
                <c:ptCount val="93"/>
                <c:pt idx="0">
                  <c:v>732.10837692799214</c:v>
                </c:pt>
                <c:pt idx="1">
                  <c:v>731.1306009885343</c:v>
                </c:pt>
                <c:pt idx="2">
                  <c:v>731.07569681747304</c:v>
                </c:pt>
                <c:pt idx="3">
                  <c:v>731.07795389253431</c:v>
                </c:pt>
                <c:pt idx="4">
                  <c:v>730.99196277282499</c:v>
                </c:pt>
                <c:pt idx="5">
                  <c:v>730.95212275464007</c:v>
                </c:pt>
                <c:pt idx="6">
                  <c:v>730.91909473040369</c:v>
                </c:pt>
                <c:pt idx="7">
                  <c:v>731.14593442419107</c:v>
                </c:pt>
                <c:pt idx="8">
                  <c:v>731.27436241446344</c:v>
                </c:pt>
                <c:pt idx="9">
                  <c:v>730.91076061610397</c:v>
                </c:pt>
                <c:pt idx="10">
                  <c:v>730.97064596871508</c:v>
                </c:pt>
                <c:pt idx="11">
                  <c:v>731.03849917134062</c:v>
                </c:pt>
                <c:pt idx="12">
                  <c:v>731.12128701528104</c:v>
                </c:pt>
                <c:pt idx="13">
                  <c:v>731.50279291878496</c:v>
                </c:pt>
                <c:pt idx="14">
                  <c:v>731.49764109928378</c:v>
                </c:pt>
                <c:pt idx="15">
                  <c:v>731.36728234720363</c:v>
                </c:pt>
                <c:pt idx="16">
                  <c:v>730.94813743034376</c:v>
                </c:pt>
                <c:pt idx="17">
                  <c:v>731.03115404047367</c:v>
                </c:pt>
                <c:pt idx="18">
                  <c:v>731.54433949380234</c:v>
                </c:pt>
                <c:pt idx="19">
                  <c:v>731.26727409806267</c:v>
                </c:pt>
                <c:pt idx="20">
                  <c:v>731.28543972732575</c:v>
                </c:pt>
                <c:pt idx="21">
                  <c:v>731.31802789997073</c:v>
                </c:pt>
                <c:pt idx="22">
                  <c:v>731.37651416760104</c:v>
                </c:pt>
                <c:pt idx="23">
                  <c:v>731.46510897955739</c:v>
                </c:pt>
                <c:pt idx="24">
                  <c:v>731.33534203077386</c:v>
                </c:pt>
                <c:pt idx="25">
                  <c:v>731.30998938015603</c:v>
                </c:pt>
                <c:pt idx="26">
                  <c:v>731.44119177477194</c:v>
                </c:pt>
                <c:pt idx="27">
                  <c:v>731.60795451902902</c:v>
                </c:pt>
                <c:pt idx="28">
                  <c:v>735.26896013152373</c:v>
                </c:pt>
                <c:pt idx="29">
                  <c:v>735.14061411746877</c:v>
                </c:pt>
                <c:pt idx="30">
                  <c:v>733.83227331596925</c:v>
                </c:pt>
                <c:pt idx="31">
                  <c:v>734.83675813618652</c:v>
                </c:pt>
                <c:pt idx="32">
                  <c:v>734.20581515837819</c:v>
                </c:pt>
                <c:pt idx="33">
                  <c:v>734.54304520257392</c:v>
                </c:pt>
                <c:pt idx="34">
                  <c:v>734.29694612900005</c:v>
                </c:pt>
                <c:pt idx="35">
                  <c:v>734.42780007613442</c:v>
                </c:pt>
                <c:pt idx="36">
                  <c:v>736.47311634298421</c:v>
                </c:pt>
                <c:pt idx="37">
                  <c:v>736.20888454845772</c:v>
                </c:pt>
                <c:pt idx="38">
                  <c:v>736.02559810041907</c:v>
                </c:pt>
                <c:pt idx="39">
                  <c:v>736.22789429909164</c:v>
                </c:pt>
                <c:pt idx="40">
                  <c:v>736.38968795513688</c:v>
                </c:pt>
                <c:pt idx="41">
                  <c:v>736.24513127253533</c:v>
                </c:pt>
                <c:pt idx="42">
                  <c:v>736.41214193942244</c:v>
                </c:pt>
                <c:pt idx="43">
                  <c:v>736.41549449342676</c:v>
                </c:pt>
                <c:pt idx="44">
                  <c:v>736.34485157582162</c:v>
                </c:pt>
                <c:pt idx="45">
                  <c:v>736.19807232581047</c:v>
                </c:pt>
                <c:pt idx="46">
                  <c:v>736.31679861357804</c:v>
                </c:pt>
                <c:pt idx="47">
                  <c:v>736.26694377228</c:v>
                </c:pt>
                <c:pt idx="48">
                  <c:v>736.2356304756247</c:v>
                </c:pt>
                <c:pt idx="49">
                  <c:v>736.28968590282409</c:v>
                </c:pt>
                <c:pt idx="50">
                  <c:v>736.64130730468958</c:v>
                </c:pt>
                <c:pt idx="51">
                  <c:v>737.72092635785953</c:v>
                </c:pt>
                <c:pt idx="52">
                  <c:v>737.29484539334396</c:v>
                </c:pt>
                <c:pt idx="53">
                  <c:v>736.57473913047966</c:v>
                </c:pt>
                <c:pt idx="54">
                  <c:v>736.71440733429233</c:v>
                </c:pt>
                <c:pt idx="55">
                  <c:v>736.689346148254</c:v>
                </c:pt>
                <c:pt idx="56">
                  <c:v>737.00025375676819</c:v>
                </c:pt>
                <c:pt idx="57">
                  <c:v>736.75274655816804</c:v>
                </c:pt>
                <c:pt idx="58">
                  <c:v>737.49652663924815</c:v>
                </c:pt>
                <c:pt idx="59">
                  <c:v>738.0011367502899</c:v>
                </c:pt>
                <c:pt idx="60">
                  <c:v>737.173454535377</c:v>
                </c:pt>
                <c:pt idx="61">
                  <c:v>736.97405449656355</c:v>
                </c:pt>
                <c:pt idx="62">
                  <c:v>736.95642624508275</c:v>
                </c:pt>
                <c:pt idx="63">
                  <c:v>736.88501244319912</c:v>
                </c:pt>
                <c:pt idx="64">
                  <c:v>736.62764739604972</c:v>
                </c:pt>
                <c:pt idx="65">
                  <c:v>736.63295526571096</c:v>
                </c:pt>
                <c:pt idx="66">
                  <c:v>736.65270872136887</c:v>
                </c:pt>
                <c:pt idx="67">
                  <c:v>736.66919873479628</c:v>
                </c:pt>
                <c:pt idx="68">
                  <c:v>737.23877380256681</c:v>
                </c:pt>
                <c:pt idx="69">
                  <c:v>737.24399885826756</c:v>
                </c:pt>
                <c:pt idx="70">
                  <c:v>737.24979792964348</c:v>
                </c:pt>
                <c:pt idx="71">
                  <c:v>737.27257953097239</c:v>
                </c:pt>
                <c:pt idx="72">
                  <c:v>737.30719814555812</c:v>
                </c:pt>
                <c:pt idx="73">
                  <c:v>737.31683992433295</c:v>
                </c:pt>
                <c:pt idx="74">
                  <c:v>737.86839095106939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1636368"/>
        <c:axId val="-161645616"/>
      </c:scatterChart>
      <c:valAx>
        <c:axId val="-161636368"/>
        <c:scaling>
          <c:orientation val="minMax"/>
          <c:max val="43282"/>
          <c:min val="42248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prstDash val="sysDot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>
                    <a:solidFill>
                      <a:sysClr val="windowText" lastClr="000000"/>
                    </a:solidFill>
                  </a:rPr>
                  <a:t>日期</a:t>
                </a:r>
              </a:p>
            </c:rich>
          </c:tx>
          <c:layout>
            <c:manualLayout>
              <c:xMode val="edge"/>
              <c:yMode val="edge"/>
              <c:x val="0.86776268129631551"/>
              <c:y val="0.8935185185185186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-161645616"/>
        <c:crosses val="autoZero"/>
        <c:crossBetween val="midCat"/>
        <c:majorUnit val="312"/>
      </c:valAx>
      <c:valAx>
        <c:axId val="-16164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prstDash val="sysDot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>
                    <a:solidFill>
                      <a:sysClr val="windowText" lastClr="000000"/>
                    </a:solidFill>
                  </a:rPr>
                  <a:t>高程</a:t>
                </a:r>
                <a:r>
                  <a:rPr lang="en-US" altLang="zh-CN">
                    <a:solidFill>
                      <a:sysClr val="windowText" lastClr="000000"/>
                    </a:solidFill>
                  </a:rPr>
                  <a:t>(m)</a:t>
                </a:r>
                <a:endParaRPr lang="zh-CN" altLang="en-US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-161636368"/>
        <c:crosses val="autoZero"/>
        <c:crossBetween val="midCat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8234165067178504"/>
          <c:y val="0.90277777777777779"/>
          <c:w val="0.63915547024952513"/>
          <c:h val="7.6388888888888895E-2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433" l="0.70000000000000062" r="0.70000000000000062" t="0.75000000000000433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222440944881888"/>
          <c:y val="8.3807961504811915E-2"/>
          <c:w val="0.75499781277340361"/>
          <c:h val="0.68673009623797032"/>
        </c:manualLayout>
      </c:layout>
      <c:scatterChart>
        <c:scatterStyle val="smoothMarker"/>
        <c:varyColors val="0"/>
        <c:ser>
          <c:idx val="1"/>
          <c:order val="0"/>
          <c:tx>
            <c:v>P6-1</c:v>
          </c:tx>
          <c:spPr>
            <a:ln w="22225">
              <a:solidFill>
                <a:sysClr val="windowText" lastClr="000000"/>
              </a:solidFill>
            </a:ln>
          </c:spPr>
          <c:marker>
            <c:symbol val="none"/>
          </c:marker>
          <c:xVal>
            <c:numRef>
              <c:f>'P6-01'!$A$8:$A$75</c:f>
              <c:numCache>
                <c:formatCode>m/d/yyyy</c:formatCode>
                <c:ptCount val="68"/>
                <c:pt idx="0">
                  <c:v>42249</c:v>
                </c:pt>
                <c:pt idx="1">
                  <c:v>42250</c:v>
                </c:pt>
                <c:pt idx="2">
                  <c:v>42251</c:v>
                </c:pt>
                <c:pt idx="3">
                  <c:v>42252</c:v>
                </c:pt>
                <c:pt idx="4">
                  <c:v>42253</c:v>
                </c:pt>
                <c:pt idx="5">
                  <c:v>42254</c:v>
                </c:pt>
                <c:pt idx="6">
                  <c:v>42255</c:v>
                </c:pt>
                <c:pt idx="7">
                  <c:v>42259</c:v>
                </c:pt>
                <c:pt idx="8">
                  <c:v>42266</c:v>
                </c:pt>
                <c:pt idx="9">
                  <c:v>42273</c:v>
                </c:pt>
                <c:pt idx="10">
                  <c:v>42280</c:v>
                </c:pt>
                <c:pt idx="11">
                  <c:v>42287</c:v>
                </c:pt>
                <c:pt idx="12">
                  <c:v>42294</c:v>
                </c:pt>
                <c:pt idx="13">
                  <c:v>42301</c:v>
                </c:pt>
                <c:pt idx="14">
                  <c:v>42485</c:v>
                </c:pt>
                <c:pt idx="15">
                  <c:v>42501</c:v>
                </c:pt>
                <c:pt idx="16">
                  <c:v>42520</c:v>
                </c:pt>
                <c:pt idx="17">
                  <c:v>42531</c:v>
                </c:pt>
                <c:pt idx="18">
                  <c:v>42541</c:v>
                </c:pt>
                <c:pt idx="19">
                  <c:v>42551</c:v>
                </c:pt>
                <c:pt idx="20">
                  <c:v>42561</c:v>
                </c:pt>
                <c:pt idx="21">
                  <c:v>42571</c:v>
                </c:pt>
                <c:pt idx="22">
                  <c:v>42581</c:v>
                </c:pt>
                <c:pt idx="23">
                  <c:v>42592</c:v>
                </c:pt>
                <c:pt idx="24">
                  <c:v>42602</c:v>
                </c:pt>
                <c:pt idx="25">
                  <c:v>42612</c:v>
                </c:pt>
                <c:pt idx="26">
                  <c:v>42623</c:v>
                </c:pt>
                <c:pt idx="27">
                  <c:v>42633</c:v>
                </c:pt>
                <c:pt idx="28">
                  <c:v>42643</c:v>
                </c:pt>
                <c:pt idx="29">
                  <c:v>42653</c:v>
                </c:pt>
                <c:pt idx="30">
                  <c:v>42855</c:v>
                </c:pt>
                <c:pt idx="31">
                  <c:v>42865</c:v>
                </c:pt>
                <c:pt idx="32">
                  <c:v>42875</c:v>
                </c:pt>
                <c:pt idx="33">
                  <c:v>42885</c:v>
                </c:pt>
                <c:pt idx="34">
                  <c:v>42896</c:v>
                </c:pt>
                <c:pt idx="35">
                  <c:v>42906</c:v>
                </c:pt>
                <c:pt idx="36">
                  <c:v>42916</c:v>
                </c:pt>
                <c:pt idx="37">
                  <c:v>42926</c:v>
                </c:pt>
                <c:pt idx="38">
                  <c:v>42936</c:v>
                </c:pt>
                <c:pt idx="39">
                  <c:v>42946</c:v>
                </c:pt>
                <c:pt idx="40">
                  <c:v>42957</c:v>
                </c:pt>
                <c:pt idx="41">
                  <c:v>42967</c:v>
                </c:pt>
                <c:pt idx="42">
                  <c:v>42977</c:v>
                </c:pt>
                <c:pt idx="43">
                  <c:v>42988</c:v>
                </c:pt>
                <c:pt idx="44">
                  <c:v>42998</c:v>
                </c:pt>
                <c:pt idx="45">
                  <c:v>43008</c:v>
                </c:pt>
                <c:pt idx="46">
                  <c:v>43018</c:v>
                </c:pt>
                <c:pt idx="47">
                  <c:v>43230</c:v>
                </c:pt>
                <c:pt idx="48">
                  <c:v>43240</c:v>
                </c:pt>
                <c:pt idx="49">
                  <c:v>43250</c:v>
                </c:pt>
                <c:pt idx="50">
                  <c:v>43261</c:v>
                </c:pt>
                <c:pt idx="51">
                  <c:v>43271</c:v>
                </c:pt>
                <c:pt idx="52">
                  <c:v>43281</c:v>
                </c:pt>
                <c:pt idx="53">
                  <c:v>43291</c:v>
                </c:pt>
                <c:pt idx="54">
                  <c:v>43301</c:v>
                </c:pt>
                <c:pt idx="55">
                  <c:v>43311</c:v>
                </c:pt>
                <c:pt idx="56">
                  <c:v>43322</c:v>
                </c:pt>
                <c:pt idx="57">
                  <c:v>43332</c:v>
                </c:pt>
                <c:pt idx="58">
                  <c:v>43342</c:v>
                </c:pt>
                <c:pt idx="59">
                  <c:v>43353</c:v>
                </c:pt>
                <c:pt idx="60">
                  <c:v>43363</c:v>
                </c:pt>
                <c:pt idx="61">
                  <c:v>43373</c:v>
                </c:pt>
                <c:pt idx="62">
                  <c:v>43383</c:v>
                </c:pt>
                <c:pt idx="63">
                  <c:v>43393</c:v>
                </c:pt>
                <c:pt idx="64">
                  <c:v>43605</c:v>
                </c:pt>
                <c:pt idx="65">
                  <c:v>43615</c:v>
                </c:pt>
                <c:pt idx="66">
                  <c:v>43626</c:v>
                </c:pt>
                <c:pt idx="67">
                  <c:v>43636</c:v>
                </c:pt>
              </c:numCache>
            </c:numRef>
          </c:xVal>
          <c:yVal>
            <c:numRef>
              <c:f>'P6-01'!$E$8:$E$75</c:f>
              <c:numCache>
                <c:formatCode>0.000_ </c:formatCode>
                <c:ptCount val="68"/>
                <c:pt idx="0">
                  <c:v>3.9896951360187463E-2</c:v>
                </c:pt>
                <c:pt idx="1">
                  <c:v>4.107852986491882E-2</c:v>
                </c:pt>
                <c:pt idx="2">
                  <c:v>4.1101191565891385E-2</c:v>
                </c:pt>
                <c:pt idx="3">
                  <c:v>4.1101191565891385E-2</c:v>
                </c:pt>
                <c:pt idx="4">
                  <c:v>4.0722107668989468E-2</c:v>
                </c:pt>
                <c:pt idx="5">
                  <c:v>4.0750603435870045E-2</c:v>
                </c:pt>
                <c:pt idx="6">
                  <c:v>4.0408655016727787E-2</c:v>
                </c:pt>
                <c:pt idx="7">
                  <c:v>4.0437150653037365E-2</c:v>
                </c:pt>
                <c:pt idx="8">
                  <c:v>4.2796714944433226E-2</c:v>
                </c:pt>
                <c:pt idx="9">
                  <c:v>4.2668480614948948E-2</c:v>
                </c:pt>
                <c:pt idx="10">
                  <c:v>4.3756973526403328E-2</c:v>
                </c:pt>
                <c:pt idx="11">
                  <c:v>4.4986867519389961E-2</c:v>
                </c:pt>
                <c:pt idx="12">
                  <c:v>4.6707977461023467E-2</c:v>
                </c:pt>
                <c:pt idx="13">
                  <c:v>4.7091206708932895E-2</c:v>
                </c:pt>
                <c:pt idx="14">
                  <c:v>4.4419532568450368E-2</c:v>
                </c:pt>
                <c:pt idx="15">
                  <c:v>4.6012218120056958E-2</c:v>
                </c:pt>
                <c:pt idx="16">
                  <c:v>4.5262641783773136E-2</c:v>
                </c:pt>
                <c:pt idx="17">
                  <c:v>4.5464941850141521E-2</c:v>
                </c:pt>
                <c:pt idx="18">
                  <c:v>5.6366379723615162E-2</c:v>
                </c:pt>
                <c:pt idx="19">
                  <c:v>4.8072578763080936E-2</c:v>
                </c:pt>
                <c:pt idx="20">
                  <c:v>5.0594813928979937E-2</c:v>
                </c:pt>
                <c:pt idx="21">
                  <c:v>4.8599817976290344E-2</c:v>
                </c:pt>
                <c:pt idx="22">
                  <c:v>4.8750929899551473E-2</c:v>
                </c:pt>
                <c:pt idx="23">
                  <c:v>5.1132019224553973E-2</c:v>
                </c:pt>
                <c:pt idx="24">
                  <c:v>5.0128864780743396E-2</c:v>
                </c:pt>
                <c:pt idx="25">
                  <c:v>5.024004544382725E-2</c:v>
                </c:pt>
                <c:pt idx="26">
                  <c:v>5.2723903487628343E-2</c:v>
                </c:pt>
                <c:pt idx="27">
                  <c:v>6.0968427199130981E-2</c:v>
                </c:pt>
                <c:pt idx="28">
                  <c:v>0.10403536806637689</c:v>
                </c:pt>
                <c:pt idx="29">
                  <c:v>0.10246805817605953</c:v>
                </c:pt>
                <c:pt idx="30">
                  <c:v>0.10152830463483731</c:v>
                </c:pt>
                <c:pt idx="31">
                  <c:v>0.10870134889429439</c:v>
                </c:pt>
                <c:pt idx="32">
                  <c:v>9.7920039716317464E-2</c:v>
                </c:pt>
                <c:pt idx="33">
                  <c:v>9.5302210741452828E-2</c:v>
                </c:pt>
                <c:pt idx="34">
                  <c:v>9.5534952842779519E-2</c:v>
                </c:pt>
                <c:pt idx="35">
                  <c:v>9.7748131878473074E-2</c:v>
                </c:pt>
                <c:pt idx="36">
                  <c:v>9.7840631149788901E-2</c:v>
                </c:pt>
                <c:pt idx="37">
                  <c:v>9.514399821490345E-2</c:v>
                </c:pt>
                <c:pt idx="38">
                  <c:v>9.420696476002946E-2</c:v>
                </c:pt>
                <c:pt idx="39">
                  <c:v>9.5401859249999985E-2</c:v>
                </c:pt>
                <c:pt idx="40">
                  <c:v>9.6943245634618647E-2</c:v>
                </c:pt>
                <c:pt idx="41">
                  <c:v>9.5279130116954949E-2</c:v>
                </c:pt>
                <c:pt idx="42">
                  <c:v>9.6854800827653922E-2</c:v>
                </c:pt>
                <c:pt idx="43">
                  <c:v>9.6953087928159418E-2</c:v>
                </c:pt>
                <c:pt idx="44">
                  <c:v>9.6683514106856897E-2</c:v>
                </c:pt>
                <c:pt idx="45">
                  <c:v>9.6048969700254186E-2</c:v>
                </c:pt>
                <c:pt idx="46">
                  <c:v>9.6362676312877385E-2</c:v>
                </c:pt>
                <c:pt idx="47">
                  <c:v>9.6118907146613905E-2</c:v>
                </c:pt>
                <c:pt idx="48">
                  <c:v>9.5702500774952792E-2</c:v>
                </c:pt>
                <c:pt idx="49">
                  <c:v>9.6910309179495654E-2</c:v>
                </c:pt>
                <c:pt idx="50">
                  <c:v>0.10179593986556752</c:v>
                </c:pt>
                <c:pt idx="51">
                  <c:v>0.11729642919588204</c:v>
                </c:pt>
                <c:pt idx="52">
                  <c:v>0.1094878948205176</c:v>
                </c:pt>
                <c:pt idx="53">
                  <c:v>0.10293858009159761</c:v>
                </c:pt>
                <c:pt idx="54">
                  <c:v>0.10061696105503795</c:v>
                </c:pt>
                <c:pt idx="55">
                  <c:v>0.10051290015948651</c:v>
                </c:pt>
                <c:pt idx="56">
                  <c:v>0.10398788271884318</c:v>
                </c:pt>
                <c:pt idx="57">
                  <c:v>0.10101336473811516</c:v>
                </c:pt>
                <c:pt idx="58">
                  <c:v>0.11039170258754261</c:v>
                </c:pt>
                <c:pt idx="59">
                  <c:v>0.11606942818638435</c:v>
                </c:pt>
                <c:pt idx="60">
                  <c:v>0.1046811160864263</c:v>
                </c:pt>
                <c:pt idx="61">
                  <c:v>0.10323939928589287</c:v>
                </c:pt>
                <c:pt idx="62">
                  <c:v>0.1030397444982305</c:v>
                </c:pt>
                <c:pt idx="63">
                  <c:v>0.1027075072166163</c:v>
                </c:pt>
                <c:pt idx="64">
                  <c:v>0.10202030475393198</c:v>
                </c:pt>
                <c:pt idx="65">
                  <c:v>0.10199601760537454</c:v>
                </c:pt>
                <c:pt idx="66">
                  <c:v>0.10199735693951882</c:v>
                </c:pt>
                <c:pt idx="67">
                  <c:v>0.10211278346033414</c:v>
                </c:pt>
              </c:numCache>
            </c:numRef>
          </c:yVal>
          <c:smooth val="1"/>
        </c:ser>
        <c:ser>
          <c:idx val="0"/>
          <c:order val="1"/>
          <c:tx>
            <c:v>P6-5</c:v>
          </c:tx>
          <c:spPr>
            <a:ln w="19050">
              <a:solidFill>
                <a:schemeClr val="tx1"/>
              </a:solidFill>
              <a:prstDash val="lgDashDotDot"/>
            </a:ln>
          </c:spPr>
          <c:marker>
            <c:symbol val="none"/>
          </c:marker>
          <c:xVal>
            <c:numRef>
              <c:f>'P6-05'!$A$8:$A$75</c:f>
              <c:numCache>
                <c:formatCode>m/d/yyyy</c:formatCode>
                <c:ptCount val="68"/>
                <c:pt idx="0">
                  <c:v>42249</c:v>
                </c:pt>
                <c:pt idx="1">
                  <c:v>42250</c:v>
                </c:pt>
                <c:pt idx="2">
                  <c:v>42251</c:v>
                </c:pt>
                <c:pt idx="3">
                  <c:v>42252</c:v>
                </c:pt>
                <c:pt idx="4">
                  <c:v>42253</c:v>
                </c:pt>
                <c:pt idx="5">
                  <c:v>42254</c:v>
                </c:pt>
                <c:pt idx="6">
                  <c:v>42255</c:v>
                </c:pt>
                <c:pt idx="7">
                  <c:v>42259</c:v>
                </c:pt>
                <c:pt idx="8">
                  <c:v>42266</c:v>
                </c:pt>
                <c:pt idx="9">
                  <c:v>42273</c:v>
                </c:pt>
                <c:pt idx="10">
                  <c:v>42280</c:v>
                </c:pt>
                <c:pt idx="11">
                  <c:v>42287</c:v>
                </c:pt>
                <c:pt idx="12">
                  <c:v>42294</c:v>
                </c:pt>
                <c:pt idx="13">
                  <c:v>42301</c:v>
                </c:pt>
                <c:pt idx="14">
                  <c:v>42485</c:v>
                </c:pt>
                <c:pt idx="15">
                  <c:v>42501</c:v>
                </c:pt>
                <c:pt idx="16">
                  <c:v>42520</c:v>
                </c:pt>
                <c:pt idx="17">
                  <c:v>42531</c:v>
                </c:pt>
                <c:pt idx="18">
                  <c:v>42544</c:v>
                </c:pt>
                <c:pt idx="19">
                  <c:v>42551</c:v>
                </c:pt>
                <c:pt idx="20">
                  <c:v>42561</c:v>
                </c:pt>
                <c:pt idx="21">
                  <c:v>42571</c:v>
                </c:pt>
                <c:pt idx="22">
                  <c:v>42581</c:v>
                </c:pt>
                <c:pt idx="23">
                  <c:v>42592</c:v>
                </c:pt>
                <c:pt idx="24">
                  <c:v>42602</c:v>
                </c:pt>
                <c:pt idx="25">
                  <c:v>42612</c:v>
                </c:pt>
                <c:pt idx="26">
                  <c:v>42623</c:v>
                </c:pt>
                <c:pt idx="27">
                  <c:v>42633</c:v>
                </c:pt>
                <c:pt idx="28">
                  <c:v>42643</c:v>
                </c:pt>
                <c:pt idx="29">
                  <c:v>42653</c:v>
                </c:pt>
                <c:pt idx="30">
                  <c:v>42855</c:v>
                </c:pt>
                <c:pt idx="31">
                  <c:v>42865</c:v>
                </c:pt>
                <c:pt idx="32">
                  <c:v>42875</c:v>
                </c:pt>
                <c:pt idx="33">
                  <c:v>42885</c:v>
                </c:pt>
                <c:pt idx="34">
                  <c:v>42896</c:v>
                </c:pt>
                <c:pt idx="35">
                  <c:v>42906</c:v>
                </c:pt>
                <c:pt idx="36">
                  <c:v>42916</c:v>
                </c:pt>
                <c:pt idx="37">
                  <c:v>42926</c:v>
                </c:pt>
                <c:pt idx="38">
                  <c:v>42936</c:v>
                </c:pt>
                <c:pt idx="39">
                  <c:v>42946</c:v>
                </c:pt>
                <c:pt idx="40">
                  <c:v>42957</c:v>
                </c:pt>
                <c:pt idx="41">
                  <c:v>42967</c:v>
                </c:pt>
                <c:pt idx="42">
                  <c:v>42977</c:v>
                </c:pt>
                <c:pt idx="43">
                  <c:v>42988</c:v>
                </c:pt>
                <c:pt idx="44">
                  <c:v>42998</c:v>
                </c:pt>
                <c:pt idx="45">
                  <c:v>43008</c:v>
                </c:pt>
                <c:pt idx="46">
                  <c:v>43018</c:v>
                </c:pt>
                <c:pt idx="47">
                  <c:v>43230</c:v>
                </c:pt>
                <c:pt idx="48">
                  <c:v>43240</c:v>
                </c:pt>
                <c:pt idx="49">
                  <c:v>43250</c:v>
                </c:pt>
                <c:pt idx="50">
                  <c:v>43261</c:v>
                </c:pt>
                <c:pt idx="51">
                  <c:v>43271</c:v>
                </c:pt>
                <c:pt idx="52">
                  <c:v>43281</c:v>
                </c:pt>
                <c:pt idx="53">
                  <c:v>43291</c:v>
                </c:pt>
                <c:pt idx="54">
                  <c:v>43301</c:v>
                </c:pt>
                <c:pt idx="55">
                  <c:v>43311</c:v>
                </c:pt>
                <c:pt idx="56">
                  <c:v>43322</c:v>
                </c:pt>
                <c:pt idx="57">
                  <c:v>43332</c:v>
                </c:pt>
                <c:pt idx="58">
                  <c:v>43342</c:v>
                </c:pt>
                <c:pt idx="59">
                  <c:v>43353</c:v>
                </c:pt>
                <c:pt idx="60">
                  <c:v>43363</c:v>
                </c:pt>
                <c:pt idx="61">
                  <c:v>43373</c:v>
                </c:pt>
                <c:pt idx="62">
                  <c:v>43383</c:v>
                </c:pt>
                <c:pt idx="63">
                  <c:v>43393</c:v>
                </c:pt>
                <c:pt idx="64">
                  <c:v>43605</c:v>
                </c:pt>
                <c:pt idx="65">
                  <c:v>43615</c:v>
                </c:pt>
                <c:pt idx="66">
                  <c:v>43626</c:v>
                </c:pt>
                <c:pt idx="67">
                  <c:v>43636</c:v>
                </c:pt>
              </c:numCache>
            </c:numRef>
          </c:xVal>
          <c:yVal>
            <c:numRef>
              <c:f>'P6-05'!$E$8:$E$75</c:f>
              <c:numCache>
                <c:formatCode>0.000_ </c:formatCode>
                <c:ptCount val="68"/>
                <c:pt idx="0">
                  <c:v>2.6203383786830885E-2</c:v>
                </c:pt>
                <c:pt idx="1">
                  <c:v>2.4313893990203932E-2</c:v>
                </c:pt>
                <c:pt idx="2">
                  <c:v>2.4277061533564914E-2</c:v>
                </c:pt>
                <c:pt idx="3">
                  <c:v>3.0523572617159222E-2</c:v>
                </c:pt>
                <c:pt idx="4">
                  <c:v>2.7610385015201706E-2</c:v>
                </c:pt>
                <c:pt idx="5">
                  <c:v>2.8685353956648587E-2</c:v>
                </c:pt>
                <c:pt idx="6">
                  <c:v>2.8699464070069371E-2</c:v>
                </c:pt>
                <c:pt idx="7">
                  <c:v>2.9986377252673817E-2</c:v>
                </c:pt>
                <c:pt idx="8">
                  <c:v>2.9967980371023207E-2</c:v>
                </c:pt>
                <c:pt idx="9">
                  <c:v>2.8273543456688043E-2</c:v>
                </c:pt>
                <c:pt idx="10">
                  <c:v>2.7167559341308264E-2</c:v>
                </c:pt>
                <c:pt idx="11">
                  <c:v>2.7693073594961672E-2</c:v>
                </c:pt>
                <c:pt idx="12">
                  <c:v>2.8615409875990882E-2</c:v>
                </c:pt>
                <c:pt idx="13">
                  <c:v>3.2815618272226482E-2</c:v>
                </c:pt>
                <c:pt idx="14">
                  <c:v>3.3036770446396288E-2</c:v>
                </c:pt>
                <c:pt idx="15">
                  <c:v>3.2234418103181811E-2</c:v>
                </c:pt>
                <c:pt idx="16">
                  <c:v>3.1987532635420368E-2</c:v>
                </c:pt>
                <c:pt idx="17">
                  <c:v>3.2333467338432523E-2</c:v>
                </c:pt>
                <c:pt idx="18">
                  <c:v>4.2069251541854341E-2</c:v>
                </c:pt>
                <c:pt idx="19">
                  <c:v>3.5497251151945713E-2</c:v>
                </c:pt>
                <c:pt idx="20">
                  <c:v>3.6953329498643356E-2</c:v>
                </c:pt>
                <c:pt idx="21">
                  <c:v>3.7878805793754508E-2</c:v>
                </c:pt>
                <c:pt idx="22">
                  <c:v>3.8700453107818666E-2</c:v>
                </c:pt>
                <c:pt idx="23">
                  <c:v>3.723646200674266E-2</c:v>
                </c:pt>
                <c:pt idx="24">
                  <c:v>3.3926449732450098E-2</c:v>
                </c:pt>
                <c:pt idx="25">
                  <c:v>3.6178486595360909E-2</c:v>
                </c:pt>
                <c:pt idx="26">
                  <c:v>3.7760541353857049E-2</c:v>
                </c:pt>
                <c:pt idx="27">
                  <c:v>4.2074565159256352E-2</c:v>
                </c:pt>
                <c:pt idx="28">
                  <c:v>7.829806462396427E-2</c:v>
                </c:pt>
                <c:pt idx="29">
                  <c:v>7.6391159142699949E-2</c:v>
                </c:pt>
                <c:pt idx="30">
                  <c:v>6.9073871569002895E-2</c:v>
                </c:pt>
                <c:pt idx="31">
                  <c:v>7.7084256654949168E-2</c:v>
                </c:pt>
                <c:pt idx="32">
                  <c:v>6.8195103168832538E-2</c:v>
                </c:pt>
                <c:pt idx="33">
                  <c:v>7.0661479135903704E-2</c:v>
                </c:pt>
                <c:pt idx="34">
                  <c:v>6.9421185811631272E-2</c:v>
                </c:pt>
                <c:pt idx="35">
                  <c:v>7.180988298057929E-2</c:v>
                </c:pt>
                <c:pt idx="36">
                  <c:v>8.266594399179214E-2</c:v>
                </c:pt>
                <c:pt idx="37">
                  <c:v>7.2894554321837363E-2</c:v>
                </c:pt>
                <c:pt idx="38">
                  <c:v>6.3138441241064519E-2</c:v>
                </c:pt>
                <c:pt idx="39">
                  <c:v>7.8772488462076337E-2</c:v>
                </c:pt>
                <c:pt idx="40">
                  <c:v>8.178476176947401E-2</c:v>
                </c:pt>
                <c:pt idx="41">
                  <c:v>8.0189996729007992E-2</c:v>
                </c:pt>
                <c:pt idx="42">
                  <c:v>8.2228911644940922E-2</c:v>
                </c:pt>
                <c:pt idx="43">
                  <c:v>8.2120849607294419E-2</c:v>
                </c:pt>
                <c:pt idx="44">
                  <c:v>8.1391678819187352E-2</c:v>
                </c:pt>
                <c:pt idx="45">
                  <c:v>8.0615056998409929E-2</c:v>
                </c:pt>
                <c:pt idx="46">
                  <c:v>8.1185045971206737E-2</c:v>
                </c:pt>
                <c:pt idx="47">
                  <c:v>8.0991483399194153E-2</c:v>
                </c:pt>
                <c:pt idx="48">
                  <c:v>8.0236268665576538E-2</c:v>
                </c:pt>
                <c:pt idx="49">
                  <c:v>7.8518316354044881E-2</c:v>
                </c:pt>
                <c:pt idx="50">
                  <c:v>8.5266749644405226E-2</c:v>
                </c:pt>
                <c:pt idx="51">
                  <c:v>9.3592173619093832E-2</c:v>
                </c:pt>
                <c:pt idx="52">
                  <c:v>8.9241263949943639E-2</c:v>
                </c:pt>
                <c:pt idx="53">
                  <c:v>8.4482531699736907E-2</c:v>
                </c:pt>
                <c:pt idx="54">
                  <c:v>8.5365447137315309E-2</c:v>
                </c:pt>
                <c:pt idx="55">
                  <c:v>8.5256263959927261E-2</c:v>
                </c:pt>
                <c:pt idx="56">
                  <c:v>8.8245453997717285E-2</c:v>
                </c:pt>
                <c:pt idx="57">
                  <c:v>8.5846970551226212E-2</c:v>
                </c:pt>
                <c:pt idx="58">
                  <c:v>9.0813822848744577E-2</c:v>
                </c:pt>
                <c:pt idx="59">
                  <c:v>9.879899042008633E-2</c:v>
                </c:pt>
                <c:pt idx="60">
                  <c:v>8.9662967909506522E-2</c:v>
                </c:pt>
                <c:pt idx="61">
                  <c:v>8.8524388117580094E-2</c:v>
                </c:pt>
                <c:pt idx="62">
                  <c:v>8.8474450733677629E-2</c:v>
                </c:pt>
                <c:pt idx="63">
                  <c:v>8.8165571090509029E-2</c:v>
                </c:pt>
                <c:pt idx="64">
                  <c:v>8.1047464628269394E-2</c:v>
                </c:pt>
                <c:pt idx="65">
                  <c:v>8.1176906802206281E-2</c:v>
                </c:pt>
                <c:pt idx="66">
                  <c:v>8.109138894014005E-2</c:v>
                </c:pt>
                <c:pt idx="67">
                  <c:v>8.1085429230229975E-2</c:v>
                </c:pt>
              </c:numCache>
            </c:numRef>
          </c:yVal>
          <c:smooth val="1"/>
        </c:ser>
        <c:ser>
          <c:idx val="2"/>
          <c:order val="2"/>
          <c:tx>
            <c:v>P6-6</c:v>
          </c:tx>
          <c:spPr>
            <a:ln w="19050">
              <a:solidFill>
                <a:schemeClr val="tx1"/>
              </a:solidFill>
              <a:prstDash val="lgDashDot"/>
            </a:ln>
          </c:spPr>
          <c:marker>
            <c:symbol val="none"/>
          </c:marker>
          <c:xVal>
            <c:numRef>
              <c:f>'P6-06'!$A$8:$A$75</c:f>
              <c:numCache>
                <c:formatCode>m/d/yyyy</c:formatCode>
                <c:ptCount val="68"/>
                <c:pt idx="0">
                  <c:v>42249</c:v>
                </c:pt>
                <c:pt idx="1">
                  <c:v>42250</c:v>
                </c:pt>
                <c:pt idx="2">
                  <c:v>42251</c:v>
                </c:pt>
                <c:pt idx="3">
                  <c:v>42252</c:v>
                </c:pt>
                <c:pt idx="4">
                  <c:v>42253</c:v>
                </c:pt>
                <c:pt idx="5">
                  <c:v>42254</c:v>
                </c:pt>
                <c:pt idx="6">
                  <c:v>42255</c:v>
                </c:pt>
                <c:pt idx="7">
                  <c:v>42259</c:v>
                </c:pt>
                <c:pt idx="8">
                  <c:v>42266</c:v>
                </c:pt>
                <c:pt idx="9">
                  <c:v>42273</c:v>
                </c:pt>
                <c:pt idx="10">
                  <c:v>42280</c:v>
                </c:pt>
                <c:pt idx="11">
                  <c:v>42287</c:v>
                </c:pt>
                <c:pt idx="12">
                  <c:v>42294</c:v>
                </c:pt>
                <c:pt idx="13">
                  <c:v>42301</c:v>
                </c:pt>
                <c:pt idx="14">
                  <c:v>42485</c:v>
                </c:pt>
                <c:pt idx="15">
                  <c:v>42501</c:v>
                </c:pt>
                <c:pt idx="16">
                  <c:v>42520</c:v>
                </c:pt>
                <c:pt idx="17">
                  <c:v>42531</c:v>
                </c:pt>
                <c:pt idx="18">
                  <c:v>42544</c:v>
                </c:pt>
                <c:pt idx="19">
                  <c:v>42551</c:v>
                </c:pt>
                <c:pt idx="20">
                  <c:v>42561</c:v>
                </c:pt>
                <c:pt idx="21">
                  <c:v>42571</c:v>
                </c:pt>
                <c:pt idx="22">
                  <c:v>42581</c:v>
                </c:pt>
                <c:pt idx="23">
                  <c:v>42592</c:v>
                </c:pt>
                <c:pt idx="24">
                  <c:v>42602</c:v>
                </c:pt>
                <c:pt idx="25">
                  <c:v>42612</c:v>
                </c:pt>
                <c:pt idx="26">
                  <c:v>42623</c:v>
                </c:pt>
                <c:pt idx="27">
                  <c:v>42633</c:v>
                </c:pt>
                <c:pt idx="28">
                  <c:v>42643</c:v>
                </c:pt>
                <c:pt idx="29">
                  <c:v>42653</c:v>
                </c:pt>
                <c:pt idx="30">
                  <c:v>42855</c:v>
                </c:pt>
                <c:pt idx="31">
                  <c:v>42865</c:v>
                </c:pt>
                <c:pt idx="32">
                  <c:v>42875</c:v>
                </c:pt>
                <c:pt idx="33">
                  <c:v>42885</c:v>
                </c:pt>
                <c:pt idx="34">
                  <c:v>42896</c:v>
                </c:pt>
                <c:pt idx="35">
                  <c:v>42906</c:v>
                </c:pt>
                <c:pt idx="36">
                  <c:v>42916</c:v>
                </c:pt>
                <c:pt idx="37">
                  <c:v>42926</c:v>
                </c:pt>
                <c:pt idx="38">
                  <c:v>42936</c:v>
                </c:pt>
                <c:pt idx="39">
                  <c:v>42946</c:v>
                </c:pt>
                <c:pt idx="40">
                  <c:v>42957</c:v>
                </c:pt>
                <c:pt idx="41">
                  <c:v>42967</c:v>
                </c:pt>
                <c:pt idx="42">
                  <c:v>42977</c:v>
                </c:pt>
                <c:pt idx="43">
                  <c:v>42988</c:v>
                </c:pt>
                <c:pt idx="44">
                  <c:v>42998</c:v>
                </c:pt>
                <c:pt idx="45">
                  <c:v>43008</c:v>
                </c:pt>
                <c:pt idx="46">
                  <c:v>43018</c:v>
                </c:pt>
                <c:pt idx="47">
                  <c:v>43230</c:v>
                </c:pt>
                <c:pt idx="48">
                  <c:v>43240</c:v>
                </c:pt>
                <c:pt idx="49">
                  <c:v>43250</c:v>
                </c:pt>
                <c:pt idx="50">
                  <c:v>43261</c:v>
                </c:pt>
                <c:pt idx="51">
                  <c:v>43271</c:v>
                </c:pt>
                <c:pt idx="52">
                  <c:v>43281</c:v>
                </c:pt>
                <c:pt idx="53">
                  <c:v>43291</c:v>
                </c:pt>
                <c:pt idx="54">
                  <c:v>43301</c:v>
                </c:pt>
                <c:pt idx="55">
                  <c:v>43311</c:v>
                </c:pt>
                <c:pt idx="56">
                  <c:v>43322</c:v>
                </c:pt>
                <c:pt idx="57">
                  <c:v>43332</c:v>
                </c:pt>
                <c:pt idx="58">
                  <c:v>43342</c:v>
                </c:pt>
                <c:pt idx="59">
                  <c:v>43353</c:v>
                </c:pt>
                <c:pt idx="60">
                  <c:v>43363</c:v>
                </c:pt>
                <c:pt idx="61">
                  <c:v>43373</c:v>
                </c:pt>
                <c:pt idx="62">
                  <c:v>43383</c:v>
                </c:pt>
                <c:pt idx="63">
                  <c:v>43393</c:v>
                </c:pt>
                <c:pt idx="64">
                  <c:v>43605</c:v>
                </c:pt>
                <c:pt idx="65">
                  <c:v>43615</c:v>
                </c:pt>
                <c:pt idx="66">
                  <c:v>43626</c:v>
                </c:pt>
                <c:pt idx="67">
                  <c:v>43636</c:v>
                </c:pt>
              </c:numCache>
            </c:numRef>
          </c:xVal>
          <c:yVal>
            <c:numRef>
              <c:f>'P6-06'!$E$8:$E$75</c:f>
              <c:numCache>
                <c:formatCode>0.000_ </c:formatCode>
                <c:ptCount val="68"/>
                <c:pt idx="0">
                  <c:v>1.2950181280388176E-2</c:v>
                </c:pt>
                <c:pt idx="1">
                  <c:v>1.5873467899165418E-2</c:v>
                </c:pt>
                <c:pt idx="2">
                  <c:v>1.7486672791312968E-2</c:v>
                </c:pt>
                <c:pt idx="3">
                  <c:v>3.7757495389149374E-2</c:v>
                </c:pt>
                <c:pt idx="4">
                  <c:v>3.7042618905277429E-2</c:v>
                </c:pt>
                <c:pt idx="5">
                  <c:v>3.6762166728075911E-2</c:v>
                </c:pt>
                <c:pt idx="6">
                  <c:v>3.6366209473727033E-2</c:v>
                </c:pt>
                <c:pt idx="7">
                  <c:v>3.7002645929200655E-2</c:v>
                </c:pt>
                <c:pt idx="8">
                  <c:v>3.6766763817545296E-2</c:v>
                </c:pt>
                <c:pt idx="9">
                  <c:v>3.5614689722050195E-2</c:v>
                </c:pt>
                <c:pt idx="10">
                  <c:v>3.0701999414499019E-2</c:v>
                </c:pt>
                <c:pt idx="11">
                  <c:v>3.0929239914457556E-2</c:v>
                </c:pt>
                <c:pt idx="12">
                  <c:v>3.0011893799626273E-2</c:v>
                </c:pt>
                <c:pt idx="13">
                  <c:v>3.2788111378537009E-2</c:v>
                </c:pt>
                <c:pt idx="14">
                  <c:v>3.4047988698416749E-2</c:v>
                </c:pt>
                <c:pt idx="15">
                  <c:v>3.2063500898474991E-2</c:v>
                </c:pt>
                <c:pt idx="16">
                  <c:v>2.9967006590080052E-2</c:v>
                </c:pt>
                <c:pt idx="17">
                  <c:v>3.0548599947952601E-2</c:v>
                </c:pt>
                <c:pt idx="18">
                  <c:v>3.893561443445525E-2</c:v>
                </c:pt>
                <c:pt idx="19">
                  <c:v>3.2546196924485161E-2</c:v>
                </c:pt>
                <c:pt idx="20">
                  <c:v>3.382711917427899E-2</c:v>
                </c:pt>
                <c:pt idx="21">
                  <c:v>3.4085575332337019E-2</c:v>
                </c:pt>
                <c:pt idx="22">
                  <c:v>3.487646318768553E-2</c:v>
                </c:pt>
                <c:pt idx="23">
                  <c:v>3.1160676155328616E-2</c:v>
                </c:pt>
                <c:pt idx="24">
                  <c:v>3.1276258884421426E-2</c:v>
                </c:pt>
                <c:pt idx="25">
                  <c:v>3.4563216461189025E-2</c:v>
                </c:pt>
                <c:pt idx="26">
                  <c:v>3.6248383857278986E-2</c:v>
                </c:pt>
                <c:pt idx="27">
                  <c:v>3.6191970095190533E-2</c:v>
                </c:pt>
                <c:pt idx="28">
                  <c:v>7.4521457068035729E-2</c:v>
                </c:pt>
                <c:pt idx="29">
                  <c:v>7.2728278073305536E-2</c:v>
                </c:pt>
                <c:pt idx="30">
                  <c:v>6.334645988036261E-2</c:v>
                </c:pt>
                <c:pt idx="31">
                  <c:v>7.0469329001186992E-2</c:v>
                </c:pt>
                <c:pt idx="32">
                  <c:v>6.3980035977522248E-2</c:v>
                </c:pt>
                <c:pt idx="33">
                  <c:v>6.58996109280649E-2</c:v>
                </c:pt>
                <c:pt idx="34">
                  <c:v>6.4155369826554454E-2</c:v>
                </c:pt>
                <c:pt idx="35">
                  <c:v>6.5898773414377498E-2</c:v>
                </c:pt>
                <c:pt idx="36">
                  <c:v>7.9616903807665534E-2</c:v>
                </c:pt>
                <c:pt idx="37">
                  <c:v>7.5007798262837794E-2</c:v>
                </c:pt>
                <c:pt idx="38">
                  <c:v>6.65612187971511E-2</c:v>
                </c:pt>
                <c:pt idx="39">
                  <c:v>7.5413648992183779E-2</c:v>
                </c:pt>
                <c:pt idx="40">
                  <c:v>7.7978050967161511E-2</c:v>
                </c:pt>
                <c:pt idx="41">
                  <c:v>7.732835053319545E-2</c:v>
                </c:pt>
                <c:pt idx="42">
                  <c:v>7.902965874574458E-2</c:v>
                </c:pt>
                <c:pt idx="43">
                  <c:v>7.8785441230929926E-2</c:v>
                </c:pt>
                <c:pt idx="44">
                  <c:v>7.7686612652467762E-2</c:v>
                </c:pt>
                <c:pt idx="45">
                  <c:v>7.6550967946510035E-2</c:v>
                </c:pt>
                <c:pt idx="46">
                  <c:v>7.8378735913996939E-2</c:v>
                </c:pt>
                <c:pt idx="47">
                  <c:v>7.7653491230568028E-2</c:v>
                </c:pt>
                <c:pt idx="48">
                  <c:v>7.7318170484875243E-2</c:v>
                </c:pt>
                <c:pt idx="49">
                  <c:v>7.6097515666808696E-2</c:v>
                </c:pt>
                <c:pt idx="50">
                  <c:v>8.1551924628551292E-2</c:v>
                </c:pt>
                <c:pt idx="51">
                  <c:v>9.1065769410945879E-2</c:v>
                </c:pt>
                <c:pt idx="52">
                  <c:v>8.657046152167755E-2</c:v>
                </c:pt>
                <c:pt idx="53">
                  <c:v>8.1462538313751082E-2</c:v>
                </c:pt>
                <c:pt idx="54">
                  <c:v>8.208832376941827E-2</c:v>
                </c:pt>
                <c:pt idx="55">
                  <c:v>8.1915358892197476E-2</c:v>
                </c:pt>
                <c:pt idx="56">
                  <c:v>8.5206995476222153E-2</c:v>
                </c:pt>
                <c:pt idx="57">
                  <c:v>8.2828895488562981E-2</c:v>
                </c:pt>
                <c:pt idx="58">
                  <c:v>8.9574424623513393E-2</c:v>
                </c:pt>
                <c:pt idx="59">
                  <c:v>9.4067088234278479E-2</c:v>
                </c:pt>
                <c:pt idx="60">
                  <c:v>8.7123767972545563E-2</c:v>
                </c:pt>
                <c:pt idx="61">
                  <c:v>8.5578156910594561E-2</c:v>
                </c:pt>
                <c:pt idx="62">
                  <c:v>8.5206995476222153E-2</c:v>
                </c:pt>
                <c:pt idx="63">
                  <c:v>8.4666237438917102E-2</c:v>
                </c:pt>
                <c:pt idx="64">
                  <c:v>8.3069597675442947E-2</c:v>
                </c:pt>
                <c:pt idx="65">
                  <c:v>8.2942354752483877E-2</c:v>
                </c:pt>
                <c:pt idx="66">
                  <c:v>8.3272913184523845E-2</c:v>
                </c:pt>
                <c:pt idx="67">
                  <c:v>8.345198841345175E-2</c:v>
                </c:pt>
              </c:numCache>
            </c:numRef>
          </c:yVal>
          <c:smooth val="1"/>
        </c:ser>
        <c:ser>
          <c:idx val="3"/>
          <c:order val="3"/>
          <c:tx>
            <c:v>P6-7</c:v>
          </c:tx>
          <c:spPr>
            <a:ln w="1905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'P6-07'!$A$8:$A$75</c:f>
              <c:numCache>
                <c:formatCode>m/d/yyyy</c:formatCode>
                <c:ptCount val="68"/>
                <c:pt idx="0">
                  <c:v>42249</c:v>
                </c:pt>
                <c:pt idx="1">
                  <c:v>42250</c:v>
                </c:pt>
                <c:pt idx="2">
                  <c:v>42251</c:v>
                </c:pt>
                <c:pt idx="3">
                  <c:v>42252</c:v>
                </c:pt>
                <c:pt idx="4">
                  <c:v>42253</c:v>
                </c:pt>
                <c:pt idx="5">
                  <c:v>42254</c:v>
                </c:pt>
                <c:pt idx="6">
                  <c:v>42255</c:v>
                </c:pt>
                <c:pt idx="7">
                  <c:v>42259</c:v>
                </c:pt>
                <c:pt idx="8">
                  <c:v>42266</c:v>
                </c:pt>
                <c:pt idx="9">
                  <c:v>42273</c:v>
                </c:pt>
                <c:pt idx="10">
                  <c:v>42280</c:v>
                </c:pt>
                <c:pt idx="11">
                  <c:v>42287</c:v>
                </c:pt>
                <c:pt idx="12">
                  <c:v>42294</c:v>
                </c:pt>
                <c:pt idx="13">
                  <c:v>42301</c:v>
                </c:pt>
                <c:pt idx="14">
                  <c:v>42485</c:v>
                </c:pt>
                <c:pt idx="15">
                  <c:v>42501</c:v>
                </c:pt>
                <c:pt idx="16">
                  <c:v>42520</c:v>
                </c:pt>
                <c:pt idx="17">
                  <c:v>42531</c:v>
                </c:pt>
                <c:pt idx="18">
                  <c:v>42544</c:v>
                </c:pt>
                <c:pt idx="19">
                  <c:v>42551</c:v>
                </c:pt>
                <c:pt idx="20">
                  <c:v>42561</c:v>
                </c:pt>
                <c:pt idx="21">
                  <c:v>42571</c:v>
                </c:pt>
                <c:pt idx="22">
                  <c:v>42581</c:v>
                </c:pt>
                <c:pt idx="23">
                  <c:v>42592</c:v>
                </c:pt>
                <c:pt idx="24">
                  <c:v>42602</c:v>
                </c:pt>
                <c:pt idx="25">
                  <c:v>42612</c:v>
                </c:pt>
                <c:pt idx="26">
                  <c:v>42623</c:v>
                </c:pt>
                <c:pt idx="27">
                  <c:v>42633</c:v>
                </c:pt>
                <c:pt idx="28">
                  <c:v>42643</c:v>
                </c:pt>
                <c:pt idx="29">
                  <c:v>42653</c:v>
                </c:pt>
                <c:pt idx="30">
                  <c:v>42855</c:v>
                </c:pt>
                <c:pt idx="31">
                  <c:v>42865</c:v>
                </c:pt>
                <c:pt idx="32">
                  <c:v>42875</c:v>
                </c:pt>
                <c:pt idx="33">
                  <c:v>42885</c:v>
                </c:pt>
                <c:pt idx="34">
                  <c:v>42896</c:v>
                </c:pt>
                <c:pt idx="35">
                  <c:v>42906</c:v>
                </c:pt>
                <c:pt idx="36">
                  <c:v>42916</c:v>
                </c:pt>
                <c:pt idx="37">
                  <c:v>42926</c:v>
                </c:pt>
                <c:pt idx="38">
                  <c:v>42936</c:v>
                </c:pt>
                <c:pt idx="39">
                  <c:v>42946</c:v>
                </c:pt>
                <c:pt idx="40">
                  <c:v>42957</c:v>
                </c:pt>
                <c:pt idx="41">
                  <c:v>42967</c:v>
                </c:pt>
                <c:pt idx="42">
                  <c:v>42977</c:v>
                </c:pt>
                <c:pt idx="43">
                  <c:v>42988</c:v>
                </c:pt>
                <c:pt idx="44">
                  <c:v>42998</c:v>
                </c:pt>
                <c:pt idx="45">
                  <c:v>43008</c:v>
                </c:pt>
                <c:pt idx="46">
                  <c:v>43018</c:v>
                </c:pt>
                <c:pt idx="47">
                  <c:v>43230</c:v>
                </c:pt>
                <c:pt idx="48">
                  <c:v>43240</c:v>
                </c:pt>
                <c:pt idx="49">
                  <c:v>43250</c:v>
                </c:pt>
                <c:pt idx="50">
                  <c:v>43261</c:v>
                </c:pt>
                <c:pt idx="51">
                  <c:v>43271</c:v>
                </c:pt>
                <c:pt idx="52">
                  <c:v>43281</c:v>
                </c:pt>
                <c:pt idx="53">
                  <c:v>43291</c:v>
                </c:pt>
                <c:pt idx="54">
                  <c:v>43301</c:v>
                </c:pt>
                <c:pt idx="55">
                  <c:v>43311</c:v>
                </c:pt>
                <c:pt idx="56">
                  <c:v>43322</c:v>
                </c:pt>
                <c:pt idx="57">
                  <c:v>43332</c:v>
                </c:pt>
                <c:pt idx="58">
                  <c:v>43342</c:v>
                </c:pt>
                <c:pt idx="59">
                  <c:v>43353</c:v>
                </c:pt>
                <c:pt idx="60">
                  <c:v>43363</c:v>
                </c:pt>
                <c:pt idx="61">
                  <c:v>43373</c:v>
                </c:pt>
                <c:pt idx="62">
                  <c:v>43383</c:v>
                </c:pt>
                <c:pt idx="63">
                  <c:v>43393</c:v>
                </c:pt>
                <c:pt idx="64">
                  <c:v>43605</c:v>
                </c:pt>
                <c:pt idx="65">
                  <c:v>43615</c:v>
                </c:pt>
                <c:pt idx="66">
                  <c:v>43626</c:v>
                </c:pt>
                <c:pt idx="67">
                  <c:v>43636</c:v>
                </c:pt>
              </c:numCache>
            </c:numRef>
          </c:xVal>
          <c:yVal>
            <c:numRef>
              <c:f>'P6-07'!$E$8:$E$75</c:f>
              <c:numCache>
                <c:formatCode>0.000_ </c:formatCode>
                <c:ptCount val="68"/>
                <c:pt idx="0">
                  <c:v>3.5376244392079259E-2</c:v>
                </c:pt>
                <c:pt idx="1">
                  <c:v>2.5790205769943748E-2</c:v>
                </c:pt>
                <c:pt idx="2">
                  <c:v>2.525192958306861E-2</c:v>
                </c:pt>
                <c:pt idx="3">
                  <c:v>2.5274057769943747E-2</c:v>
                </c:pt>
                <c:pt idx="4">
                  <c:v>2.4431007576715066E-2</c:v>
                </c:pt>
                <c:pt idx="5">
                  <c:v>2.404041916313816E-2</c:v>
                </c:pt>
                <c:pt idx="6">
                  <c:v>2.3716615003958174E-2</c:v>
                </c:pt>
                <c:pt idx="7">
                  <c:v>2.5940533570500909E-2</c:v>
                </c:pt>
                <c:pt idx="8">
                  <c:v>2.7199631514347327E-2</c:v>
                </c:pt>
                <c:pt idx="9">
                  <c:v>2.363490800101985E-2</c:v>
                </c:pt>
                <c:pt idx="10">
                  <c:v>2.4222019301128082E-2</c:v>
                </c:pt>
                <c:pt idx="11">
                  <c:v>2.4887246777848693E-2</c:v>
                </c:pt>
                <c:pt idx="12">
                  <c:v>2.5698892306677327E-2</c:v>
                </c:pt>
                <c:pt idx="13">
                  <c:v>2.943914626259744E-2</c:v>
                </c:pt>
                <c:pt idx="14">
                  <c:v>2.938863822827267E-2</c:v>
                </c:pt>
                <c:pt idx="15">
                  <c:v>2.8110611247094842E-2</c:v>
                </c:pt>
                <c:pt idx="16">
                  <c:v>2.4001347356310914E-2</c:v>
                </c:pt>
                <c:pt idx="17">
                  <c:v>2.4815235690918296E-2</c:v>
                </c:pt>
                <c:pt idx="18">
                  <c:v>2.9846465625513335E-2</c:v>
                </c:pt>
                <c:pt idx="19">
                  <c:v>2.7130138216300986E-2</c:v>
                </c:pt>
                <c:pt idx="20">
                  <c:v>2.7308232620840627E-2</c:v>
                </c:pt>
                <c:pt idx="21">
                  <c:v>2.7627724509516737E-2</c:v>
                </c:pt>
                <c:pt idx="22">
                  <c:v>2.8201119290206588E-2</c:v>
                </c:pt>
                <c:pt idx="23">
                  <c:v>2.9069695878013026E-2</c:v>
                </c:pt>
                <c:pt idx="24">
                  <c:v>2.7797470889939332E-2</c:v>
                </c:pt>
                <c:pt idx="25">
                  <c:v>2.7548915491726226E-2</c:v>
                </c:pt>
                <c:pt idx="26">
                  <c:v>2.8835213478155899E-2</c:v>
                </c:pt>
                <c:pt idx="27">
                  <c:v>3.0470142343421405E-2</c:v>
                </c:pt>
                <c:pt idx="28">
                  <c:v>6.6362354230624532E-2</c:v>
                </c:pt>
                <c:pt idx="29">
                  <c:v>6.510405997518387E-2</c:v>
                </c:pt>
                <c:pt idx="30">
                  <c:v>5.2277189372247387E-2</c:v>
                </c:pt>
                <c:pt idx="31">
                  <c:v>6.2125079766534905E-2</c:v>
                </c:pt>
                <c:pt idx="32">
                  <c:v>5.5939364297825242E-2</c:v>
                </c:pt>
                <c:pt idx="33">
                  <c:v>5.9245541201704652E-2</c:v>
                </c:pt>
                <c:pt idx="34">
                  <c:v>5.6832805186274468E-2</c:v>
                </c:pt>
                <c:pt idx="35">
                  <c:v>5.8115687020926218E-2</c:v>
                </c:pt>
                <c:pt idx="36">
                  <c:v>7.816780728415916E-2</c:v>
                </c:pt>
                <c:pt idx="37">
                  <c:v>7.5577299494683267E-2</c:v>
                </c:pt>
                <c:pt idx="38">
                  <c:v>7.3780373533519891E-2</c:v>
                </c:pt>
                <c:pt idx="39">
                  <c:v>7.5763669598937988E-2</c:v>
                </c:pt>
                <c:pt idx="40">
                  <c:v>7.7349881913106322E-2</c:v>
                </c:pt>
                <c:pt idx="41">
                  <c:v>7.5932659534659733E-2</c:v>
                </c:pt>
                <c:pt idx="42">
                  <c:v>7.757001901394546E-2</c:v>
                </c:pt>
                <c:pt idx="43">
                  <c:v>7.7602887190458034E-2</c:v>
                </c:pt>
                <c:pt idx="44">
                  <c:v>7.6910309566878443E-2</c:v>
                </c:pt>
                <c:pt idx="45">
                  <c:v>7.5471297311867691E-2</c:v>
                </c:pt>
                <c:pt idx="46">
                  <c:v>7.663528052527524E-2</c:v>
                </c:pt>
                <c:pt idx="47">
                  <c:v>7.6146507571372077E-2</c:v>
                </c:pt>
                <c:pt idx="48">
                  <c:v>7.5839514466908772E-2</c:v>
                </c:pt>
                <c:pt idx="49">
                  <c:v>7.6369469635530055E-2</c:v>
                </c:pt>
                <c:pt idx="50">
                  <c:v>7.981673828127088E-2</c:v>
                </c:pt>
                <c:pt idx="51">
                  <c:v>9.0401238802544456E-2</c:v>
                </c:pt>
                <c:pt idx="52">
                  <c:v>8.6223974444548865E-2</c:v>
                </c:pt>
                <c:pt idx="53">
                  <c:v>7.9164109122349988E-2</c:v>
                </c:pt>
                <c:pt idx="54">
                  <c:v>8.0533405238159814E-2</c:v>
                </c:pt>
                <c:pt idx="55">
                  <c:v>8.0287707335823272E-2</c:v>
                </c:pt>
                <c:pt idx="56">
                  <c:v>8.3335821144786354E-2</c:v>
                </c:pt>
                <c:pt idx="57">
                  <c:v>8.0909279982039728E-2</c:v>
                </c:pt>
                <c:pt idx="58">
                  <c:v>8.8201241561256027E-2</c:v>
                </c:pt>
                <c:pt idx="59">
                  <c:v>9.3148399512645627E-2</c:v>
                </c:pt>
                <c:pt idx="60">
                  <c:v>8.5033867993892634E-2</c:v>
                </c:pt>
                <c:pt idx="61">
                  <c:v>8.3078965652584047E-2</c:v>
                </c:pt>
                <c:pt idx="62">
                  <c:v>8.290613965767446E-2</c:v>
                </c:pt>
                <c:pt idx="63">
                  <c:v>8.220600434508972E-2</c:v>
                </c:pt>
                <c:pt idx="64">
                  <c:v>7.9682817608331069E-2</c:v>
                </c:pt>
                <c:pt idx="65">
                  <c:v>7.9734855546185548E-2</c:v>
                </c:pt>
                <c:pt idx="66">
                  <c:v>7.9928516876165645E-2</c:v>
                </c:pt>
                <c:pt idx="67">
                  <c:v>8.0090183674473681E-2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1639632"/>
        <c:axId val="-161635824"/>
      </c:scatterChart>
      <c:valAx>
        <c:axId val="-161639632"/>
        <c:scaling>
          <c:orientation val="minMax"/>
          <c:max val="43750"/>
          <c:min val="4225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时间</a:t>
                </a:r>
              </a:p>
            </c:rich>
          </c:tx>
          <c:layout>
            <c:manualLayout>
              <c:xMode val="edge"/>
              <c:yMode val="edge"/>
              <c:x val="0.85055664916885387"/>
              <c:y val="0.84683836395450574"/>
            </c:manualLayout>
          </c:layout>
          <c:overlay val="0"/>
        </c:title>
        <c:numFmt formatCode="m/d/yyyy" sourceLinked="0"/>
        <c:majorTickMark val="none"/>
        <c:minorTickMark val="none"/>
        <c:tickLblPos val="low"/>
        <c:crossAx val="-161635824"/>
        <c:crosses val="autoZero"/>
        <c:crossBetween val="midCat"/>
        <c:majorUnit val="350"/>
      </c:valAx>
      <c:valAx>
        <c:axId val="-1616358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 altLang="en-US"/>
                  <a:t>渗压</a:t>
                </a:r>
                <a:r>
                  <a:rPr lang="en-US" altLang="zh-CN"/>
                  <a:t>(MPa)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1.666666666666667E-2"/>
              <c:y val="0.3084113444152814"/>
            </c:manualLayout>
          </c:layout>
          <c:overlay val="0"/>
        </c:title>
        <c:numFmt formatCode="0.000_ " sourceLinked="1"/>
        <c:majorTickMark val="in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000"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-161639632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b"/>
      <c:layout>
        <c:manualLayout>
          <c:xMode val="edge"/>
          <c:yMode val="edge"/>
          <c:x val="0.32094160104986891"/>
          <c:y val="0.87924577136191318"/>
          <c:w val="0.36302274715660554"/>
          <c:h val="8.8346821230679523E-2"/>
        </c:manualLayout>
      </c:layout>
      <c:overlay val="0"/>
      <c:spPr>
        <a:ln>
          <a:solidFill>
            <a:sysClr val="windowText" lastClr="000000"/>
          </a:solidFill>
        </a:ln>
      </c:spPr>
      <c:txPr>
        <a:bodyPr/>
        <a:lstStyle/>
        <a:p>
          <a:pPr>
            <a:defRPr sz="800"/>
          </a:pPr>
          <a:endParaRPr lang="zh-CN"/>
        </a:p>
      </c:txPr>
    </c:legend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720603674540852"/>
          <c:y val="6.9444444444444503E-2"/>
          <c:w val="0.78889129483815001"/>
          <c:h val="0.75496864975211431"/>
        </c:manualLayout>
      </c:layout>
      <c:scatterChart>
        <c:scatterStyle val="smoothMarker"/>
        <c:varyColors val="0"/>
        <c:ser>
          <c:idx val="0"/>
          <c:order val="0"/>
          <c:tx>
            <c:v>P6-2</c:v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'P6-02'!$A$8:$A$19</c:f>
              <c:numCache>
                <c:formatCode>m/d/yyyy</c:formatCode>
                <c:ptCount val="12"/>
                <c:pt idx="0">
                  <c:v>42590</c:v>
                </c:pt>
                <c:pt idx="1">
                  <c:v>42591</c:v>
                </c:pt>
                <c:pt idx="2">
                  <c:v>42592</c:v>
                </c:pt>
                <c:pt idx="3">
                  <c:v>42593</c:v>
                </c:pt>
                <c:pt idx="4">
                  <c:v>42594</c:v>
                </c:pt>
                <c:pt idx="5">
                  <c:v>42595</c:v>
                </c:pt>
                <c:pt idx="6">
                  <c:v>42596</c:v>
                </c:pt>
                <c:pt idx="7">
                  <c:v>42602</c:v>
                </c:pt>
                <c:pt idx="8">
                  <c:v>42612</c:v>
                </c:pt>
                <c:pt idx="9">
                  <c:v>42623</c:v>
                </c:pt>
                <c:pt idx="10">
                  <c:v>42937</c:v>
                </c:pt>
                <c:pt idx="11">
                  <c:v>43240</c:v>
                </c:pt>
              </c:numCache>
            </c:numRef>
          </c:xVal>
          <c:yVal>
            <c:numRef>
              <c:f>'P6-02'!$F$8:$F$19</c:f>
              <c:numCache>
                <c:formatCode>0.0</c:formatCode>
                <c:ptCount val="12"/>
                <c:pt idx="0">
                  <c:v>732.41488762383062</c:v>
                </c:pt>
                <c:pt idx="1">
                  <c:v>732.26801559621947</c:v>
                </c:pt>
                <c:pt idx="2">
                  <c:v>732.3144059559072</c:v>
                </c:pt>
                <c:pt idx="3">
                  <c:v>732.34301980448436</c:v>
                </c:pt>
                <c:pt idx="4">
                  <c:v>732.33284866377096</c:v>
                </c:pt>
                <c:pt idx="5">
                  <c:v>732.2956797380134</c:v>
                </c:pt>
                <c:pt idx="6">
                  <c:v>732.31241080663267</c:v>
                </c:pt>
                <c:pt idx="7">
                  <c:v>732.27610317333961</c:v>
                </c:pt>
                <c:pt idx="8">
                  <c:v>732.14292154290081</c:v>
                </c:pt>
                <c:pt idx="9">
                  <c:v>732.21678442053951</c:v>
                </c:pt>
                <c:pt idx="10">
                  <c:v>732.7602530324765</c:v>
                </c:pt>
                <c:pt idx="11">
                  <c:v>735.90611802356659</c:v>
                </c:pt>
              </c:numCache>
            </c:numRef>
          </c:yVal>
          <c:smooth val="1"/>
        </c:ser>
        <c:ser>
          <c:idx val="1"/>
          <c:order val="1"/>
          <c:tx>
            <c:v>P6-3</c:v>
          </c:tx>
          <c:spPr>
            <a:ln w="19050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'P6-03'!$A$8:$A$19</c:f>
              <c:numCache>
                <c:formatCode>m/d/yyyy</c:formatCode>
                <c:ptCount val="12"/>
                <c:pt idx="0">
                  <c:v>42590</c:v>
                </c:pt>
                <c:pt idx="1">
                  <c:v>42591</c:v>
                </c:pt>
                <c:pt idx="2">
                  <c:v>42592</c:v>
                </c:pt>
                <c:pt idx="3">
                  <c:v>42593</c:v>
                </c:pt>
                <c:pt idx="4">
                  <c:v>42594</c:v>
                </c:pt>
                <c:pt idx="5">
                  <c:v>42595</c:v>
                </c:pt>
                <c:pt idx="6">
                  <c:v>42596</c:v>
                </c:pt>
                <c:pt idx="7">
                  <c:v>42602</c:v>
                </c:pt>
                <c:pt idx="8">
                  <c:v>42612</c:v>
                </c:pt>
                <c:pt idx="9">
                  <c:v>42623</c:v>
                </c:pt>
                <c:pt idx="10">
                  <c:v>42937</c:v>
                </c:pt>
                <c:pt idx="11">
                  <c:v>43240</c:v>
                </c:pt>
              </c:numCache>
            </c:numRef>
          </c:xVal>
          <c:yVal>
            <c:numRef>
              <c:f>'P6-03'!$F$8:$F$19</c:f>
              <c:numCache>
                <c:formatCode>0.0</c:formatCode>
                <c:ptCount val="12"/>
                <c:pt idx="0">
                  <c:v>731.59753218787773</c:v>
                </c:pt>
                <c:pt idx="1">
                  <c:v>731.42652699502196</c:v>
                </c:pt>
                <c:pt idx="2">
                  <c:v>731.65722322923159</c:v>
                </c:pt>
                <c:pt idx="3">
                  <c:v>731.96784759030959</c:v>
                </c:pt>
                <c:pt idx="4">
                  <c:v>732.28008191254116</c:v>
                </c:pt>
                <c:pt idx="5">
                  <c:v>732.35805391728536</c:v>
                </c:pt>
                <c:pt idx="6">
                  <c:v>732.47018194042153</c:v>
                </c:pt>
                <c:pt idx="7">
                  <c:v>731.46942499506349</c:v>
                </c:pt>
                <c:pt idx="8">
                  <c:v>731.27139219812443</c:v>
                </c:pt>
                <c:pt idx="9">
                  <c:v>731.37569846424503</c:v>
                </c:pt>
                <c:pt idx="10">
                  <c:v>731.86411560871147</c:v>
                </c:pt>
                <c:pt idx="11">
                  <c:v>735.52767715646735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1643440"/>
        <c:axId val="-161641264"/>
      </c:scatterChart>
      <c:valAx>
        <c:axId val="-161643440"/>
        <c:scaling>
          <c:orientation val="minMax"/>
          <c:max val="43351"/>
          <c:min val="42583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prstDash val="sysDot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>
                    <a:solidFill>
                      <a:sysClr val="windowText" lastClr="000000"/>
                    </a:solidFill>
                  </a:rPr>
                  <a:t>日期</a:t>
                </a:r>
              </a:p>
            </c:rich>
          </c:tx>
          <c:layout>
            <c:manualLayout>
              <c:xMode val="edge"/>
              <c:yMode val="edge"/>
              <c:x val="0.8677626859142582"/>
              <c:y val="0.89351867117693029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-161641264"/>
        <c:crosses val="autoZero"/>
        <c:crossBetween val="midCat"/>
        <c:majorUnit val="256"/>
      </c:valAx>
      <c:valAx>
        <c:axId val="-16164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prstDash val="sysDot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>
                    <a:solidFill>
                      <a:sysClr val="windowText" lastClr="000000"/>
                    </a:solidFill>
                  </a:rPr>
                  <a:t>高程</a:t>
                </a:r>
                <a:r>
                  <a:rPr lang="en-US" altLang="zh-CN">
                    <a:solidFill>
                      <a:sysClr val="windowText" lastClr="000000"/>
                    </a:solidFill>
                  </a:rPr>
                  <a:t>(m)</a:t>
                </a:r>
                <a:endParaRPr lang="zh-CN" altLang="en-US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-161643440"/>
        <c:crosses val="autoZero"/>
        <c:crossBetween val="midCat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3125000000000001"/>
          <c:y val="0.90252707581227187"/>
          <c:w val="0.50833333333333353"/>
          <c:h val="7.5812274368231694E-2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433" l="0.70000000000000062" r="0.70000000000000062" t="0.75000000000000433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/>
            </a:pPr>
            <a:r>
              <a:rPr lang="zh-CN" altLang="en-US" sz="1200" b="0"/>
              <a:t>桩号</a:t>
            </a:r>
            <a:r>
              <a:rPr lang="en-US" altLang="zh-CN" sz="1200" b="0"/>
              <a:t>0+100</a:t>
            </a:r>
            <a:r>
              <a:rPr lang="zh-CN" altLang="en-US" sz="1200" b="0"/>
              <a:t>混凝土防渗墙后坝基渗压过程线</a:t>
            </a:r>
          </a:p>
        </c:rich>
      </c:tx>
      <c:layout>
        <c:manualLayout>
          <c:xMode val="edge"/>
          <c:yMode val="edge"/>
          <c:x val="0.19681233595800526"/>
          <c:y val="2.314814814814814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767825896762906"/>
          <c:y val="0.1388888888888889"/>
          <c:w val="0.79166907261592778"/>
          <c:h val="0.67095654709828423"/>
        </c:manualLayout>
      </c:layout>
      <c:scatterChart>
        <c:scatterStyle val="smoothMarker"/>
        <c:varyColors val="0"/>
        <c:ser>
          <c:idx val="0"/>
          <c:order val="0"/>
          <c:tx>
            <c:v>P1-7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'P1-07'!$A$9:$A$180</c:f>
              <c:numCache>
                <c:formatCode>m/d/yyyy</c:formatCode>
                <c:ptCount val="172"/>
                <c:pt idx="0">
                  <c:v>42587</c:v>
                </c:pt>
                <c:pt idx="1">
                  <c:v>42588</c:v>
                </c:pt>
                <c:pt idx="2">
                  <c:v>42589</c:v>
                </c:pt>
                <c:pt idx="3">
                  <c:v>42590</c:v>
                </c:pt>
                <c:pt idx="4">
                  <c:v>42591</c:v>
                </c:pt>
                <c:pt idx="5">
                  <c:v>42592</c:v>
                </c:pt>
                <c:pt idx="6">
                  <c:v>42593</c:v>
                </c:pt>
                <c:pt idx="7">
                  <c:v>42602</c:v>
                </c:pt>
                <c:pt idx="8">
                  <c:v>42612</c:v>
                </c:pt>
                <c:pt idx="9">
                  <c:v>42623</c:v>
                </c:pt>
                <c:pt idx="10">
                  <c:v>42633</c:v>
                </c:pt>
                <c:pt idx="11">
                  <c:v>42643</c:v>
                </c:pt>
                <c:pt idx="12">
                  <c:v>42884</c:v>
                </c:pt>
                <c:pt idx="13">
                  <c:v>42885</c:v>
                </c:pt>
                <c:pt idx="14">
                  <c:v>42896</c:v>
                </c:pt>
                <c:pt idx="15">
                  <c:v>42906</c:v>
                </c:pt>
                <c:pt idx="16">
                  <c:v>42916</c:v>
                </c:pt>
                <c:pt idx="17">
                  <c:v>42926</c:v>
                </c:pt>
                <c:pt idx="18">
                  <c:v>42936</c:v>
                </c:pt>
                <c:pt idx="19">
                  <c:v>42946</c:v>
                </c:pt>
                <c:pt idx="20">
                  <c:v>42957</c:v>
                </c:pt>
                <c:pt idx="21">
                  <c:v>42967</c:v>
                </c:pt>
                <c:pt idx="22">
                  <c:v>42977</c:v>
                </c:pt>
                <c:pt idx="23">
                  <c:v>42988</c:v>
                </c:pt>
                <c:pt idx="24">
                  <c:v>42998</c:v>
                </c:pt>
                <c:pt idx="25">
                  <c:v>43008</c:v>
                </c:pt>
                <c:pt idx="26">
                  <c:v>43018</c:v>
                </c:pt>
                <c:pt idx="27">
                  <c:v>43230</c:v>
                </c:pt>
                <c:pt idx="28">
                  <c:v>43240</c:v>
                </c:pt>
                <c:pt idx="29">
                  <c:v>43250</c:v>
                </c:pt>
                <c:pt idx="30">
                  <c:v>43261</c:v>
                </c:pt>
                <c:pt idx="31">
                  <c:v>43271</c:v>
                </c:pt>
                <c:pt idx="32">
                  <c:v>43281</c:v>
                </c:pt>
                <c:pt idx="33">
                  <c:v>43291</c:v>
                </c:pt>
                <c:pt idx="34">
                  <c:v>43301</c:v>
                </c:pt>
                <c:pt idx="35">
                  <c:v>43311</c:v>
                </c:pt>
                <c:pt idx="36">
                  <c:v>43322</c:v>
                </c:pt>
                <c:pt idx="37">
                  <c:v>43332</c:v>
                </c:pt>
                <c:pt idx="38">
                  <c:v>43342</c:v>
                </c:pt>
                <c:pt idx="39">
                  <c:v>43353</c:v>
                </c:pt>
                <c:pt idx="40">
                  <c:v>43363</c:v>
                </c:pt>
                <c:pt idx="41">
                  <c:v>43373</c:v>
                </c:pt>
                <c:pt idx="42">
                  <c:v>43383</c:v>
                </c:pt>
                <c:pt idx="43">
                  <c:v>43393</c:v>
                </c:pt>
                <c:pt idx="44">
                  <c:v>43605</c:v>
                </c:pt>
                <c:pt idx="45">
                  <c:v>43615</c:v>
                </c:pt>
                <c:pt idx="46">
                  <c:v>43626</c:v>
                </c:pt>
                <c:pt idx="47">
                  <c:v>43636</c:v>
                </c:pt>
                <c:pt idx="48">
                  <c:v>43646</c:v>
                </c:pt>
                <c:pt idx="49">
                  <c:v>43656</c:v>
                </c:pt>
                <c:pt idx="50">
                  <c:v>43666</c:v>
                </c:pt>
                <c:pt idx="51">
                  <c:v>43676</c:v>
                </c:pt>
                <c:pt idx="52">
                  <c:v>43687</c:v>
                </c:pt>
                <c:pt idx="53">
                  <c:v>43697</c:v>
                </c:pt>
                <c:pt idx="54">
                  <c:v>43707</c:v>
                </c:pt>
              </c:numCache>
            </c:numRef>
          </c:xVal>
          <c:yVal>
            <c:numRef>
              <c:f>'P1-07'!$F$9:$F$180</c:f>
              <c:numCache>
                <c:formatCode>0.0</c:formatCode>
                <c:ptCount val="172"/>
                <c:pt idx="0">
                  <c:v>735.82750559730573</c:v>
                </c:pt>
                <c:pt idx="1">
                  <c:v>735.99351249200367</c:v>
                </c:pt>
                <c:pt idx="2">
                  <c:v>735.91513117772274</c:v>
                </c:pt>
                <c:pt idx="3">
                  <c:v>735.99311696467623</c:v>
                </c:pt>
                <c:pt idx="4">
                  <c:v>735.98062676866971</c:v>
                </c:pt>
                <c:pt idx="5">
                  <c:v>736.06282125721918</c:v>
                </c:pt>
                <c:pt idx="6">
                  <c:v>735.84468553963518</c:v>
                </c:pt>
                <c:pt idx="7">
                  <c:v>735.92789932995993</c:v>
                </c:pt>
                <c:pt idx="8">
                  <c:v>736.01285973868266</c:v>
                </c:pt>
                <c:pt idx="9">
                  <c:v>736.18949308654885</c:v>
                </c:pt>
                <c:pt idx="10">
                  <c:v>736.46725156352886</c:v>
                </c:pt>
                <c:pt idx="11">
                  <c:v>736.28562969349389</c:v>
                </c:pt>
                <c:pt idx="12">
                  <c:v>735.96168352944051</c:v>
                </c:pt>
                <c:pt idx="13">
                  <c:v>735.96680537078737</c:v>
                </c:pt>
                <c:pt idx="14">
                  <c:v>735.91650839838144</c:v>
                </c:pt>
                <c:pt idx="15">
                  <c:v>735.93108813923573</c:v>
                </c:pt>
                <c:pt idx="16">
                  <c:v>736.05624879647826</c:v>
                </c:pt>
                <c:pt idx="17">
                  <c:v>735.84415248609855</c:v>
                </c:pt>
                <c:pt idx="18">
                  <c:v>735.87921978320071</c:v>
                </c:pt>
                <c:pt idx="19">
                  <c:v>735.85151038168794</c:v>
                </c:pt>
                <c:pt idx="20">
                  <c:v>735.89984337505871</c:v>
                </c:pt>
                <c:pt idx="21">
                  <c:v>735.97837877025813</c:v>
                </c:pt>
                <c:pt idx="22">
                  <c:v>736.14936430599369</c:v>
                </c:pt>
                <c:pt idx="23">
                  <c:v>735.94607669297568</c:v>
                </c:pt>
                <c:pt idx="24">
                  <c:v>735.84495367111072</c:v>
                </c:pt>
                <c:pt idx="25">
                  <c:v>735.91573809657359</c:v>
                </c:pt>
                <c:pt idx="26">
                  <c:v>735.84416827377459</c:v>
                </c:pt>
                <c:pt idx="27">
                  <c:v>735.64193962187835</c:v>
                </c:pt>
                <c:pt idx="28">
                  <c:v>735.81975448531682</c:v>
                </c:pt>
                <c:pt idx="29">
                  <c:v>735.87268086345557</c:v>
                </c:pt>
                <c:pt idx="30">
                  <c:v>735.75238460138564</c:v>
                </c:pt>
                <c:pt idx="31">
                  <c:v>737.18902578192308</c:v>
                </c:pt>
                <c:pt idx="32">
                  <c:v>737.1540951689102</c:v>
                </c:pt>
                <c:pt idx="33">
                  <c:v>736.99425013490134</c:v>
                </c:pt>
                <c:pt idx="34">
                  <c:v>736.736190270365</c:v>
                </c:pt>
                <c:pt idx="35">
                  <c:v>736.71018823882184</c:v>
                </c:pt>
                <c:pt idx="36">
                  <c:v>736.86857793754245</c:v>
                </c:pt>
                <c:pt idx="37">
                  <c:v>736.77033684147807</c:v>
                </c:pt>
                <c:pt idx="38">
                  <c:v>736.7388207364387</c:v>
                </c:pt>
                <c:pt idx="39">
                  <c:v>736.76574595754619</c:v>
                </c:pt>
                <c:pt idx="40">
                  <c:v>737.11706534238169</c:v>
                </c:pt>
                <c:pt idx="41">
                  <c:v>736.9036479705793</c:v>
                </c:pt>
                <c:pt idx="42">
                  <c:v>736.75866384933011</c:v>
                </c:pt>
                <c:pt idx="43">
                  <c:v>736.57191971189445</c:v>
                </c:pt>
                <c:pt idx="44">
                  <c:v>735.57419695850626</c:v>
                </c:pt>
                <c:pt idx="45">
                  <c:v>735.72903223116953</c:v>
                </c:pt>
                <c:pt idx="46">
                  <c:v>735.72220297561478</c:v>
                </c:pt>
                <c:pt idx="47">
                  <c:v>735.75713396275387</c:v>
                </c:pt>
                <c:pt idx="48">
                  <c:v>735.76147120542601</c:v>
                </c:pt>
                <c:pt idx="49">
                  <c:v>735.81951993896735</c:v>
                </c:pt>
                <c:pt idx="50">
                  <c:v>735.88151391129497</c:v>
                </c:pt>
                <c:pt idx="51">
                  <c:v>736.27459097989004</c:v>
                </c:pt>
                <c:pt idx="52">
                  <c:v>736.40605559116716</c:v>
                </c:pt>
                <c:pt idx="53">
                  <c:v>736.59898468609424</c:v>
                </c:pt>
                <c:pt idx="54">
                  <c:v>737.08006472176055</c:v>
                </c:pt>
              </c:numCache>
            </c:numRef>
          </c:yVal>
          <c:smooth val="1"/>
        </c:ser>
        <c:ser>
          <c:idx val="1"/>
          <c:order val="1"/>
          <c:tx>
            <c:v>P1-8</c:v>
          </c:tx>
          <c:spPr>
            <a:ln w="19050" cap="rnd">
              <a:solidFill>
                <a:schemeClr val="tx1"/>
              </a:solidFill>
              <a:prstDash val="lgDashDotDot"/>
              <a:round/>
            </a:ln>
            <a:effectLst/>
          </c:spPr>
          <c:marker>
            <c:symbol val="none"/>
          </c:marker>
          <c:xVal>
            <c:numRef>
              <c:f>'P1-08'!$A$9:$A$180</c:f>
              <c:numCache>
                <c:formatCode>m/d/yyyy</c:formatCode>
                <c:ptCount val="172"/>
                <c:pt idx="0">
                  <c:v>42587</c:v>
                </c:pt>
                <c:pt idx="1">
                  <c:v>42588</c:v>
                </c:pt>
                <c:pt idx="2">
                  <c:v>42589</c:v>
                </c:pt>
                <c:pt idx="3">
                  <c:v>42590</c:v>
                </c:pt>
                <c:pt idx="4">
                  <c:v>42591</c:v>
                </c:pt>
                <c:pt idx="5">
                  <c:v>42592</c:v>
                </c:pt>
                <c:pt idx="6">
                  <c:v>42593</c:v>
                </c:pt>
                <c:pt idx="7">
                  <c:v>42602</c:v>
                </c:pt>
                <c:pt idx="8">
                  <c:v>42612</c:v>
                </c:pt>
                <c:pt idx="9">
                  <c:v>42623</c:v>
                </c:pt>
                <c:pt idx="10">
                  <c:v>42633</c:v>
                </c:pt>
                <c:pt idx="11">
                  <c:v>42643</c:v>
                </c:pt>
                <c:pt idx="12">
                  <c:v>42884</c:v>
                </c:pt>
                <c:pt idx="13">
                  <c:v>42885</c:v>
                </c:pt>
                <c:pt idx="14">
                  <c:v>42896</c:v>
                </c:pt>
                <c:pt idx="15">
                  <c:v>42906</c:v>
                </c:pt>
                <c:pt idx="16">
                  <c:v>42916</c:v>
                </c:pt>
                <c:pt idx="17">
                  <c:v>42926</c:v>
                </c:pt>
                <c:pt idx="18">
                  <c:v>42936</c:v>
                </c:pt>
                <c:pt idx="19">
                  <c:v>42946</c:v>
                </c:pt>
                <c:pt idx="20">
                  <c:v>42957</c:v>
                </c:pt>
                <c:pt idx="21">
                  <c:v>42967</c:v>
                </c:pt>
                <c:pt idx="22">
                  <c:v>42977</c:v>
                </c:pt>
                <c:pt idx="23">
                  <c:v>42988</c:v>
                </c:pt>
                <c:pt idx="24">
                  <c:v>42998</c:v>
                </c:pt>
                <c:pt idx="25">
                  <c:v>43008</c:v>
                </c:pt>
                <c:pt idx="26">
                  <c:v>43018</c:v>
                </c:pt>
                <c:pt idx="27">
                  <c:v>43230</c:v>
                </c:pt>
                <c:pt idx="28">
                  <c:v>43240</c:v>
                </c:pt>
                <c:pt idx="29">
                  <c:v>43250</c:v>
                </c:pt>
                <c:pt idx="30">
                  <c:v>43261</c:v>
                </c:pt>
                <c:pt idx="31">
                  <c:v>43271</c:v>
                </c:pt>
                <c:pt idx="32">
                  <c:v>43281</c:v>
                </c:pt>
                <c:pt idx="33">
                  <c:v>43291</c:v>
                </c:pt>
                <c:pt idx="34">
                  <c:v>43301</c:v>
                </c:pt>
                <c:pt idx="35">
                  <c:v>43311</c:v>
                </c:pt>
                <c:pt idx="36">
                  <c:v>43322</c:v>
                </c:pt>
                <c:pt idx="37">
                  <c:v>43332</c:v>
                </c:pt>
                <c:pt idx="38">
                  <c:v>43342</c:v>
                </c:pt>
                <c:pt idx="39">
                  <c:v>43353</c:v>
                </c:pt>
                <c:pt idx="40">
                  <c:v>43363</c:v>
                </c:pt>
                <c:pt idx="41">
                  <c:v>43373</c:v>
                </c:pt>
                <c:pt idx="42">
                  <c:v>43383</c:v>
                </c:pt>
                <c:pt idx="43">
                  <c:v>43393</c:v>
                </c:pt>
                <c:pt idx="44">
                  <c:v>43605</c:v>
                </c:pt>
                <c:pt idx="45">
                  <c:v>43615</c:v>
                </c:pt>
                <c:pt idx="46">
                  <c:v>43626</c:v>
                </c:pt>
                <c:pt idx="47">
                  <c:v>43636</c:v>
                </c:pt>
                <c:pt idx="48">
                  <c:v>43646</c:v>
                </c:pt>
                <c:pt idx="49">
                  <c:v>43656</c:v>
                </c:pt>
                <c:pt idx="50">
                  <c:v>43666</c:v>
                </c:pt>
                <c:pt idx="51">
                  <c:v>43676</c:v>
                </c:pt>
                <c:pt idx="52">
                  <c:v>43687</c:v>
                </c:pt>
                <c:pt idx="53">
                  <c:v>43697</c:v>
                </c:pt>
                <c:pt idx="54">
                  <c:v>43707</c:v>
                </c:pt>
              </c:numCache>
            </c:numRef>
          </c:xVal>
          <c:yVal>
            <c:numRef>
              <c:f>'P1-08'!$F$9:$F$180</c:f>
              <c:numCache>
                <c:formatCode>0.0</c:formatCode>
                <c:ptCount val="172"/>
                <c:pt idx="0">
                  <c:v>735.13040848524497</c:v>
                </c:pt>
                <c:pt idx="1">
                  <c:v>735.4659481352312</c:v>
                </c:pt>
                <c:pt idx="2">
                  <c:v>735.69139142809945</c:v>
                </c:pt>
                <c:pt idx="3">
                  <c:v>735.88856110082077</c:v>
                </c:pt>
                <c:pt idx="4">
                  <c:v>735.91318602241597</c:v>
                </c:pt>
                <c:pt idx="5">
                  <c:v>735.85284600041382</c:v>
                </c:pt>
                <c:pt idx="6">
                  <c:v>735.97493978696127</c:v>
                </c:pt>
                <c:pt idx="7">
                  <c:v>736.36528728356325</c:v>
                </c:pt>
                <c:pt idx="8">
                  <c:v>736.18277516026103</c:v>
                </c:pt>
                <c:pt idx="9">
                  <c:v>736.33007241249686</c:v>
                </c:pt>
                <c:pt idx="10">
                  <c:v>736.56932907682722</c:v>
                </c:pt>
                <c:pt idx="11">
                  <c:v>736.37969454406175</c:v>
                </c:pt>
                <c:pt idx="12">
                  <c:v>735.89594108402446</c:v>
                </c:pt>
                <c:pt idx="13">
                  <c:v>735.89764868567227</c:v>
                </c:pt>
                <c:pt idx="14">
                  <c:v>735.83232334295337</c:v>
                </c:pt>
                <c:pt idx="15">
                  <c:v>735.85237799809806</c:v>
                </c:pt>
                <c:pt idx="16">
                  <c:v>735.83486551918088</c:v>
                </c:pt>
                <c:pt idx="17">
                  <c:v>735.78534494943847</c:v>
                </c:pt>
                <c:pt idx="18">
                  <c:v>735.82247593267857</c:v>
                </c:pt>
                <c:pt idx="19">
                  <c:v>735.75373509102735</c:v>
                </c:pt>
                <c:pt idx="20">
                  <c:v>735.83526489839585</c:v>
                </c:pt>
                <c:pt idx="21">
                  <c:v>735.89674012463399</c:v>
                </c:pt>
                <c:pt idx="22">
                  <c:v>736.06456005529765</c:v>
                </c:pt>
                <c:pt idx="23">
                  <c:v>735.86683909415308</c:v>
                </c:pt>
                <c:pt idx="24">
                  <c:v>735.78487178267835</c:v>
                </c:pt>
                <c:pt idx="25">
                  <c:v>735.90614969100977</c:v>
                </c:pt>
                <c:pt idx="26">
                  <c:v>735.78102083353667</c:v>
                </c:pt>
                <c:pt idx="27">
                  <c:v>735.61102521958389</c:v>
                </c:pt>
                <c:pt idx="28">
                  <c:v>735.61658307480718</c:v>
                </c:pt>
                <c:pt idx="29">
                  <c:v>735.67976774337831</c:v>
                </c:pt>
                <c:pt idx="30">
                  <c:v>735.66694496788773</c:v>
                </c:pt>
                <c:pt idx="31">
                  <c:v>737.01446331684906</c:v>
                </c:pt>
                <c:pt idx="32">
                  <c:v>737.03495991359364</c:v>
                </c:pt>
                <c:pt idx="33">
                  <c:v>736.87654857736072</c:v>
                </c:pt>
                <c:pt idx="34">
                  <c:v>736.62034529275479</c:v>
                </c:pt>
                <c:pt idx="35">
                  <c:v>736.47515921991499</c:v>
                </c:pt>
                <c:pt idx="36">
                  <c:v>736.73050432951561</c:v>
                </c:pt>
                <c:pt idx="37">
                  <c:v>736.56653962984569</c:v>
                </c:pt>
                <c:pt idx="38">
                  <c:v>736.60240657672659</c:v>
                </c:pt>
                <c:pt idx="39">
                  <c:v>736.60197716877565</c:v>
                </c:pt>
                <c:pt idx="40">
                  <c:v>736.93973444791004</c:v>
                </c:pt>
                <c:pt idx="41">
                  <c:v>736.37993319281611</c:v>
                </c:pt>
                <c:pt idx="42">
                  <c:v>736.28855282662118</c:v>
                </c:pt>
                <c:pt idx="43">
                  <c:v>736.20058839461308</c:v>
                </c:pt>
                <c:pt idx="44">
                  <c:v>735.48755076901045</c:v>
                </c:pt>
                <c:pt idx="45">
                  <c:v>735.42265568204266</c:v>
                </c:pt>
                <c:pt idx="46">
                  <c:v>735.54179124838151</c:v>
                </c:pt>
                <c:pt idx="47">
                  <c:v>735.69592414297563</c:v>
                </c:pt>
                <c:pt idx="48">
                  <c:v>735.69761008286775</c:v>
                </c:pt>
                <c:pt idx="49">
                  <c:v>735.89829102186661</c:v>
                </c:pt>
                <c:pt idx="50">
                  <c:v>736.04387697314087</c:v>
                </c:pt>
                <c:pt idx="51">
                  <c:v>736.13055170058965</c:v>
                </c:pt>
                <c:pt idx="52">
                  <c:v>736.22619749279693</c:v>
                </c:pt>
                <c:pt idx="53">
                  <c:v>736.49093825875411</c:v>
                </c:pt>
                <c:pt idx="54">
                  <c:v>736.89191292498595</c:v>
                </c:pt>
              </c:numCache>
            </c:numRef>
          </c:yVal>
          <c:smooth val="1"/>
        </c:ser>
        <c:ser>
          <c:idx val="2"/>
          <c:order val="2"/>
          <c:tx>
            <c:v>P1-9</c:v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'P1-09'!$A$9:$A$180</c:f>
              <c:numCache>
                <c:formatCode>m/d/yyyy</c:formatCode>
                <c:ptCount val="172"/>
                <c:pt idx="0">
                  <c:v>42587</c:v>
                </c:pt>
                <c:pt idx="1">
                  <c:v>42588</c:v>
                </c:pt>
                <c:pt idx="2">
                  <c:v>42589</c:v>
                </c:pt>
                <c:pt idx="3">
                  <c:v>42590</c:v>
                </c:pt>
                <c:pt idx="4">
                  <c:v>42591</c:v>
                </c:pt>
                <c:pt idx="5">
                  <c:v>42592</c:v>
                </c:pt>
                <c:pt idx="6">
                  <c:v>42593</c:v>
                </c:pt>
                <c:pt idx="7">
                  <c:v>42602</c:v>
                </c:pt>
                <c:pt idx="8">
                  <c:v>42612</c:v>
                </c:pt>
                <c:pt idx="9">
                  <c:v>42623</c:v>
                </c:pt>
                <c:pt idx="10">
                  <c:v>42633</c:v>
                </c:pt>
                <c:pt idx="11">
                  <c:v>42643</c:v>
                </c:pt>
                <c:pt idx="12">
                  <c:v>42884</c:v>
                </c:pt>
                <c:pt idx="13">
                  <c:v>42885</c:v>
                </c:pt>
                <c:pt idx="14">
                  <c:v>42896</c:v>
                </c:pt>
                <c:pt idx="15">
                  <c:v>42906</c:v>
                </c:pt>
                <c:pt idx="16">
                  <c:v>42916</c:v>
                </c:pt>
                <c:pt idx="17">
                  <c:v>42926</c:v>
                </c:pt>
                <c:pt idx="18">
                  <c:v>42936</c:v>
                </c:pt>
                <c:pt idx="19">
                  <c:v>42946</c:v>
                </c:pt>
                <c:pt idx="20">
                  <c:v>42957</c:v>
                </c:pt>
                <c:pt idx="21">
                  <c:v>42967</c:v>
                </c:pt>
                <c:pt idx="22">
                  <c:v>42977</c:v>
                </c:pt>
                <c:pt idx="23">
                  <c:v>42988</c:v>
                </c:pt>
                <c:pt idx="24">
                  <c:v>42998</c:v>
                </c:pt>
                <c:pt idx="25">
                  <c:v>43008</c:v>
                </c:pt>
                <c:pt idx="26">
                  <c:v>43018</c:v>
                </c:pt>
                <c:pt idx="27">
                  <c:v>43230</c:v>
                </c:pt>
                <c:pt idx="28">
                  <c:v>43240</c:v>
                </c:pt>
                <c:pt idx="29">
                  <c:v>43250</c:v>
                </c:pt>
                <c:pt idx="30">
                  <c:v>43261</c:v>
                </c:pt>
                <c:pt idx="31">
                  <c:v>43271</c:v>
                </c:pt>
                <c:pt idx="32">
                  <c:v>43281</c:v>
                </c:pt>
                <c:pt idx="33">
                  <c:v>43291</c:v>
                </c:pt>
                <c:pt idx="34">
                  <c:v>43301</c:v>
                </c:pt>
                <c:pt idx="35">
                  <c:v>43311</c:v>
                </c:pt>
                <c:pt idx="36">
                  <c:v>43322</c:v>
                </c:pt>
                <c:pt idx="37">
                  <c:v>43332</c:v>
                </c:pt>
                <c:pt idx="38">
                  <c:v>43342</c:v>
                </c:pt>
                <c:pt idx="39">
                  <c:v>43353</c:v>
                </c:pt>
                <c:pt idx="40">
                  <c:v>43363</c:v>
                </c:pt>
                <c:pt idx="41">
                  <c:v>43373</c:v>
                </c:pt>
                <c:pt idx="42">
                  <c:v>43383</c:v>
                </c:pt>
                <c:pt idx="43">
                  <c:v>43393</c:v>
                </c:pt>
                <c:pt idx="44">
                  <c:v>43605</c:v>
                </c:pt>
                <c:pt idx="45">
                  <c:v>43615</c:v>
                </c:pt>
                <c:pt idx="46">
                  <c:v>43626</c:v>
                </c:pt>
                <c:pt idx="47">
                  <c:v>43636</c:v>
                </c:pt>
                <c:pt idx="48">
                  <c:v>43646</c:v>
                </c:pt>
                <c:pt idx="49">
                  <c:v>43656</c:v>
                </c:pt>
                <c:pt idx="50">
                  <c:v>43666</c:v>
                </c:pt>
                <c:pt idx="51">
                  <c:v>43676</c:v>
                </c:pt>
                <c:pt idx="52">
                  <c:v>43687</c:v>
                </c:pt>
                <c:pt idx="53">
                  <c:v>43697</c:v>
                </c:pt>
                <c:pt idx="54">
                  <c:v>43707</c:v>
                </c:pt>
              </c:numCache>
            </c:numRef>
          </c:xVal>
          <c:yVal>
            <c:numRef>
              <c:f>'P1-09'!$F$9:$F$180</c:f>
              <c:numCache>
                <c:formatCode>0.0</c:formatCode>
                <c:ptCount val="172"/>
                <c:pt idx="0">
                  <c:v>729.55822968384257</c:v>
                </c:pt>
                <c:pt idx="1">
                  <c:v>729.81649177988493</c:v>
                </c:pt>
                <c:pt idx="2">
                  <c:v>730.03262291571502</c:v>
                </c:pt>
                <c:pt idx="3">
                  <c:v>730.20630752058719</c:v>
                </c:pt>
                <c:pt idx="4">
                  <c:v>730.22666001625714</c:v>
                </c:pt>
                <c:pt idx="5">
                  <c:v>730.10904914402226</c:v>
                </c:pt>
                <c:pt idx="6">
                  <c:v>730.32982347806808</c:v>
                </c:pt>
                <c:pt idx="7">
                  <c:v>730.34332155118307</c:v>
                </c:pt>
                <c:pt idx="8">
                  <c:v>730.40359152086967</c:v>
                </c:pt>
                <c:pt idx="9">
                  <c:v>730.51340492326369</c:v>
                </c:pt>
                <c:pt idx="10">
                  <c:v>730.76765454854217</c:v>
                </c:pt>
                <c:pt idx="11">
                  <c:v>730.56610253618965</c:v>
                </c:pt>
                <c:pt idx="12">
                  <c:v>730.05845309383881</c:v>
                </c:pt>
                <c:pt idx="13">
                  <c:v>730.05845309383881</c:v>
                </c:pt>
                <c:pt idx="14">
                  <c:v>729.9976079981177</c:v>
                </c:pt>
                <c:pt idx="15">
                  <c:v>730.01973346355805</c:v>
                </c:pt>
                <c:pt idx="16">
                  <c:v>730.2058158318938</c:v>
                </c:pt>
                <c:pt idx="17">
                  <c:v>729.96981028418065</c:v>
                </c:pt>
                <c:pt idx="18">
                  <c:v>730.0122173018716</c:v>
                </c:pt>
                <c:pt idx="19">
                  <c:v>729.96612272216953</c:v>
                </c:pt>
                <c:pt idx="20">
                  <c:v>730.09674950522765</c:v>
                </c:pt>
                <c:pt idx="21">
                  <c:v>730.18511036671248</c:v>
                </c:pt>
                <c:pt idx="22">
                  <c:v>730.34467377456463</c:v>
                </c:pt>
                <c:pt idx="23">
                  <c:v>730.11703117457478</c:v>
                </c:pt>
                <c:pt idx="24">
                  <c:v>729.96045054654985</c:v>
                </c:pt>
                <c:pt idx="25">
                  <c:v>730.12923324478538</c:v>
                </c:pt>
                <c:pt idx="26">
                  <c:v>730.01193550040091</c:v>
                </c:pt>
                <c:pt idx="27">
                  <c:v>729.89209030865982</c:v>
                </c:pt>
                <c:pt idx="28">
                  <c:v>729.8570587886752</c:v>
                </c:pt>
                <c:pt idx="29">
                  <c:v>729.91605928286117</c:v>
                </c:pt>
                <c:pt idx="30">
                  <c:v>729.93832524052766</c:v>
                </c:pt>
                <c:pt idx="31">
                  <c:v>731.32489722331809</c:v>
                </c:pt>
                <c:pt idx="32">
                  <c:v>731.32688464648379</c:v>
                </c:pt>
                <c:pt idx="33">
                  <c:v>731.29254849111703</c:v>
                </c:pt>
                <c:pt idx="34">
                  <c:v>730.93214719032994</c:v>
                </c:pt>
                <c:pt idx="35">
                  <c:v>730.88250522675082</c:v>
                </c:pt>
                <c:pt idx="36">
                  <c:v>731.10008381433943</c:v>
                </c:pt>
                <c:pt idx="37">
                  <c:v>731.02419841427343</c:v>
                </c:pt>
                <c:pt idx="38">
                  <c:v>731.01512183202976</c:v>
                </c:pt>
                <c:pt idx="39">
                  <c:v>730.96746655525567</c:v>
                </c:pt>
                <c:pt idx="40">
                  <c:v>731.38787783222961</c:v>
                </c:pt>
                <c:pt idx="41">
                  <c:v>731.05242868559662</c:v>
                </c:pt>
                <c:pt idx="42">
                  <c:v>730.96973947877541</c:v>
                </c:pt>
                <c:pt idx="43">
                  <c:v>730.83925204943102</c:v>
                </c:pt>
                <c:pt idx="44">
                  <c:v>729.59721339657187</c:v>
                </c:pt>
                <c:pt idx="45">
                  <c:v>735.24362365219145</c:v>
                </c:pt>
                <c:pt idx="46">
                  <c:v>729.66898010972761</c:v>
                </c:pt>
                <c:pt idx="47">
                  <c:v>729.83648314506661</c:v>
                </c:pt>
                <c:pt idx="48">
                  <c:v>730.0449754148899</c:v>
                </c:pt>
                <c:pt idx="49">
                  <c:v>730.24595345046941</c:v>
                </c:pt>
                <c:pt idx="50">
                  <c:v>730.37516549805673</c:v>
                </c:pt>
                <c:pt idx="51">
                  <c:v>730.56508433430804</c:v>
                </c:pt>
                <c:pt idx="52">
                  <c:v>730.85457614266079</c:v>
                </c:pt>
                <c:pt idx="53">
                  <c:v>731.04095596468369</c:v>
                </c:pt>
                <c:pt idx="54">
                  <c:v>731.30634022133631</c:v>
                </c:pt>
              </c:numCache>
            </c:numRef>
          </c:yVal>
          <c:smooth val="1"/>
        </c:ser>
        <c:ser>
          <c:idx val="3"/>
          <c:order val="3"/>
          <c:tx>
            <c:v>P1-10</c:v>
          </c:tx>
          <c:spPr>
            <a:ln w="15875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'P1-10'!$A$9:$A$180</c:f>
              <c:numCache>
                <c:formatCode>m/d/yyyy</c:formatCode>
                <c:ptCount val="172"/>
                <c:pt idx="0">
                  <c:v>42587</c:v>
                </c:pt>
                <c:pt idx="1">
                  <c:v>42588</c:v>
                </c:pt>
                <c:pt idx="2">
                  <c:v>42589</c:v>
                </c:pt>
                <c:pt idx="3">
                  <c:v>42590</c:v>
                </c:pt>
                <c:pt idx="4">
                  <c:v>42591</c:v>
                </c:pt>
                <c:pt idx="5">
                  <c:v>42592</c:v>
                </c:pt>
                <c:pt idx="6">
                  <c:v>42593</c:v>
                </c:pt>
                <c:pt idx="7">
                  <c:v>42602</c:v>
                </c:pt>
                <c:pt idx="8">
                  <c:v>42612</c:v>
                </c:pt>
                <c:pt idx="9">
                  <c:v>42623</c:v>
                </c:pt>
                <c:pt idx="10">
                  <c:v>42633</c:v>
                </c:pt>
                <c:pt idx="11">
                  <c:v>42643</c:v>
                </c:pt>
                <c:pt idx="12">
                  <c:v>42884</c:v>
                </c:pt>
                <c:pt idx="13">
                  <c:v>42885</c:v>
                </c:pt>
                <c:pt idx="14">
                  <c:v>42896</c:v>
                </c:pt>
                <c:pt idx="15">
                  <c:v>42906</c:v>
                </c:pt>
                <c:pt idx="16">
                  <c:v>42916</c:v>
                </c:pt>
                <c:pt idx="17">
                  <c:v>42926</c:v>
                </c:pt>
                <c:pt idx="18">
                  <c:v>42936</c:v>
                </c:pt>
                <c:pt idx="19">
                  <c:v>42946</c:v>
                </c:pt>
                <c:pt idx="20">
                  <c:v>42957</c:v>
                </c:pt>
                <c:pt idx="21">
                  <c:v>42967</c:v>
                </c:pt>
                <c:pt idx="22">
                  <c:v>42977</c:v>
                </c:pt>
                <c:pt idx="23">
                  <c:v>42988</c:v>
                </c:pt>
                <c:pt idx="24">
                  <c:v>42998</c:v>
                </c:pt>
                <c:pt idx="25">
                  <c:v>43008</c:v>
                </c:pt>
                <c:pt idx="26">
                  <c:v>43018</c:v>
                </c:pt>
                <c:pt idx="27">
                  <c:v>43230</c:v>
                </c:pt>
                <c:pt idx="28">
                  <c:v>43240</c:v>
                </c:pt>
                <c:pt idx="29">
                  <c:v>43250</c:v>
                </c:pt>
                <c:pt idx="30">
                  <c:v>43261</c:v>
                </c:pt>
                <c:pt idx="31">
                  <c:v>43271</c:v>
                </c:pt>
                <c:pt idx="32">
                  <c:v>43281</c:v>
                </c:pt>
                <c:pt idx="33">
                  <c:v>43291</c:v>
                </c:pt>
                <c:pt idx="34">
                  <c:v>43301</c:v>
                </c:pt>
                <c:pt idx="35">
                  <c:v>43311</c:v>
                </c:pt>
                <c:pt idx="36">
                  <c:v>43322</c:v>
                </c:pt>
                <c:pt idx="37">
                  <c:v>43332</c:v>
                </c:pt>
                <c:pt idx="38">
                  <c:v>43342</c:v>
                </c:pt>
                <c:pt idx="39">
                  <c:v>43353</c:v>
                </c:pt>
                <c:pt idx="40">
                  <c:v>43363</c:v>
                </c:pt>
                <c:pt idx="41">
                  <c:v>43373</c:v>
                </c:pt>
                <c:pt idx="42">
                  <c:v>43383</c:v>
                </c:pt>
                <c:pt idx="43">
                  <c:v>43393</c:v>
                </c:pt>
                <c:pt idx="44">
                  <c:v>43605</c:v>
                </c:pt>
                <c:pt idx="45">
                  <c:v>43615</c:v>
                </c:pt>
                <c:pt idx="46">
                  <c:v>43626</c:v>
                </c:pt>
                <c:pt idx="47">
                  <c:v>43636</c:v>
                </c:pt>
                <c:pt idx="48">
                  <c:v>43646</c:v>
                </c:pt>
                <c:pt idx="49">
                  <c:v>43656</c:v>
                </c:pt>
                <c:pt idx="50">
                  <c:v>43666</c:v>
                </c:pt>
                <c:pt idx="51">
                  <c:v>43676</c:v>
                </c:pt>
                <c:pt idx="52">
                  <c:v>43687</c:v>
                </c:pt>
                <c:pt idx="53">
                  <c:v>43697</c:v>
                </c:pt>
                <c:pt idx="54">
                  <c:v>43707</c:v>
                </c:pt>
              </c:numCache>
            </c:numRef>
          </c:xVal>
          <c:yVal>
            <c:numRef>
              <c:f>'P1-10'!$F$9:$F$180</c:f>
              <c:numCache>
                <c:formatCode>0.0</c:formatCode>
                <c:ptCount val="172"/>
                <c:pt idx="0">
                  <c:v>733.57791037260029</c:v>
                </c:pt>
                <c:pt idx="1">
                  <c:v>733.87750685801211</c:v>
                </c:pt>
                <c:pt idx="2">
                  <c:v>734.28599599403606</c:v>
                </c:pt>
                <c:pt idx="3">
                  <c:v>734.49718866585704</c:v>
                </c:pt>
                <c:pt idx="4">
                  <c:v>734.53947836441716</c:v>
                </c:pt>
                <c:pt idx="5">
                  <c:v>734.96386830170161</c:v>
                </c:pt>
                <c:pt idx="6">
                  <c:v>734.58321957953058</c:v>
                </c:pt>
                <c:pt idx="7">
                  <c:v>734.54382496846995</c:v>
                </c:pt>
                <c:pt idx="8">
                  <c:v>734.51999554665633</c:v>
                </c:pt>
                <c:pt idx="9">
                  <c:v>734.68794405889594</c:v>
                </c:pt>
                <c:pt idx="10">
                  <c:v>734.84863652321246</c:v>
                </c:pt>
                <c:pt idx="11">
                  <c:v>734.65688675454794</c:v>
                </c:pt>
                <c:pt idx="12">
                  <c:v>734.24101571852998</c:v>
                </c:pt>
                <c:pt idx="13">
                  <c:v>734.23751051691784</c:v>
                </c:pt>
                <c:pt idx="14">
                  <c:v>734.20462213657072</c:v>
                </c:pt>
                <c:pt idx="15">
                  <c:v>734.2098800389042</c:v>
                </c:pt>
                <c:pt idx="16">
                  <c:v>734.37503645216509</c:v>
                </c:pt>
                <c:pt idx="17">
                  <c:v>734.15070028591538</c:v>
                </c:pt>
                <c:pt idx="18">
                  <c:v>734.21946468648116</c:v>
                </c:pt>
                <c:pt idx="19">
                  <c:v>734.15636821542807</c:v>
                </c:pt>
                <c:pt idx="20">
                  <c:v>734.24265964623328</c:v>
                </c:pt>
                <c:pt idx="21">
                  <c:v>734.28998149994652</c:v>
                </c:pt>
                <c:pt idx="22">
                  <c:v>734.27461792785311</c:v>
                </c:pt>
                <c:pt idx="23">
                  <c:v>734.28162862383329</c:v>
                </c:pt>
                <c:pt idx="24">
                  <c:v>734.18523040076252</c:v>
                </c:pt>
                <c:pt idx="25">
                  <c:v>734.07182890147681</c:v>
                </c:pt>
                <c:pt idx="26">
                  <c:v>734.17120863381126</c:v>
                </c:pt>
                <c:pt idx="27">
                  <c:v>734.10272911527079</c:v>
                </c:pt>
                <c:pt idx="28">
                  <c:v>734.10313564664671</c:v>
                </c:pt>
                <c:pt idx="29">
                  <c:v>734.15747352433584</c:v>
                </c:pt>
                <c:pt idx="30">
                  <c:v>734.00119052171829</c:v>
                </c:pt>
                <c:pt idx="31">
                  <c:v>735.40877883003634</c:v>
                </c:pt>
                <c:pt idx="32">
                  <c:v>735.3838277050088</c:v>
                </c:pt>
                <c:pt idx="33">
                  <c:v>735.40469830065263</c:v>
                </c:pt>
                <c:pt idx="34">
                  <c:v>735.06223623739436</c:v>
                </c:pt>
                <c:pt idx="35">
                  <c:v>735.01450517062688</c:v>
                </c:pt>
                <c:pt idx="36">
                  <c:v>735.20726638324788</c:v>
                </c:pt>
                <c:pt idx="37">
                  <c:v>735.14676774725854</c:v>
                </c:pt>
                <c:pt idx="38">
                  <c:v>735.09862037797052</c:v>
                </c:pt>
                <c:pt idx="39">
                  <c:v>735.06841329217434</c:v>
                </c:pt>
                <c:pt idx="40">
                  <c:v>735.43113756888113</c:v>
                </c:pt>
                <c:pt idx="41">
                  <c:v>735.31849844920339</c:v>
                </c:pt>
                <c:pt idx="42">
                  <c:v>735.17881136743176</c:v>
                </c:pt>
                <c:pt idx="43">
                  <c:v>735.07634078868455</c:v>
                </c:pt>
                <c:pt idx="44">
                  <c:v>733.91705498592012</c:v>
                </c:pt>
                <c:pt idx="45">
                  <c:v>733.92838429822916</c:v>
                </c:pt>
                <c:pt idx="46">
                  <c:v>734.03436814253769</c:v>
                </c:pt>
                <c:pt idx="47">
                  <c:v>734.18767838156759</c:v>
                </c:pt>
                <c:pt idx="48">
                  <c:v>734.21531620315329</c:v>
                </c:pt>
                <c:pt idx="49">
                  <c:v>734.30646042511182</c:v>
                </c:pt>
                <c:pt idx="50">
                  <c:v>734.49142603621294</c:v>
                </c:pt>
                <c:pt idx="51">
                  <c:v>734.79069909459668</c:v>
                </c:pt>
                <c:pt idx="52">
                  <c:v>734.89017268501482</c:v>
                </c:pt>
                <c:pt idx="53">
                  <c:v>735.15519507649822</c:v>
                </c:pt>
                <c:pt idx="54">
                  <c:v>735.46709127158886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6033456"/>
        <c:axId val="-186035632"/>
      </c:scatterChart>
      <c:valAx>
        <c:axId val="-186033456"/>
        <c:scaling>
          <c:orientation val="minMax"/>
          <c:min val="42583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prstDash val="sysDot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>
                    <a:solidFill>
                      <a:sysClr val="windowText" lastClr="000000"/>
                    </a:solidFill>
                  </a:rPr>
                  <a:t>日期</a:t>
                </a:r>
              </a:p>
            </c:rich>
          </c:tx>
          <c:layout>
            <c:manualLayout>
              <c:xMode val="edge"/>
              <c:yMode val="edge"/>
              <c:x val="0.88183902012248472"/>
              <c:y val="0.88946704578593772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-186035632"/>
        <c:crosses val="autoZero"/>
        <c:crossBetween val="midCat"/>
        <c:majorUnit val="144"/>
      </c:valAx>
      <c:valAx>
        <c:axId val="-18603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prstDash val="sysDot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>
                    <a:solidFill>
                      <a:sysClr val="windowText" lastClr="000000"/>
                    </a:solidFill>
                  </a:rPr>
                  <a:t>水位</a:t>
                </a:r>
                <a:r>
                  <a:rPr lang="en-US" altLang="zh-CN">
                    <a:solidFill>
                      <a:sysClr val="windowText" lastClr="000000"/>
                    </a:solidFill>
                  </a:rPr>
                  <a:t>(m)</a:t>
                </a:r>
                <a:endParaRPr lang="zh-CN" altLang="en-US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,##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86033456"/>
        <c:crosses val="autoZero"/>
        <c:crossBetween val="midCat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083333333333392"/>
          <c:y val="0.87500000000000233"/>
          <c:w val="0.65625000000000233"/>
          <c:h val="7.6388888888888895E-2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433" l="0.70000000000000062" r="0.70000000000000062" t="0.75000000000000433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'P7-01'!$A$8:$A$39</c:f>
              <c:numCache>
                <c:formatCode>m/d/yyyy</c:formatCode>
                <c:ptCount val="32"/>
                <c:pt idx="0">
                  <c:v>42579</c:v>
                </c:pt>
                <c:pt idx="1">
                  <c:v>42580</c:v>
                </c:pt>
                <c:pt idx="2">
                  <c:v>42581</c:v>
                </c:pt>
                <c:pt idx="3">
                  <c:v>42583</c:v>
                </c:pt>
                <c:pt idx="4">
                  <c:v>42584</c:v>
                </c:pt>
                <c:pt idx="5">
                  <c:v>42585</c:v>
                </c:pt>
                <c:pt idx="6">
                  <c:v>42586</c:v>
                </c:pt>
                <c:pt idx="7">
                  <c:v>42589</c:v>
                </c:pt>
                <c:pt idx="8">
                  <c:v>42602</c:v>
                </c:pt>
                <c:pt idx="9">
                  <c:v>42612</c:v>
                </c:pt>
                <c:pt idx="10">
                  <c:v>42623</c:v>
                </c:pt>
                <c:pt idx="11">
                  <c:v>42633</c:v>
                </c:pt>
                <c:pt idx="12">
                  <c:v>42643</c:v>
                </c:pt>
                <c:pt idx="13">
                  <c:v>42653</c:v>
                </c:pt>
                <c:pt idx="14">
                  <c:v>42855</c:v>
                </c:pt>
                <c:pt idx="15">
                  <c:v>42865</c:v>
                </c:pt>
                <c:pt idx="16">
                  <c:v>42875</c:v>
                </c:pt>
                <c:pt idx="17">
                  <c:v>42885</c:v>
                </c:pt>
                <c:pt idx="18">
                  <c:v>42896</c:v>
                </c:pt>
                <c:pt idx="19">
                  <c:v>42906</c:v>
                </c:pt>
                <c:pt idx="20">
                  <c:v>42926</c:v>
                </c:pt>
                <c:pt idx="21">
                  <c:v>42936</c:v>
                </c:pt>
                <c:pt idx="22">
                  <c:v>42946</c:v>
                </c:pt>
                <c:pt idx="23">
                  <c:v>42957</c:v>
                </c:pt>
                <c:pt idx="24">
                  <c:v>42967</c:v>
                </c:pt>
                <c:pt idx="25">
                  <c:v>42977</c:v>
                </c:pt>
                <c:pt idx="26">
                  <c:v>42988</c:v>
                </c:pt>
                <c:pt idx="27">
                  <c:v>42998</c:v>
                </c:pt>
                <c:pt idx="28">
                  <c:v>43008</c:v>
                </c:pt>
                <c:pt idx="29">
                  <c:v>43018</c:v>
                </c:pt>
                <c:pt idx="30">
                  <c:v>43230</c:v>
                </c:pt>
                <c:pt idx="31">
                  <c:v>43240</c:v>
                </c:pt>
              </c:numCache>
            </c:numRef>
          </c:xVal>
          <c:yVal>
            <c:numRef>
              <c:f>'P7-01'!$F$8:$F$39</c:f>
              <c:numCache>
                <c:formatCode>0.0</c:formatCode>
                <c:ptCount val="32"/>
                <c:pt idx="0">
                  <c:v>735.14073303591204</c:v>
                </c:pt>
                <c:pt idx="1">
                  <c:v>735.2650648270893</c:v>
                </c:pt>
                <c:pt idx="2">
                  <c:v>735.34339552705421</c:v>
                </c:pt>
                <c:pt idx="3">
                  <c:v>735.39328660137448</c:v>
                </c:pt>
                <c:pt idx="4">
                  <c:v>735.1652689901656</c:v>
                </c:pt>
                <c:pt idx="5">
                  <c:v>735.02811819593626</c:v>
                </c:pt>
                <c:pt idx="6">
                  <c:v>734.97238310798321</c:v>
                </c:pt>
                <c:pt idx="7">
                  <c:v>735.30025056683905</c:v>
                </c:pt>
                <c:pt idx="8">
                  <c:v>735.04586881989496</c:v>
                </c:pt>
                <c:pt idx="9">
                  <c:v>735.10413039225023</c:v>
                </c:pt>
                <c:pt idx="10">
                  <c:v>735.28396725813832</c:v>
                </c:pt>
                <c:pt idx="11">
                  <c:v>735.60612299318836</c:v>
                </c:pt>
                <c:pt idx="12">
                  <c:v>737.34503223812692</c:v>
                </c:pt>
                <c:pt idx="13">
                  <c:v>737.33724463908015</c:v>
                </c:pt>
                <c:pt idx="14">
                  <c:v>737.66754325211275</c:v>
                </c:pt>
                <c:pt idx="15">
                  <c:v>738.22865786360114</c:v>
                </c:pt>
                <c:pt idx="16">
                  <c:v>737.40337158857119</c:v>
                </c:pt>
                <c:pt idx="17">
                  <c:v>737.08167842926184</c:v>
                </c:pt>
                <c:pt idx="18">
                  <c:v>737.08212702464164</c:v>
                </c:pt>
                <c:pt idx="19">
                  <c:v>737.30834043323364</c:v>
                </c:pt>
                <c:pt idx="20">
                  <c:v>737.05849622094047</c:v>
                </c:pt>
                <c:pt idx="21">
                  <c:v>737.08391724127785</c:v>
                </c:pt>
                <c:pt idx="22">
                  <c:v>737.01648330662488</c:v>
                </c:pt>
                <c:pt idx="23">
                  <c:v>737.09130617776975</c:v>
                </c:pt>
                <c:pt idx="24">
                  <c:v>737.02906587036762</c:v>
                </c:pt>
                <c:pt idx="25">
                  <c:v>737.19340017684806</c:v>
                </c:pt>
                <c:pt idx="26">
                  <c:v>737.18656522177741</c:v>
                </c:pt>
                <c:pt idx="27">
                  <c:v>737.13250546626148</c:v>
                </c:pt>
                <c:pt idx="28">
                  <c:v>737.1232111267027</c:v>
                </c:pt>
                <c:pt idx="29">
                  <c:v>737.10653652938686</c:v>
                </c:pt>
                <c:pt idx="30">
                  <c:v>737.03909486048371</c:v>
                </c:pt>
                <c:pt idx="31">
                  <c:v>737.00564379948355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'P7-02'!$A$8:$A$39</c:f>
              <c:numCache>
                <c:formatCode>m/d/yyyy</c:formatCode>
                <c:ptCount val="32"/>
                <c:pt idx="0">
                  <c:v>42579</c:v>
                </c:pt>
                <c:pt idx="1">
                  <c:v>42580</c:v>
                </c:pt>
                <c:pt idx="2">
                  <c:v>42581</c:v>
                </c:pt>
                <c:pt idx="3">
                  <c:v>42583</c:v>
                </c:pt>
                <c:pt idx="4">
                  <c:v>42584</c:v>
                </c:pt>
                <c:pt idx="5">
                  <c:v>42585</c:v>
                </c:pt>
                <c:pt idx="6">
                  <c:v>42586</c:v>
                </c:pt>
                <c:pt idx="7">
                  <c:v>42589</c:v>
                </c:pt>
                <c:pt idx="8">
                  <c:v>42602</c:v>
                </c:pt>
                <c:pt idx="9">
                  <c:v>42612</c:v>
                </c:pt>
                <c:pt idx="10">
                  <c:v>42623</c:v>
                </c:pt>
                <c:pt idx="11">
                  <c:v>42633</c:v>
                </c:pt>
                <c:pt idx="12">
                  <c:v>42643</c:v>
                </c:pt>
                <c:pt idx="13">
                  <c:v>42653</c:v>
                </c:pt>
                <c:pt idx="14">
                  <c:v>42855</c:v>
                </c:pt>
                <c:pt idx="15">
                  <c:v>42865</c:v>
                </c:pt>
                <c:pt idx="16">
                  <c:v>42875</c:v>
                </c:pt>
                <c:pt idx="17">
                  <c:v>42885</c:v>
                </c:pt>
                <c:pt idx="18">
                  <c:v>42896</c:v>
                </c:pt>
                <c:pt idx="19">
                  <c:v>42906</c:v>
                </c:pt>
                <c:pt idx="20">
                  <c:v>42926</c:v>
                </c:pt>
                <c:pt idx="21">
                  <c:v>42936</c:v>
                </c:pt>
                <c:pt idx="22">
                  <c:v>42946</c:v>
                </c:pt>
                <c:pt idx="23">
                  <c:v>42957</c:v>
                </c:pt>
                <c:pt idx="24">
                  <c:v>42967</c:v>
                </c:pt>
                <c:pt idx="25">
                  <c:v>42977</c:v>
                </c:pt>
                <c:pt idx="26">
                  <c:v>42988</c:v>
                </c:pt>
                <c:pt idx="27">
                  <c:v>42998</c:v>
                </c:pt>
                <c:pt idx="28">
                  <c:v>43008</c:v>
                </c:pt>
                <c:pt idx="29">
                  <c:v>43018</c:v>
                </c:pt>
                <c:pt idx="30">
                  <c:v>43230</c:v>
                </c:pt>
                <c:pt idx="31">
                  <c:v>43240</c:v>
                </c:pt>
              </c:numCache>
            </c:numRef>
          </c:xVal>
          <c:yVal>
            <c:numRef>
              <c:f>'P7-02'!$F$8:$F$39</c:f>
              <c:numCache>
                <c:formatCode>0.0</c:formatCode>
                <c:ptCount val="32"/>
                <c:pt idx="0">
                  <c:v>735.10521558586856</c:v>
                </c:pt>
                <c:pt idx="1">
                  <c:v>735.18286062757477</c:v>
                </c:pt>
                <c:pt idx="2">
                  <c:v>735.19565735829076</c:v>
                </c:pt>
                <c:pt idx="3">
                  <c:v>735.35911552088703</c:v>
                </c:pt>
                <c:pt idx="4">
                  <c:v>735.31547327820749</c:v>
                </c:pt>
                <c:pt idx="5">
                  <c:v>735.24413264800194</c:v>
                </c:pt>
                <c:pt idx="6">
                  <c:v>735.26930219687051</c:v>
                </c:pt>
                <c:pt idx="7">
                  <c:v>735.18374166658191</c:v>
                </c:pt>
                <c:pt idx="8">
                  <c:v>735.12177081643836</c:v>
                </c:pt>
                <c:pt idx="9">
                  <c:v>735.12091815869519</c:v>
                </c:pt>
                <c:pt idx="10">
                  <c:v>735.12821433399552</c:v>
                </c:pt>
                <c:pt idx="11">
                  <c:v>735.35307499401915</c:v>
                </c:pt>
                <c:pt idx="12">
                  <c:v>737.78427818808598</c:v>
                </c:pt>
                <c:pt idx="13">
                  <c:v>737.68356290153486</c:v>
                </c:pt>
                <c:pt idx="14">
                  <c:v>737.91993944610545</c:v>
                </c:pt>
                <c:pt idx="15">
                  <c:v>738.51138019012262</c:v>
                </c:pt>
                <c:pt idx="16">
                  <c:v>737.54924350685008</c:v>
                </c:pt>
                <c:pt idx="17">
                  <c:v>737.23610975156691</c:v>
                </c:pt>
                <c:pt idx="18">
                  <c:v>737.28450656134851</c:v>
                </c:pt>
                <c:pt idx="19">
                  <c:v>737.47270562372864</c:v>
                </c:pt>
                <c:pt idx="20">
                  <c:v>737.2133117982321</c:v>
                </c:pt>
                <c:pt idx="21">
                  <c:v>737.22899434351314</c:v>
                </c:pt>
                <c:pt idx="22">
                  <c:v>737.15739734957924</c:v>
                </c:pt>
                <c:pt idx="23">
                  <c:v>737.20600375432139</c:v>
                </c:pt>
                <c:pt idx="24">
                  <c:v>737.17134534377385</c:v>
                </c:pt>
                <c:pt idx="25">
                  <c:v>737.34161923500585</c:v>
                </c:pt>
                <c:pt idx="26">
                  <c:v>737.31898744077387</c:v>
                </c:pt>
                <c:pt idx="27">
                  <c:v>737.27689206316018</c:v>
                </c:pt>
                <c:pt idx="28">
                  <c:v>737.19360030759879</c:v>
                </c:pt>
                <c:pt idx="29">
                  <c:v>737.2327673451781</c:v>
                </c:pt>
                <c:pt idx="30">
                  <c:v>737.21639651809221</c:v>
                </c:pt>
                <c:pt idx="31">
                  <c:v>737.20405521531984</c:v>
                </c:pt>
              </c:numCache>
            </c:numRef>
          </c:yVal>
          <c:smooth val="1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'P7-03'!$A$8:$A$43</c:f>
              <c:numCache>
                <c:formatCode>m/d/yyyy</c:formatCode>
                <c:ptCount val="36"/>
                <c:pt idx="0">
                  <c:v>42562</c:v>
                </c:pt>
                <c:pt idx="1">
                  <c:v>42563</c:v>
                </c:pt>
                <c:pt idx="2">
                  <c:v>42564</c:v>
                </c:pt>
                <c:pt idx="3">
                  <c:v>42565</c:v>
                </c:pt>
                <c:pt idx="4">
                  <c:v>42566</c:v>
                </c:pt>
                <c:pt idx="5">
                  <c:v>42567</c:v>
                </c:pt>
                <c:pt idx="6">
                  <c:v>42568</c:v>
                </c:pt>
                <c:pt idx="7">
                  <c:v>42569</c:v>
                </c:pt>
                <c:pt idx="8">
                  <c:v>42570</c:v>
                </c:pt>
                <c:pt idx="9">
                  <c:v>42572</c:v>
                </c:pt>
                <c:pt idx="10">
                  <c:v>42581</c:v>
                </c:pt>
                <c:pt idx="11">
                  <c:v>42592</c:v>
                </c:pt>
                <c:pt idx="12">
                  <c:v>42602</c:v>
                </c:pt>
                <c:pt idx="13">
                  <c:v>42612</c:v>
                </c:pt>
                <c:pt idx="14">
                  <c:v>42623</c:v>
                </c:pt>
                <c:pt idx="15">
                  <c:v>42633</c:v>
                </c:pt>
                <c:pt idx="16">
                  <c:v>42643</c:v>
                </c:pt>
                <c:pt idx="17">
                  <c:v>42653</c:v>
                </c:pt>
                <c:pt idx="18">
                  <c:v>42855</c:v>
                </c:pt>
                <c:pt idx="19">
                  <c:v>42865</c:v>
                </c:pt>
                <c:pt idx="20">
                  <c:v>42875</c:v>
                </c:pt>
                <c:pt idx="21">
                  <c:v>42885</c:v>
                </c:pt>
                <c:pt idx="22">
                  <c:v>42896</c:v>
                </c:pt>
                <c:pt idx="23">
                  <c:v>42906</c:v>
                </c:pt>
                <c:pt idx="24">
                  <c:v>42926</c:v>
                </c:pt>
                <c:pt idx="25">
                  <c:v>42936</c:v>
                </c:pt>
                <c:pt idx="26">
                  <c:v>42946</c:v>
                </c:pt>
                <c:pt idx="27">
                  <c:v>42957</c:v>
                </c:pt>
                <c:pt idx="28">
                  <c:v>42967</c:v>
                </c:pt>
                <c:pt idx="29">
                  <c:v>42977</c:v>
                </c:pt>
                <c:pt idx="30">
                  <c:v>42988</c:v>
                </c:pt>
                <c:pt idx="31">
                  <c:v>42998</c:v>
                </c:pt>
                <c:pt idx="32">
                  <c:v>43008</c:v>
                </c:pt>
                <c:pt idx="33">
                  <c:v>43018</c:v>
                </c:pt>
                <c:pt idx="34">
                  <c:v>43230</c:v>
                </c:pt>
                <c:pt idx="35">
                  <c:v>43240</c:v>
                </c:pt>
              </c:numCache>
            </c:numRef>
          </c:xVal>
          <c:yVal>
            <c:numRef>
              <c:f>'P7-03'!$F$8:$F$43</c:f>
              <c:numCache>
                <c:formatCode>0.0</c:formatCode>
                <c:ptCount val="36"/>
                <c:pt idx="0">
                  <c:v>735.17825222782551</c:v>
                </c:pt>
                <c:pt idx="1">
                  <c:v>735.22510430473619</c:v>
                </c:pt>
                <c:pt idx="2">
                  <c:v>735.29731287593506</c:v>
                </c:pt>
                <c:pt idx="3">
                  <c:v>735.30836912290215</c:v>
                </c:pt>
                <c:pt idx="4">
                  <c:v>735.38791685342915</c:v>
                </c:pt>
                <c:pt idx="5">
                  <c:v>735.39201408024633</c:v>
                </c:pt>
                <c:pt idx="6">
                  <c:v>735.36081411470616</c:v>
                </c:pt>
                <c:pt idx="7">
                  <c:v>735.30998222665585</c:v>
                </c:pt>
                <c:pt idx="8">
                  <c:v>735.27531541895894</c:v>
                </c:pt>
                <c:pt idx="9">
                  <c:v>735.81690063579697</c:v>
                </c:pt>
                <c:pt idx="10">
                  <c:v>735.29186538504518</c:v>
                </c:pt>
                <c:pt idx="11">
                  <c:v>735.32997256436443</c:v>
                </c:pt>
                <c:pt idx="12">
                  <c:v>735.34917813589834</c:v>
                </c:pt>
                <c:pt idx="13">
                  <c:v>735.3515808685006</c:v>
                </c:pt>
                <c:pt idx="14">
                  <c:v>735.34122178227665</c:v>
                </c:pt>
                <c:pt idx="15">
                  <c:v>735.32333127982781</c:v>
                </c:pt>
                <c:pt idx="16">
                  <c:v>736.71338372106993</c:v>
                </c:pt>
                <c:pt idx="17">
                  <c:v>735.95768608286448</c:v>
                </c:pt>
                <c:pt idx="18">
                  <c:v>737.62751840749138</c:v>
                </c:pt>
                <c:pt idx="19">
                  <c:v>738.38267374361328</c:v>
                </c:pt>
                <c:pt idx="20">
                  <c:v>737.79863288470847</c:v>
                </c:pt>
                <c:pt idx="21">
                  <c:v>737.52977744290286</c:v>
                </c:pt>
                <c:pt idx="22">
                  <c:v>737.5652663962768</c:v>
                </c:pt>
                <c:pt idx="23">
                  <c:v>737.69646484925806</c:v>
                </c:pt>
                <c:pt idx="24">
                  <c:v>737.52110417355607</c:v>
                </c:pt>
                <c:pt idx="25">
                  <c:v>737.54291813298789</c:v>
                </c:pt>
                <c:pt idx="26">
                  <c:v>737.46680304703591</c:v>
                </c:pt>
                <c:pt idx="27">
                  <c:v>737.62264928944228</c:v>
                </c:pt>
                <c:pt idx="28">
                  <c:v>737.48938569492555</c:v>
                </c:pt>
                <c:pt idx="29">
                  <c:v>737.68195070879892</c:v>
                </c:pt>
                <c:pt idx="30">
                  <c:v>737.67018268771653</c:v>
                </c:pt>
                <c:pt idx="31">
                  <c:v>737.59072581984185</c:v>
                </c:pt>
                <c:pt idx="32">
                  <c:v>736.65048326943167</c:v>
                </c:pt>
                <c:pt idx="33">
                  <c:v>737.56320085073321</c:v>
                </c:pt>
                <c:pt idx="34">
                  <c:v>737.5291607939472</c:v>
                </c:pt>
                <c:pt idx="35">
                  <c:v>737.48707763848563</c:v>
                </c:pt>
              </c:numCache>
            </c:numRef>
          </c:yVal>
          <c:smooth val="1"/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'P7-04'!$A$8:$A$42</c:f>
              <c:numCache>
                <c:formatCode>m/d/yyyy</c:formatCode>
                <c:ptCount val="35"/>
                <c:pt idx="0">
                  <c:v>42562</c:v>
                </c:pt>
                <c:pt idx="1">
                  <c:v>42563</c:v>
                </c:pt>
                <c:pt idx="2">
                  <c:v>42564</c:v>
                </c:pt>
                <c:pt idx="3">
                  <c:v>42565</c:v>
                </c:pt>
                <c:pt idx="4">
                  <c:v>42566</c:v>
                </c:pt>
                <c:pt idx="5">
                  <c:v>42567</c:v>
                </c:pt>
                <c:pt idx="6">
                  <c:v>42568</c:v>
                </c:pt>
                <c:pt idx="7">
                  <c:v>42570</c:v>
                </c:pt>
                <c:pt idx="8">
                  <c:v>42572</c:v>
                </c:pt>
                <c:pt idx="9">
                  <c:v>42581</c:v>
                </c:pt>
                <c:pt idx="10">
                  <c:v>42592</c:v>
                </c:pt>
                <c:pt idx="11">
                  <c:v>42602</c:v>
                </c:pt>
                <c:pt idx="12">
                  <c:v>42612</c:v>
                </c:pt>
                <c:pt idx="13">
                  <c:v>42623</c:v>
                </c:pt>
                <c:pt idx="14">
                  <c:v>42633</c:v>
                </c:pt>
                <c:pt idx="15">
                  <c:v>42643</c:v>
                </c:pt>
                <c:pt idx="16">
                  <c:v>42653</c:v>
                </c:pt>
                <c:pt idx="17">
                  <c:v>42855</c:v>
                </c:pt>
                <c:pt idx="18">
                  <c:v>42865</c:v>
                </c:pt>
                <c:pt idx="19">
                  <c:v>42875</c:v>
                </c:pt>
                <c:pt idx="20">
                  <c:v>42885</c:v>
                </c:pt>
                <c:pt idx="21">
                  <c:v>42896</c:v>
                </c:pt>
                <c:pt idx="22">
                  <c:v>42906</c:v>
                </c:pt>
                <c:pt idx="23">
                  <c:v>42926</c:v>
                </c:pt>
                <c:pt idx="24">
                  <c:v>42936</c:v>
                </c:pt>
                <c:pt idx="25">
                  <c:v>42946</c:v>
                </c:pt>
                <c:pt idx="26">
                  <c:v>42957</c:v>
                </c:pt>
                <c:pt idx="27">
                  <c:v>42967</c:v>
                </c:pt>
                <c:pt idx="28">
                  <c:v>42977</c:v>
                </c:pt>
                <c:pt idx="29">
                  <c:v>42988</c:v>
                </c:pt>
                <c:pt idx="30">
                  <c:v>42998</c:v>
                </c:pt>
                <c:pt idx="31">
                  <c:v>43008</c:v>
                </c:pt>
                <c:pt idx="32">
                  <c:v>43018</c:v>
                </c:pt>
                <c:pt idx="33">
                  <c:v>43230</c:v>
                </c:pt>
                <c:pt idx="34">
                  <c:v>43240</c:v>
                </c:pt>
              </c:numCache>
            </c:numRef>
          </c:xVal>
          <c:yVal>
            <c:numRef>
              <c:f>'P7-04'!$F$8:$F$42</c:f>
              <c:numCache>
                <c:formatCode>0.0</c:formatCode>
                <c:ptCount val="35"/>
                <c:pt idx="0">
                  <c:v>735.07349269498411</c:v>
                </c:pt>
                <c:pt idx="1">
                  <c:v>735.15167359275779</c:v>
                </c:pt>
                <c:pt idx="2">
                  <c:v>735.19374947935103</c:v>
                </c:pt>
                <c:pt idx="3">
                  <c:v>735.21187474565022</c:v>
                </c:pt>
                <c:pt idx="4">
                  <c:v>735.23242331262338</c:v>
                </c:pt>
                <c:pt idx="5">
                  <c:v>735.22255584555683</c:v>
                </c:pt>
                <c:pt idx="6">
                  <c:v>735.23400609427028</c:v>
                </c:pt>
                <c:pt idx="7">
                  <c:v>735.24332617626499</c:v>
                </c:pt>
                <c:pt idx="8">
                  <c:v>735.66555371861739</c:v>
                </c:pt>
                <c:pt idx="9">
                  <c:v>735.32059183570777</c:v>
                </c:pt>
                <c:pt idx="10">
                  <c:v>735.32594060392614</c:v>
                </c:pt>
                <c:pt idx="11">
                  <c:v>735.35709770152471</c:v>
                </c:pt>
                <c:pt idx="12">
                  <c:v>734.66449721605727</c:v>
                </c:pt>
                <c:pt idx="13">
                  <c:v>735.38078970866547</c:v>
                </c:pt>
                <c:pt idx="14">
                  <c:v>735.38570841019532</c:v>
                </c:pt>
                <c:pt idx="15">
                  <c:v>736.76162395966344</c:v>
                </c:pt>
                <c:pt idx="16">
                  <c:v>736.06718233243373</c:v>
                </c:pt>
                <c:pt idx="17">
                  <c:v>737.7330445092407</c:v>
                </c:pt>
                <c:pt idx="18">
                  <c:v>738.47336435418242</c:v>
                </c:pt>
                <c:pt idx="19">
                  <c:v>737.91661159132389</c:v>
                </c:pt>
                <c:pt idx="20">
                  <c:v>737.64945233128537</c:v>
                </c:pt>
                <c:pt idx="21">
                  <c:v>737.69558548584382</c:v>
                </c:pt>
                <c:pt idx="22">
                  <c:v>737.8268215656517</c:v>
                </c:pt>
                <c:pt idx="23">
                  <c:v>737.65976019212064</c:v>
                </c:pt>
                <c:pt idx="24">
                  <c:v>737.67381937019115</c:v>
                </c:pt>
                <c:pt idx="25">
                  <c:v>737.61698149462347</c:v>
                </c:pt>
                <c:pt idx="26">
                  <c:v>737.75243822847517</c:v>
                </c:pt>
                <c:pt idx="27">
                  <c:v>737.61424006501659</c:v>
                </c:pt>
                <c:pt idx="28">
                  <c:v>737.7903476223139</c:v>
                </c:pt>
                <c:pt idx="29">
                  <c:v>737.77415714168831</c:v>
                </c:pt>
                <c:pt idx="30">
                  <c:v>737.71222726377061</c:v>
                </c:pt>
                <c:pt idx="31">
                  <c:v>737.64815003279341</c:v>
                </c:pt>
                <c:pt idx="32">
                  <c:v>737.68596451065491</c:v>
                </c:pt>
                <c:pt idx="33">
                  <c:v>737.61689060747688</c:v>
                </c:pt>
                <c:pt idx="34">
                  <c:v>737.57909649088526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1640720"/>
        <c:axId val="-161635280"/>
      </c:scatterChart>
      <c:valAx>
        <c:axId val="-161640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-161635280"/>
        <c:crosses val="autoZero"/>
        <c:crossBetween val="midCat"/>
      </c:valAx>
      <c:valAx>
        <c:axId val="-16163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61640720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266" l="0.70000000000000062" r="0.70000000000000062" t="0.75000000000000266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'P7-05'!$A$8:$A$33</c:f>
              <c:numCache>
                <c:formatCode>m/d/yyyy</c:formatCode>
                <c:ptCount val="26"/>
                <c:pt idx="0">
                  <c:v>42630</c:v>
                </c:pt>
                <c:pt idx="1">
                  <c:v>42631</c:v>
                </c:pt>
                <c:pt idx="2">
                  <c:v>42632</c:v>
                </c:pt>
                <c:pt idx="3">
                  <c:v>42633</c:v>
                </c:pt>
                <c:pt idx="4">
                  <c:v>42634</c:v>
                </c:pt>
                <c:pt idx="5">
                  <c:v>42635</c:v>
                </c:pt>
                <c:pt idx="6">
                  <c:v>42636</c:v>
                </c:pt>
                <c:pt idx="7">
                  <c:v>42653</c:v>
                </c:pt>
                <c:pt idx="8">
                  <c:v>42855</c:v>
                </c:pt>
                <c:pt idx="9">
                  <c:v>42865</c:v>
                </c:pt>
                <c:pt idx="10">
                  <c:v>42875</c:v>
                </c:pt>
                <c:pt idx="11">
                  <c:v>42885</c:v>
                </c:pt>
                <c:pt idx="12">
                  <c:v>42896</c:v>
                </c:pt>
                <c:pt idx="13">
                  <c:v>42906</c:v>
                </c:pt>
                <c:pt idx="14">
                  <c:v>42926</c:v>
                </c:pt>
                <c:pt idx="15">
                  <c:v>42936</c:v>
                </c:pt>
                <c:pt idx="16">
                  <c:v>42946</c:v>
                </c:pt>
                <c:pt idx="17">
                  <c:v>42957</c:v>
                </c:pt>
                <c:pt idx="18">
                  <c:v>42967</c:v>
                </c:pt>
                <c:pt idx="19">
                  <c:v>42977</c:v>
                </c:pt>
                <c:pt idx="20">
                  <c:v>42988</c:v>
                </c:pt>
                <c:pt idx="21">
                  <c:v>42998</c:v>
                </c:pt>
                <c:pt idx="22">
                  <c:v>43008</c:v>
                </c:pt>
                <c:pt idx="23">
                  <c:v>43018</c:v>
                </c:pt>
                <c:pt idx="24">
                  <c:v>43230</c:v>
                </c:pt>
                <c:pt idx="25">
                  <c:v>43240</c:v>
                </c:pt>
              </c:numCache>
            </c:numRef>
          </c:xVal>
          <c:yVal>
            <c:numRef>
              <c:f>'P7-05'!$F$8:$F$34</c:f>
              <c:numCache>
                <c:formatCode>0.0</c:formatCode>
                <c:ptCount val="27"/>
                <c:pt idx="0">
                  <c:v>731.48636378722938</c:v>
                </c:pt>
                <c:pt idx="1">
                  <c:v>731.465248035174</c:v>
                </c:pt>
                <c:pt idx="2">
                  <c:v>731.17537630449829</c:v>
                </c:pt>
                <c:pt idx="3">
                  <c:v>731.89287676678634</c:v>
                </c:pt>
                <c:pt idx="4">
                  <c:v>732.14094866624589</c:v>
                </c:pt>
                <c:pt idx="5">
                  <c:v>733.23330876982618</c:v>
                </c:pt>
                <c:pt idx="6">
                  <c:v>733.6997059045832</c:v>
                </c:pt>
                <c:pt idx="7">
                  <c:v>734.65153828861651</c:v>
                </c:pt>
                <c:pt idx="8">
                  <c:v>736.46898807663911</c:v>
                </c:pt>
                <c:pt idx="9">
                  <c:v>737.24276625763662</c:v>
                </c:pt>
                <c:pt idx="10">
                  <c:v>736.66574389372397</c:v>
                </c:pt>
                <c:pt idx="11">
                  <c:v>736.38378928759357</c:v>
                </c:pt>
                <c:pt idx="12">
                  <c:v>736.42414721958073</c:v>
                </c:pt>
                <c:pt idx="13">
                  <c:v>736.56154017069457</c:v>
                </c:pt>
                <c:pt idx="14">
                  <c:v>736.38227640106891</c:v>
                </c:pt>
                <c:pt idx="15">
                  <c:v>736.40240409828232</c:v>
                </c:pt>
                <c:pt idx="16">
                  <c:v>736.33550442185424</c:v>
                </c:pt>
                <c:pt idx="17">
                  <c:v>736.48449161152075</c:v>
                </c:pt>
                <c:pt idx="18">
                  <c:v>736.34668985296105</c:v>
                </c:pt>
                <c:pt idx="19">
                  <c:v>736.49916883488459</c:v>
                </c:pt>
                <c:pt idx="20">
                  <c:v>736.49849452321394</c:v>
                </c:pt>
                <c:pt idx="21">
                  <c:v>736.49692512688569</c:v>
                </c:pt>
                <c:pt idx="22">
                  <c:v>736.38395229559001</c:v>
                </c:pt>
                <c:pt idx="23">
                  <c:v>736.41713462493487</c:v>
                </c:pt>
                <c:pt idx="24">
                  <c:v>736.36818408843999</c:v>
                </c:pt>
                <c:pt idx="25">
                  <c:v>736.35497433015894</c:v>
                </c:pt>
                <c:pt idx="26">
                  <c:v>736.38731346472389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'P7-06'!$A$8:$A$34</c:f>
              <c:numCache>
                <c:formatCode>m/d/yyyy</c:formatCode>
                <c:ptCount val="27"/>
                <c:pt idx="0">
                  <c:v>42630</c:v>
                </c:pt>
                <c:pt idx="1">
                  <c:v>42631</c:v>
                </c:pt>
                <c:pt idx="2">
                  <c:v>42632</c:v>
                </c:pt>
                <c:pt idx="3">
                  <c:v>42633</c:v>
                </c:pt>
                <c:pt idx="4">
                  <c:v>42634</c:v>
                </c:pt>
                <c:pt idx="5">
                  <c:v>42635</c:v>
                </c:pt>
                <c:pt idx="6">
                  <c:v>42636</c:v>
                </c:pt>
                <c:pt idx="7">
                  <c:v>42653</c:v>
                </c:pt>
                <c:pt idx="8">
                  <c:v>42855</c:v>
                </c:pt>
                <c:pt idx="9">
                  <c:v>42865</c:v>
                </c:pt>
                <c:pt idx="10">
                  <c:v>42875</c:v>
                </c:pt>
                <c:pt idx="11">
                  <c:v>42885</c:v>
                </c:pt>
                <c:pt idx="12">
                  <c:v>42896</c:v>
                </c:pt>
                <c:pt idx="13">
                  <c:v>42906</c:v>
                </c:pt>
                <c:pt idx="14">
                  <c:v>42926</c:v>
                </c:pt>
                <c:pt idx="15">
                  <c:v>42936</c:v>
                </c:pt>
                <c:pt idx="16">
                  <c:v>42946</c:v>
                </c:pt>
                <c:pt idx="17">
                  <c:v>42957</c:v>
                </c:pt>
                <c:pt idx="18">
                  <c:v>42967</c:v>
                </c:pt>
                <c:pt idx="19">
                  <c:v>42977</c:v>
                </c:pt>
                <c:pt idx="20">
                  <c:v>42988</c:v>
                </c:pt>
                <c:pt idx="21">
                  <c:v>42998</c:v>
                </c:pt>
                <c:pt idx="22">
                  <c:v>43008</c:v>
                </c:pt>
                <c:pt idx="23">
                  <c:v>43018</c:v>
                </c:pt>
                <c:pt idx="24">
                  <c:v>43230</c:v>
                </c:pt>
                <c:pt idx="25">
                  <c:v>43240</c:v>
                </c:pt>
                <c:pt idx="26">
                  <c:v>43250</c:v>
                </c:pt>
              </c:numCache>
            </c:numRef>
          </c:xVal>
          <c:yVal>
            <c:numRef>
              <c:f>'P7-06'!$F$8:$F$34</c:f>
              <c:numCache>
                <c:formatCode>0.0</c:formatCode>
                <c:ptCount val="27"/>
                <c:pt idx="0">
                  <c:v>731.47273253121557</c:v>
                </c:pt>
                <c:pt idx="1">
                  <c:v>731.47686214300143</c:v>
                </c:pt>
                <c:pt idx="2">
                  <c:v>731.34406694745587</c:v>
                </c:pt>
                <c:pt idx="3">
                  <c:v>731.81155886024249</c:v>
                </c:pt>
                <c:pt idx="4">
                  <c:v>732.12952516120208</c:v>
                </c:pt>
                <c:pt idx="5">
                  <c:v>733.52711136442224</c:v>
                </c:pt>
                <c:pt idx="6">
                  <c:v>734.00233319679694</c:v>
                </c:pt>
                <c:pt idx="7">
                  <c:v>735.14812664246631</c:v>
                </c:pt>
                <c:pt idx="8">
                  <c:v>736.59086580669646</c:v>
                </c:pt>
                <c:pt idx="9">
                  <c:v>737.36492902260864</c:v>
                </c:pt>
                <c:pt idx="10">
                  <c:v>736.77943464310295</c:v>
                </c:pt>
                <c:pt idx="11">
                  <c:v>736.51553760291097</c:v>
                </c:pt>
                <c:pt idx="12">
                  <c:v>736.55659034792507</c:v>
                </c:pt>
                <c:pt idx="13">
                  <c:v>736.6960337456436</c:v>
                </c:pt>
                <c:pt idx="14">
                  <c:v>736.53541977746204</c:v>
                </c:pt>
                <c:pt idx="15">
                  <c:v>736.55541453876583</c:v>
                </c:pt>
                <c:pt idx="16">
                  <c:v>736.50299172956773</c:v>
                </c:pt>
                <c:pt idx="17">
                  <c:v>736.65163247102055</c:v>
                </c:pt>
                <c:pt idx="18">
                  <c:v>736.49543532898178</c:v>
                </c:pt>
                <c:pt idx="19">
                  <c:v>736.69060363645144</c:v>
                </c:pt>
                <c:pt idx="20">
                  <c:v>736.66473749658508</c:v>
                </c:pt>
                <c:pt idx="21">
                  <c:v>736.60025026582287</c:v>
                </c:pt>
                <c:pt idx="22">
                  <c:v>736.54473709338686</c:v>
                </c:pt>
                <c:pt idx="23">
                  <c:v>736.58059060501705</c:v>
                </c:pt>
                <c:pt idx="24">
                  <c:v>736.49381586812251</c:v>
                </c:pt>
                <c:pt idx="25">
                  <c:v>736.45340910181881</c:v>
                </c:pt>
                <c:pt idx="26">
                  <c:v>736.52793176865077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1640176"/>
        <c:axId val="-161639088"/>
      </c:scatterChart>
      <c:valAx>
        <c:axId val="-161640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-161639088"/>
        <c:crosses val="autoZero"/>
        <c:crossBetween val="midCat"/>
      </c:valAx>
      <c:valAx>
        <c:axId val="-16163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61640176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266" l="0.70000000000000062" r="0.70000000000000062" t="0.75000000000000266" header="0.30000000000000032" footer="0.3000000000000003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'P7-07'!$A$8:$A$37</c:f>
              <c:numCache>
                <c:formatCode>m/d/yyyy</c:formatCode>
                <c:ptCount val="30"/>
                <c:pt idx="0">
                  <c:v>42590</c:v>
                </c:pt>
                <c:pt idx="1">
                  <c:v>42591</c:v>
                </c:pt>
                <c:pt idx="2">
                  <c:v>42592</c:v>
                </c:pt>
                <c:pt idx="3">
                  <c:v>42593</c:v>
                </c:pt>
                <c:pt idx="4">
                  <c:v>42594</c:v>
                </c:pt>
                <c:pt idx="5">
                  <c:v>42595</c:v>
                </c:pt>
                <c:pt idx="6">
                  <c:v>42602</c:v>
                </c:pt>
                <c:pt idx="7">
                  <c:v>42612</c:v>
                </c:pt>
                <c:pt idx="8">
                  <c:v>42623</c:v>
                </c:pt>
                <c:pt idx="9">
                  <c:v>42633</c:v>
                </c:pt>
                <c:pt idx="10">
                  <c:v>42643</c:v>
                </c:pt>
                <c:pt idx="11">
                  <c:v>42653</c:v>
                </c:pt>
                <c:pt idx="12">
                  <c:v>42855</c:v>
                </c:pt>
                <c:pt idx="13">
                  <c:v>42865</c:v>
                </c:pt>
                <c:pt idx="14">
                  <c:v>42875</c:v>
                </c:pt>
                <c:pt idx="15">
                  <c:v>42885</c:v>
                </c:pt>
                <c:pt idx="16">
                  <c:v>42896</c:v>
                </c:pt>
                <c:pt idx="17">
                  <c:v>42906</c:v>
                </c:pt>
                <c:pt idx="18">
                  <c:v>42926</c:v>
                </c:pt>
                <c:pt idx="19">
                  <c:v>42936</c:v>
                </c:pt>
                <c:pt idx="20">
                  <c:v>42946</c:v>
                </c:pt>
                <c:pt idx="21">
                  <c:v>42957</c:v>
                </c:pt>
                <c:pt idx="22">
                  <c:v>42967</c:v>
                </c:pt>
                <c:pt idx="23">
                  <c:v>42977</c:v>
                </c:pt>
                <c:pt idx="24">
                  <c:v>42988</c:v>
                </c:pt>
                <c:pt idx="25">
                  <c:v>42998</c:v>
                </c:pt>
                <c:pt idx="26">
                  <c:v>43008</c:v>
                </c:pt>
                <c:pt idx="27">
                  <c:v>43018</c:v>
                </c:pt>
                <c:pt idx="28">
                  <c:v>43230</c:v>
                </c:pt>
                <c:pt idx="29">
                  <c:v>43240</c:v>
                </c:pt>
              </c:numCache>
            </c:numRef>
          </c:xVal>
          <c:yVal>
            <c:numRef>
              <c:f>'P7-07'!$F$8:$F$38</c:f>
              <c:numCache>
                <c:formatCode>0.0</c:formatCode>
                <c:ptCount val="31"/>
                <c:pt idx="0">
                  <c:v>735.27080292734354</c:v>
                </c:pt>
                <c:pt idx="1">
                  <c:v>736.70691643249995</c:v>
                </c:pt>
                <c:pt idx="2">
                  <c:v>736.20179318215423</c:v>
                </c:pt>
                <c:pt idx="3">
                  <c:v>735.98301109345039</c:v>
                </c:pt>
                <c:pt idx="4">
                  <c:v>735.82443884181851</c:v>
                </c:pt>
                <c:pt idx="5">
                  <c:v>735.51728648030041</c:v>
                </c:pt>
                <c:pt idx="6">
                  <c:v>735.44936797650792</c:v>
                </c:pt>
                <c:pt idx="7">
                  <c:v>735.42726514862227</c:v>
                </c:pt>
                <c:pt idx="8">
                  <c:v>735.40776166456499</c:v>
                </c:pt>
                <c:pt idx="9">
                  <c:v>735.38172614261225</c:v>
                </c:pt>
                <c:pt idx="10">
                  <c:v>738.01457759847733</c:v>
                </c:pt>
                <c:pt idx="11">
                  <c:v>737.82487872806189</c:v>
                </c:pt>
                <c:pt idx="12">
                  <c:v>737.99792078123244</c:v>
                </c:pt>
                <c:pt idx="13">
                  <c:v>738.61518192087703</c:v>
                </c:pt>
                <c:pt idx="14">
                  <c:v>737.57630804424605</c:v>
                </c:pt>
                <c:pt idx="15">
                  <c:v>737.25334743688984</c:v>
                </c:pt>
                <c:pt idx="16">
                  <c:v>737.30233426266443</c:v>
                </c:pt>
                <c:pt idx="17">
                  <c:v>737.50461166673404</c:v>
                </c:pt>
                <c:pt idx="18">
                  <c:v>737.24032336834534</c:v>
                </c:pt>
                <c:pt idx="19">
                  <c:v>737.25325804358738</c:v>
                </c:pt>
                <c:pt idx="20">
                  <c:v>737.18633628702241</c:v>
                </c:pt>
                <c:pt idx="21">
                  <c:v>737.20828970875448</c:v>
                </c:pt>
                <c:pt idx="22">
                  <c:v>737.20712861314144</c:v>
                </c:pt>
                <c:pt idx="23">
                  <c:v>737.36839974325937</c:v>
                </c:pt>
                <c:pt idx="24">
                  <c:v>737.36918308742065</c:v>
                </c:pt>
                <c:pt idx="25">
                  <c:v>737.32021533643683</c:v>
                </c:pt>
                <c:pt idx="26">
                  <c:v>737.24734942294742</c:v>
                </c:pt>
                <c:pt idx="27">
                  <c:v>737.27984418680342</c:v>
                </c:pt>
                <c:pt idx="28">
                  <c:v>737.27096159940822</c:v>
                </c:pt>
                <c:pt idx="29">
                  <c:v>737.22236869285507</c:v>
                </c:pt>
                <c:pt idx="30">
                  <c:v>737.34463748823077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1634736"/>
        <c:axId val="-469265504"/>
      </c:scatterChart>
      <c:valAx>
        <c:axId val="-161634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-469265504"/>
        <c:crosses val="autoZero"/>
        <c:crossBetween val="midCat"/>
      </c:valAx>
      <c:valAx>
        <c:axId val="-46926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61634736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266" l="0.70000000000000062" r="0.70000000000000062" t="0.75000000000000266" header="0.30000000000000032" footer="0.3000000000000003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384492563429591"/>
          <c:y val="0.16666666666666688"/>
          <c:w val="0.76161351706036762"/>
          <c:h val="0.62408209390492897"/>
        </c:manualLayout>
      </c:layout>
      <c:scatterChart>
        <c:scatterStyle val="smoothMarker"/>
        <c:varyColors val="0"/>
        <c:ser>
          <c:idx val="0"/>
          <c:order val="0"/>
          <c:tx>
            <c:v>P7-14</c:v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'P7-14'!$A$8:$A$100</c:f>
              <c:numCache>
                <c:formatCode>m/d/yyyy</c:formatCode>
                <c:ptCount val="93"/>
                <c:pt idx="0">
                  <c:v>42519</c:v>
                </c:pt>
                <c:pt idx="1">
                  <c:v>42519</c:v>
                </c:pt>
                <c:pt idx="2">
                  <c:v>42520</c:v>
                </c:pt>
                <c:pt idx="3">
                  <c:v>42521</c:v>
                </c:pt>
                <c:pt idx="4">
                  <c:v>42522</c:v>
                </c:pt>
                <c:pt idx="5">
                  <c:v>42523</c:v>
                </c:pt>
                <c:pt idx="6">
                  <c:v>42524</c:v>
                </c:pt>
                <c:pt idx="7">
                  <c:v>42525</c:v>
                </c:pt>
                <c:pt idx="8">
                  <c:v>42526</c:v>
                </c:pt>
                <c:pt idx="9">
                  <c:v>42531</c:v>
                </c:pt>
                <c:pt idx="10">
                  <c:v>42536</c:v>
                </c:pt>
                <c:pt idx="11">
                  <c:v>42538</c:v>
                </c:pt>
                <c:pt idx="12">
                  <c:v>42541</c:v>
                </c:pt>
                <c:pt idx="13">
                  <c:v>42551</c:v>
                </c:pt>
                <c:pt idx="14">
                  <c:v>42561</c:v>
                </c:pt>
                <c:pt idx="15">
                  <c:v>42571</c:v>
                </c:pt>
                <c:pt idx="16">
                  <c:v>42581</c:v>
                </c:pt>
                <c:pt idx="17">
                  <c:v>42592</c:v>
                </c:pt>
                <c:pt idx="18">
                  <c:v>42602</c:v>
                </c:pt>
                <c:pt idx="19">
                  <c:v>42612</c:v>
                </c:pt>
                <c:pt idx="20">
                  <c:v>42623</c:v>
                </c:pt>
                <c:pt idx="21">
                  <c:v>42633</c:v>
                </c:pt>
                <c:pt idx="22">
                  <c:v>42643</c:v>
                </c:pt>
                <c:pt idx="23">
                  <c:v>42653</c:v>
                </c:pt>
                <c:pt idx="24">
                  <c:v>42855</c:v>
                </c:pt>
                <c:pt idx="25">
                  <c:v>42865</c:v>
                </c:pt>
                <c:pt idx="26">
                  <c:v>42875</c:v>
                </c:pt>
                <c:pt idx="27">
                  <c:v>42885</c:v>
                </c:pt>
                <c:pt idx="28">
                  <c:v>42896</c:v>
                </c:pt>
                <c:pt idx="29">
                  <c:v>42906</c:v>
                </c:pt>
                <c:pt idx="30">
                  <c:v>42926</c:v>
                </c:pt>
                <c:pt idx="31">
                  <c:v>42936</c:v>
                </c:pt>
                <c:pt idx="32">
                  <c:v>42946</c:v>
                </c:pt>
                <c:pt idx="33">
                  <c:v>42957</c:v>
                </c:pt>
                <c:pt idx="34">
                  <c:v>42967</c:v>
                </c:pt>
                <c:pt idx="35">
                  <c:v>42977</c:v>
                </c:pt>
                <c:pt idx="36">
                  <c:v>42988</c:v>
                </c:pt>
                <c:pt idx="37">
                  <c:v>42998</c:v>
                </c:pt>
                <c:pt idx="38">
                  <c:v>43008</c:v>
                </c:pt>
                <c:pt idx="39">
                  <c:v>43018</c:v>
                </c:pt>
                <c:pt idx="40">
                  <c:v>43230</c:v>
                </c:pt>
                <c:pt idx="41">
                  <c:v>43240</c:v>
                </c:pt>
                <c:pt idx="42">
                  <c:v>43250</c:v>
                </c:pt>
                <c:pt idx="43">
                  <c:v>43261</c:v>
                </c:pt>
                <c:pt idx="44">
                  <c:v>43271</c:v>
                </c:pt>
                <c:pt idx="45">
                  <c:v>43281</c:v>
                </c:pt>
                <c:pt idx="46">
                  <c:v>43291</c:v>
                </c:pt>
                <c:pt idx="47">
                  <c:v>43301</c:v>
                </c:pt>
                <c:pt idx="48">
                  <c:v>43311</c:v>
                </c:pt>
                <c:pt idx="49">
                  <c:v>43322</c:v>
                </c:pt>
                <c:pt idx="50">
                  <c:v>43332</c:v>
                </c:pt>
                <c:pt idx="51">
                  <c:v>43342</c:v>
                </c:pt>
                <c:pt idx="52">
                  <c:v>43353</c:v>
                </c:pt>
                <c:pt idx="53">
                  <c:v>43363</c:v>
                </c:pt>
                <c:pt idx="54">
                  <c:v>43373</c:v>
                </c:pt>
                <c:pt idx="55">
                  <c:v>43383</c:v>
                </c:pt>
                <c:pt idx="56">
                  <c:v>43393</c:v>
                </c:pt>
                <c:pt idx="57">
                  <c:v>43605</c:v>
                </c:pt>
                <c:pt idx="58">
                  <c:v>43615</c:v>
                </c:pt>
                <c:pt idx="59">
                  <c:v>43626</c:v>
                </c:pt>
                <c:pt idx="60">
                  <c:v>43636</c:v>
                </c:pt>
                <c:pt idx="61">
                  <c:v>43646</c:v>
                </c:pt>
                <c:pt idx="62">
                  <c:v>43656</c:v>
                </c:pt>
                <c:pt idx="63">
                  <c:v>43666</c:v>
                </c:pt>
                <c:pt idx="64">
                  <c:v>43676</c:v>
                </c:pt>
                <c:pt idx="65">
                  <c:v>43687</c:v>
                </c:pt>
                <c:pt idx="66">
                  <c:v>43697</c:v>
                </c:pt>
                <c:pt idx="67">
                  <c:v>43707</c:v>
                </c:pt>
              </c:numCache>
            </c:numRef>
          </c:xVal>
          <c:yVal>
            <c:numRef>
              <c:f>'P7-14'!$F$8:$F$100</c:f>
              <c:numCache>
                <c:formatCode>0.0</c:formatCode>
                <c:ptCount val="93"/>
                <c:pt idx="0">
                  <c:v>733.2850617647847</c:v>
                </c:pt>
                <c:pt idx="1">
                  <c:v>733.36759149383749</c:v>
                </c:pt>
                <c:pt idx="2">
                  <c:v>733.39584779719769</c:v>
                </c:pt>
                <c:pt idx="3">
                  <c:v>733.42410410809782</c:v>
                </c:pt>
                <c:pt idx="4">
                  <c:v>733.46243886915363</c:v>
                </c:pt>
                <c:pt idx="5">
                  <c:v>733.48061675251813</c:v>
                </c:pt>
                <c:pt idx="6">
                  <c:v>733.49879463672039</c:v>
                </c:pt>
                <c:pt idx="7">
                  <c:v>733.50821341456049</c:v>
                </c:pt>
                <c:pt idx="8">
                  <c:v>733.51763219323823</c:v>
                </c:pt>
                <c:pt idx="9">
                  <c:v>733.65151689775462</c:v>
                </c:pt>
                <c:pt idx="10">
                  <c:v>733.62002993371095</c:v>
                </c:pt>
                <c:pt idx="11">
                  <c:v>733.53668165579109</c:v>
                </c:pt>
                <c:pt idx="12">
                  <c:v>733.48491608667132</c:v>
                </c:pt>
                <c:pt idx="13">
                  <c:v>733.4871388325779</c:v>
                </c:pt>
                <c:pt idx="14">
                  <c:v>733.52798756759751</c:v>
                </c:pt>
                <c:pt idx="15">
                  <c:v>733.53253455098059</c:v>
                </c:pt>
                <c:pt idx="16">
                  <c:v>733.52838480491334</c:v>
                </c:pt>
                <c:pt idx="17">
                  <c:v>733.60143391639917</c:v>
                </c:pt>
                <c:pt idx="18">
                  <c:v>733.61333899464978</c:v>
                </c:pt>
                <c:pt idx="19">
                  <c:v>733.63018849268246</c:v>
                </c:pt>
                <c:pt idx="20">
                  <c:v>733.63020791873714</c:v>
                </c:pt>
                <c:pt idx="21">
                  <c:v>733.6723649109914</c:v>
                </c:pt>
                <c:pt idx="22">
                  <c:v>738.06012697312497</c:v>
                </c:pt>
                <c:pt idx="23">
                  <c:v>737.95058528755101</c:v>
                </c:pt>
                <c:pt idx="24">
                  <c:v>736.17817936394408</c:v>
                </c:pt>
                <c:pt idx="25">
                  <c:v>736.97911792647619</c:v>
                </c:pt>
                <c:pt idx="26">
                  <c:v>736.39348081555954</c:v>
                </c:pt>
                <c:pt idx="27">
                  <c:v>736.08021476182228</c:v>
                </c:pt>
                <c:pt idx="28">
                  <c:v>736.12131921807224</c:v>
                </c:pt>
                <c:pt idx="29">
                  <c:v>736.25884304916838</c:v>
                </c:pt>
                <c:pt idx="30">
                  <c:v>736.08268733917964</c:v>
                </c:pt>
                <c:pt idx="31">
                  <c:v>736.10630818113543</c:v>
                </c:pt>
                <c:pt idx="32">
                  <c:v>736.0342611038343</c:v>
                </c:pt>
                <c:pt idx="33">
                  <c:v>736.17173813118723</c:v>
                </c:pt>
                <c:pt idx="34">
                  <c:v>736.05141819566165</c:v>
                </c:pt>
                <c:pt idx="35">
                  <c:v>736.18382023869617</c:v>
                </c:pt>
                <c:pt idx="36">
                  <c:v>736.17837327051393</c:v>
                </c:pt>
                <c:pt idx="37">
                  <c:v>736.11825761424154</c:v>
                </c:pt>
                <c:pt idx="38">
                  <c:v>736.05416355609088</c:v>
                </c:pt>
                <c:pt idx="39">
                  <c:v>736.09144571705428</c:v>
                </c:pt>
                <c:pt idx="40">
                  <c:v>735.60548187613153</c:v>
                </c:pt>
                <c:pt idx="41">
                  <c:v>736.03974380212946</c:v>
                </c:pt>
                <c:pt idx="42">
                  <c:v>736.06776810058852</c:v>
                </c:pt>
                <c:pt idx="43">
                  <c:v>736.36599358697447</c:v>
                </c:pt>
                <c:pt idx="44">
                  <c:v>737.47102648009695</c:v>
                </c:pt>
                <c:pt idx="45">
                  <c:v>737.08654249627511</c:v>
                </c:pt>
                <c:pt idx="46">
                  <c:v>736.37906562744786</c:v>
                </c:pt>
                <c:pt idx="47">
                  <c:v>736.50812111968696</c:v>
                </c:pt>
                <c:pt idx="48">
                  <c:v>736.49334659594638</c:v>
                </c:pt>
                <c:pt idx="49">
                  <c:v>736.78993124670535</c:v>
                </c:pt>
                <c:pt idx="50">
                  <c:v>736.56354514151326</c:v>
                </c:pt>
                <c:pt idx="51">
                  <c:v>737.05955317805228</c:v>
                </c:pt>
                <c:pt idx="52">
                  <c:v>737.49422322534349</c:v>
                </c:pt>
                <c:pt idx="53">
                  <c:v>736.96790169917915</c:v>
                </c:pt>
                <c:pt idx="54">
                  <c:v>736.94119773308796</c:v>
                </c:pt>
                <c:pt idx="55">
                  <c:v>736.91969185520747</c:v>
                </c:pt>
                <c:pt idx="56">
                  <c:v>736.84357128484214</c:v>
                </c:pt>
                <c:pt idx="57">
                  <c:v>736.29963533923456</c:v>
                </c:pt>
                <c:pt idx="58">
                  <c:v>736.32392075555777</c:v>
                </c:pt>
                <c:pt idx="59">
                  <c:v>736.35098963865062</c:v>
                </c:pt>
                <c:pt idx="60">
                  <c:v>736.37062743098306</c:v>
                </c:pt>
                <c:pt idx="61">
                  <c:v>736.43835456035129</c:v>
                </c:pt>
                <c:pt idx="62">
                  <c:v>736.5687706930554</c:v>
                </c:pt>
                <c:pt idx="63">
                  <c:v>736.84646970684355</c:v>
                </c:pt>
                <c:pt idx="64">
                  <c:v>736.98948032045223</c:v>
                </c:pt>
                <c:pt idx="65">
                  <c:v>737.07523307943325</c:v>
                </c:pt>
                <c:pt idx="66">
                  <c:v>737.3306921660901</c:v>
                </c:pt>
                <c:pt idx="67">
                  <c:v>737.56486451998114</c:v>
                </c:pt>
              </c:numCache>
            </c:numRef>
          </c:yVal>
          <c:smooth val="1"/>
        </c:ser>
        <c:ser>
          <c:idx val="1"/>
          <c:order val="1"/>
          <c:tx>
            <c:v>P7-15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'P7-15'!$A$17:$A$100</c:f>
              <c:numCache>
                <c:formatCode>m/d/yyyy</c:formatCode>
                <c:ptCount val="84"/>
                <c:pt idx="0">
                  <c:v>42531</c:v>
                </c:pt>
                <c:pt idx="1">
                  <c:v>42536</c:v>
                </c:pt>
                <c:pt idx="2">
                  <c:v>42538</c:v>
                </c:pt>
                <c:pt idx="3">
                  <c:v>42541</c:v>
                </c:pt>
                <c:pt idx="4">
                  <c:v>42551</c:v>
                </c:pt>
                <c:pt idx="5">
                  <c:v>42561</c:v>
                </c:pt>
                <c:pt idx="6">
                  <c:v>42571</c:v>
                </c:pt>
                <c:pt idx="7">
                  <c:v>42581</c:v>
                </c:pt>
                <c:pt idx="8">
                  <c:v>42592</c:v>
                </c:pt>
                <c:pt idx="9">
                  <c:v>42602</c:v>
                </c:pt>
                <c:pt idx="10">
                  <c:v>42612</c:v>
                </c:pt>
                <c:pt idx="11">
                  <c:v>42623</c:v>
                </c:pt>
                <c:pt idx="12">
                  <c:v>42633</c:v>
                </c:pt>
                <c:pt idx="13">
                  <c:v>42643</c:v>
                </c:pt>
                <c:pt idx="14">
                  <c:v>42653</c:v>
                </c:pt>
                <c:pt idx="15">
                  <c:v>42855</c:v>
                </c:pt>
                <c:pt idx="16">
                  <c:v>42865</c:v>
                </c:pt>
                <c:pt idx="17">
                  <c:v>42875</c:v>
                </c:pt>
                <c:pt idx="18">
                  <c:v>42885</c:v>
                </c:pt>
                <c:pt idx="19">
                  <c:v>42896</c:v>
                </c:pt>
                <c:pt idx="20">
                  <c:v>42906</c:v>
                </c:pt>
                <c:pt idx="21">
                  <c:v>42926</c:v>
                </c:pt>
                <c:pt idx="22">
                  <c:v>42936</c:v>
                </c:pt>
                <c:pt idx="23">
                  <c:v>42946</c:v>
                </c:pt>
                <c:pt idx="24">
                  <c:v>42957</c:v>
                </c:pt>
                <c:pt idx="25">
                  <c:v>42967</c:v>
                </c:pt>
                <c:pt idx="26">
                  <c:v>42977</c:v>
                </c:pt>
                <c:pt idx="27">
                  <c:v>42988</c:v>
                </c:pt>
                <c:pt idx="28">
                  <c:v>42998</c:v>
                </c:pt>
                <c:pt idx="29">
                  <c:v>43008</c:v>
                </c:pt>
                <c:pt idx="30">
                  <c:v>43018</c:v>
                </c:pt>
                <c:pt idx="31">
                  <c:v>43230</c:v>
                </c:pt>
                <c:pt idx="32">
                  <c:v>43240</c:v>
                </c:pt>
                <c:pt idx="33">
                  <c:v>43250</c:v>
                </c:pt>
                <c:pt idx="34">
                  <c:v>43261</c:v>
                </c:pt>
                <c:pt idx="35">
                  <c:v>43271</c:v>
                </c:pt>
                <c:pt idx="36">
                  <c:v>43281</c:v>
                </c:pt>
                <c:pt idx="37">
                  <c:v>43291</c:v>
                </c:pt>
                <c:pt idx="38">
                  <c:v>43301</c:v>
                </c:pt>
                <c:pt idx="39">
                  <c:v>43311</c:v>
                </c:pt>
                <c:pt idx="40">
                  <c:v>43322</c:v>
                </c:pt>
                <c:pt idx="41">
                  <c:v>43332</c:v>
                </c:pt>
                <c:pt idx="42">
                  <c:v>43342</c:v>
                </c:pt>
                <c:pt idx="43">
                  <c:v>43353</c:v>
                </c:pt>
                <c:pt idx="44">
                  <c:v>43363</c:v>
                </c:pt>
                <c:pt idx="45">
                  <c:v>43373</c:v>
                </c:pt>
                <c:pt idx="46">
                  <c:v>43383</c:v>
                </c:pt>
                <c:pt idx="47">
                  <c:v>43393</c:v>
                </c:pt>
                <c:pt idx="48">
                  <c:v>43605</c:v>
                </c:pt>
                <c:pt idx="49">
                  <c:v>43615</c:v>
                </c:pt>
                <c:pt idx="50">
                  <c:v>43626</c:v>
                </c:pt>
                <c:pt idx="51">
                  <c:v>43636</c:v>
                </c:pt>
                <c:pt idx="52">
                  <c:v>43646</c:v>
                </c:pt>
                <c:pt idx="53">
                  <c:v>43656</c:v>
                </c:pt>
                <c:pt idx="54">
                  <c:v>43666</c:v>
                </c:pt>
                <c:pt idx="55">
                  <c:v>43676</c:v>
                </c:pt>
                <c:pt idx="56">
                  <c:v>43687</c:v>
                </c:pt>
                <c:pt idx="57">
                  <c:v>43697</c:v>
                </c:pt>
                <c:pt idx="58">
                  <c:v>43707</c:v>
                </c:pt>
              </c:numCache>
            </c:numRef>
          </c:xVal>
          <c:yVal>
            <c:numRef>
              <c:f>'P7-15'!$F$17:$F$100</c:f>
              <c:numCache>
                <c:formatCode>0.0</c:formatCode>
                <c:ptCount val="84"/>
                <c:pt idx="0">
                  <c:v>733.70888365264886</c:v>
                </c:pt>
                <c:pt idx="1">
                  <c:v>733.6390057120999</c:v>
                </c:pt>
                <c:pt idx="2">
                  <c:v>733.54829514418293</c:v>
                </c:pt>
                <c:pt idx="3">
                  <c:v>733.52120123711711</c:v>
                </c:pt>
                <c:pt idx="4">
                  <c:v>733.56092640472866</c:v>
                </c:pt>
                <c:pt idx="5">
                  <c:v>733.63624418464394</c:v>
                </c:pt>
                <c:pt idx="6">
                  <c:v>733.6493571679556</c:v>
                </c:pt>
                <c:pt idx="7">
                  <c:v>733.64275341460541</c:v>
                </c:pt>
                <c:pt idx="8">
                  <c:v>733.70241388397119</c:v>
                </c:pt>
                <c:pt idx="9">
                  <c:v>733.72447219441415</c:v>
                </c:pt>
                <c:pt idx="10">
                  <c:v>733.75247409866313</c:v>
                </c:pt>
                <c:pt idx="11">
                  <c:v>733.75679096718329</c:v>
                </c:pt>
                <c:pt idx="12">
                  <c:v>733.78817208555949</c:v>
                </c:pt>
                <c:pt idx="13">
                  <c:v>737.92989158199873</c:v>
                </c:pt>
                <c:pt idx="14">
                  <c:v>737.81417874404349</c:v>
                </c:pt>
                <c:pt idx="15">
                  <c:v>736.16116509006122</c:v>
                </c:pt>
                <c:pt idx="16">
                  <c:v>736.95925873353963</c:v>
                </c:pt>
                <c:pt idx="17">
                  <c:v>736.38970845901099</c:v>
                </c:pt>
                <c:pt idx="18">
                  <c:v>736.0896905751847</c:v>
                </c:pt>
                <c:pt idx="19">
                  <c:v>736.12690042521047</c:v>
                </c:pt>
                <c:pt idx="20">
                  <c:v>736.26902670427569</c:v>
                </c:pt>
                <c:pt idx="21">
                  <c:v>736.11647254319689</c:v>
                </c:pt>
                <c:pt idx="22">
                  <c:v>736.14570001361938</c:v>
                </c:pt>
                <c:pt idx="23">
                  <c:v>736.07557420150385</c:v>
                </c:pt>
                <c:pt idx="24">
                  <c:v>736.22639942833212</c:v>
                </c:pt>
                <c:pt idx="25">
                  <c:v>736.08708482989039</c:v>
                </c:pt>
                <c:pt idx="26">
                  <c:v>736.2436228181864</c:v>
                </c:pt>
                <c:pt idx="27">
                  <c:v>736.23334128377223</c:v>
                </c:pt>
                <c:pt idx="28">
                  <c:v>736.1761361240234</c:v>
                </c:pt>
                <c:pt idx="29">
                  <c:v>736.11235898721225</c:v>
                </c:pt>
                <c:pt idx="30">
                  <c:v>736.14536050375909</c:v>
                </c:pt>
                <c:pt idx="31">
                  <c:v>736.04885266846838</c:v>
                </c:pt>
                <c:pt idx="32">
                  <c:v>736.01106570874174</c:v>
                </c:pt>
                <c:pt idx="33">
                  <c:v>736.0656596871778</c:v>
                </c:pt>
                <c:pt idx="34">
                  <c:v>736.37742916649995</c:v>
                </c:pt>
                <c:pt idx="35">
                  <c:v>737.43967041589747</c:v>
                </c:pt>
                <c:pt idx="36">
                  <c:v>737.10868867353406</c:v>
                </c:pt>
                <c:pt idx="37">
                  <c:v>736.41149532365239</c:v>
                </c:pt>
                <c:pt idx="38">
                  <c:v>736.55106974008527</c:v>
                </c:pt>
                <c:pt idx="39">
                  <c:v>736.52009998248639</c:v>
                </c:pt>
                <c:pt idx="40">
                  <c:v>736.83194846908282</c:v>
                </c:pt>
                <c:pt idx="41">
                  <c:v>736.60854376346481</c:v>
                </c:pt>
                <c:pt idx="42">
                  <c:v>736.93746097972678</c:v>
                </c:pt>
                <c:pt idx="43">
                  <c:v>737.53610037022349</c:v>
                </c:pt>
                <c:pt idx="44">
                  <c:v>737.00415754232097</c:v>
                </c:pt>
                <c:pt idx="45">
                  <c:v>736.90752258063776</c:v>
                </c:pt>
                <c:pt idx="46">
                  <c:v>736.84968880568465</c:v>
                </c:pt>
                <c:pt idx="47">
                  <c:v>736.77859942165071</c:v>
                </c:pt>
                <c:pt idx="48">
                  <c:v>736.39456779131706</c:v>
                </c:pt>
                <c:pt idx="49">
                  <c:v>736.40559830502093</c:v>
                </c:pt>
                <c:pt idx="50">
                  <c:v>736.41540242174574</c:v>
                </c:pt>
                <c:pt idx="51">
                  <c:v>736.43512029506985</c:v>
                </c:pt>
                <c:pt idx="52">
                  <c:v>736.50439622456065</c:v>
                </c:pt>
                <c:pt idx="53">
                  <c:v>736.67083058134767</c:v>
                </c:pt>
                <c:pt idx="54">
                  <c:v>736.84178104707314</c:v>
                </c:pt>
                <c:pt idx="55">
                  <c:v>737.09735070826855</c:v>
                </c:pt>
                <c:pt idx="56">
                  <c:v>737.38965932341102</c:v>
                </c:pt>
                <c:pt idx="57">
                  <c:v>737.4869129345393</c:v>
                </c:pt>
                <c:pt idx="58">
                  <c:v>737.57923413316951</c:v>
                </c:pt>
              </c:numCache>
            </c:numRef>
          </c:yVal>
          <c:smooth val="1"/>
        </c:ser>
        <c:ser>
          <c:idx val="2"/>
          <c:order val="2"/>
          <c:tx>
            <c:v>P7-16</c:v>
          </c:tx>
          <c:spPr>
            <a:ln w="19050">
              <a:solidFill>
                <a:schemeClr val="tx1"/>
              </a:solidFill>
              <a:prstDash val="lgDashDotDot"/>
            </a:ln>
          </c:spPr>
          <c:marker>
            <c:symbol val="none"/>
          </c:marker>
          <c:xVal>
            <c:numRef>
              <c:f>'P7-16'!$A$8:$A$33</c:f>
              <c:numCache>
                <c:formatCode>m/d/yyyy</c:formatCode>
                <c:ptCount val="26"/>
                <c:pt idx="0">
                  <c:v>42630</c:v>
                </c:pt>
                <c:pt idx="1">
                  <c:v>42631</c:v>
                </c:pt>
                <c:pt idx="2">
                  <c:v>42632</c:v>
                </c:pt>
                <c:pt idx="3">
                  <c:v>42633</c:v>
                </c:pt>
                <c:pt idx="4">
                  <c:v>42634</c:v>
                </c:pt>
                <c:pt idx="5">
                  <c:v>42635</c:v>
                </c:pt>
                <c:pt idx="6">
                  <c:v>42636</c:v>
                </c:pt>
                <c:pt idx="7">
                  <c:v>42653</c:v>
                </c:pt>
                <c:pt idx="8">
                  <c:v>42855</c:v>
                </c:pt>
                <c:pt idx="9">
                  <c:v>42865</c:v>
                </c:pt>
                <c:pt idx="10">
                  <c:v>42875</c:v>
                </c:pt>
                <c:pt idx="11">
                  <c:v>42885</c:v>
                </c:pt>
                <c:pt idx="12">
                  <c:v>42896</c:v>
                </c:pt>
                <c:pt idx="13">
                  <c:v>42906</c:v>
                </c:pt>
                <c:pt idx="14">
                  <c:v>42926</c:v>
                </c:pt>
                <c:pt idx="15">
                  <c:v>42936</c:v>
                </c:pt>
                <c:pt idx="16">
                  <c:v>42946</c:v>
                </c:pt>
                <c:pt idx="17">
                  <c:v>42957</c:v>
                </c:pt>
                <c:pt idx="18">
                  <c:v>42967</c:v>
                </c:pt>
                <c:pt idx="19">
                  <c:v>42977</c:v>
                </c:pt>
                <c:pt idx="20">
                  <c:v>42988</c:v>
                </c:pt>
                <c:pt idx="21">
                  <c:v>42998</c:v>
                </c:pt>
                <c:pt idx="22">
                  <c:v>43008</c:v>
                </c:pt>
                <c:pt idx="23">
                  <c:v>43018</c:v>
                </c:pt>
                <c:pt idx="24">
                  <c:v>43230</c:v>
                </c:pt>
                <c:pt idx="25">
                  <c:v>43240</c:v>
                </c:pt>
              </c:numCache>
            </c:numRef>
          </c:xVal>
          <c:yVal>
            <c:numRef>
              <c:f>'P7-16'!$F$8:$F$33</c:f>
              <c:numCache>
                <c:formatCode>0.0</c:formatCode>
                <c:ptCount val="26"/>
                <c:pt idx="0">
                  <c:v>731.31230498167815</c:v>
                </c:pt>
                <c:pt idx="1">
                  <c:v>731.35190687728743</c:v>
                </c:pt>
                <c:pt idx="2">
                  <c:v>731.29297858211896</c:v>
                </c:pt>
                <c:pt idx="3">
                  <c:v>731.78152476126286</c:v>
                </c:pt>
                <c:pt idx="4">
                  <c:v>731.91495071767338</c:v>
                </c:pt>
                <c:pt idx="5">
                  <c:v>733.55670250214155</c:v>
                </c:pt>
                <c:pt idx="6">
                  <c:v>734.0596360098375</c:v>
                </c:pt>
                <c:pt idx="7">
                  <c:v>735.03864317658463</c:v>
                </c:pt>
                <c:pt idx="8">
                  <c:v>735.8705876688889</c:v>
                </c:pt>
                <c:pt idx="9">
                  <c:v>736.64981253571989</c:v>
                </c:pt>
                <c:pt idx="10">
                  <c:v>736.06905544737219</c:v>
                </c:pt>
                <c:pt idx="11">
                  <c:v>735.83040517451548</c:v>
                </c:pt>
                <c:pt idx="12">
                  <c:v>735.8957194483927</c:v>
                </c:pt>
                <c:pt idx="13">
                  <c:v>736.05431542017823</c:v>
                </c:pt>
                <c:pt idx="14">
                  <c:v>735.97693569167552</c:v>
                </c:pt>
                <c:pt idx="15">
                  <c:v>736.01919427477981</c:v>
                </c:pt>
                <c:pt idx="16">
                  <c:v>735.95950950008262</c:v>
                </c:pt>
                <c:pt idx="17">
                  <c:v>736.13458831940204</c:v>
                </c:pt>
                <c:pt idx="18">
                  <c:v>736.01369347528509</c:v>
                </c:pt>
                <c:pt idx="19">
                  <c:v>736.17193005900799</c:v>
                </c:pt>
                <c:pt idx="20">
                  <c:v>736.13906002360443</c:v>
                </c:pt>
                <c:pt idx="21">
                  <c:v>736.05081532800534</c:v>
                </c:pt>
                <c:pt idx="22">
                  <c:v>735.97400879209715</c:v>
                </c:pt>
                <c:pt idx="23">
                  <c:v>735.99155179725255</c:v>
                </c:pt>
                <c:pt idx="24">
                  <c:v>735.78856542614176</c:v>
                </c:pt>
                <c:pt idx="25">
                  <c:v>735.78381684180431</c:v>
                </c:pt>
              </c:numCache>
            </c:numRef>
          </c:yVal>
          <c:smooth val="1"/>
        </c:ser>
        <c:ser>
          <c:idx val="3"/>
          <c:order val="3"/>
          <c:tx>
            <c:v>P7-17</c:v>
          </c:tx>
          <c:spPr>
            <a:ln w="15875">
              <a:solidFill>
                <a:schemeClr val="tx1"/>
              </a:solidFill>
              <a:prstDash val="lgDashDot"/>
            </a:ln>
          </c:spPr>
          <c:marker>
            <c:symbol val="none"/>
          </c:marker>
          <c:xVal>
            <c:numRef>
              <c:f>'P7-17'!$A$8:$A$33</c:f>
              <c:numCache>
                <c:formatCode>m/d/yyyy</c:formatCode>
                <c:ptCount val="26"/>
                <c:pt idx="0">
                  <c:v>42630</c:v>
                </c:pt>
                <c:pt idx="1">
                  <c:v>42631</c:v>
                </c:pt>
                <c:pt idx="2">
                  <c:v>42632</c:v>
                </c:pt>
                <c:pt idx="3">
                  <c:v>42633</c:v>
                </c:pt>
                <c:pt idx="4">
                  <c:v>42634</c:v>
                </c:pt>
                <c:pt idx="5">
                  <c:v>42635</c:v>
                </c:pt>
                <c:pt idx="6">
                  <c:v>42636</c:v>
                </c:pt>
                <c:pt idx="7">
                  <c:v>42653</c:v>
                </c:pt>
                <c:pt idx="8">
                  <c:v>42855</c:v>
                </c:pt>
                <c:pt idx="9">
                  <c:v>42865</c:v>
                </c:pt>
                <c:pt idx="10">
                  <c:v>42875</c:v>
                </c:pt>
                <c:pt idx="11">
                  <c:v>42885</c:v>
                </c:pt>
                <c:pt idx="12">
                  <c:v>42896</c:v>
                </c:pt>
                <c:pt idx="13">
                  <c:v>42906</c:v>
                </c:pt>
                <c:pt idx="14">
                  <c:v>42926</c:v>
                </c:pt>
                <c:pt idx="15">
                  <c:v>42936</c:v>
                </c:pt>
                <c:pt idx="16">
                  <c:v>42946</c:v>
                </c:pt>
                <c:pt idx="17">
                  <c:v>42957</c:v>
                </c:pt>
                <c:pt idx="18">
                  <c:v>42967</c:v>
                </c:pt>
                <c:pt idx="19">
                  <c:v>42977</c:v>
                </c:pt>
                <c:pt idx="20">
                  <c:v>42988</c:v>
                </c:pt>
                <c:pt idx="21">
                  <c:v>42998</c:v>
                </c:pt>
                <c:pt idx="22">
                  <c:v>43008</c:v>
                </c:pt>
                <c:pt idx="23">
                  <c:v>43018</c:v>
                </c:pt>
                <c:pt idx="24">
                  <c:v>43230</c:v>
                </c:pt>
                <c:pt idx="25">
                  <c:v>43240</c:v>
                </c:pt>
              </c:numCache>
            </c:numRef>
          </c:xVal>
          <c:yVal>
            <c:numRef>
              <c:f>'P7-17'!$F$8:$F$33</c:f>
              <c:numCache>
                <c:formatCode>0.0</c:formatCode>
                <c:ptCount val="26"/>
                <c:pt idx="0">
                  <c:v>728.60764241957952</c:v>
                </c:pt>
                <c:pt idx="1">
                  <c:v>728.58384578932191</c:v>
                </c:pt>
                <c:pt idx="2">
                  <c:v>730.98602631219421</c:v>
                </c:pt>
                <c:pt idx="3">
                  <c:v>731.43265598065182</c:v>
                </c:pt>
                <c:pt idx="4">
                  <c:v>731.75270074395121</c:v>
                </c:pt>
                <c:pt idx="5">
                  <c:v>733.45808302164005</c:v>
                </c:pt>
                <c:pt idx="6">
                  <c:v>733.94902405503558</c:v>
                </c:pt>
                <c:pt idx="7">
                  <c:v>735.71030472499649</c:v>
                </c:pt>
                <c:pt idx="8">
                  <c:v>736.78000367386107</c:v>
                </c:pt>
                <c:pt idx="9">
                  <c:v>737.55956645305253</c:v>
                </c:pt>
                <c:pt idx="10">
                  <c:v>736.96223258763473</c:v>
                </c:pt>
                <c:pt idx="11">
                  <c:v>736.68972596259971</c:v>
                </c:pt>
                <c:pt idx="12">
                  <c:v>736.72769292666408</c:v>
                </c:pt>
                <c:pt idx="13">
                  <c:v>736.86809030111647</c:v>
                </c:pt>
                <c:pt idx="14">
                  <c:v>736.71209542840336</c:v>
                </c:pt>
                <c:pt idx="15">
                  <c:v>736.73339886151803</c:v>
                </c:pt>
                <c:pt idx="16">
                  <c:v>736.65304339824218</c:v>
                </c:pt>
                <c:pt idx="17">
                  <c:v>736.797210010963</c:v>
                </c:pt>
                <c:pt idx="18">
                  <c:v>736.63226071367637</c:v>
                </c:pt>
                <c:pt idx="19">
                  <c:v>736.77451696719743</c:v>
                </c:pt>
                <c:pt idx="20">
                  <c:v>736.77764968729764</c:v>
                </c:pt>
                <c:pt idx="21">
                  <c:v>736.69864504288626</c:v>
                </c:pt>
                <c:pt idx="22">
                  <c:v>736.62051150186528</c:v>
                </c:pt>
                <c:pt idx="23">
                  <c:v>736.65172107069327</c:v>
                </c:pt>
                <c:pt idx="24">
                  <c:v>736.2659804123756</c:v>
                </c:pt>
                <c:pt idx="25">
                  <c:v>736.22441291200232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6495536"/>
        <c:axId val="-156491184"/>
      </c:scatterChart>
      <c:valAx>
        <c:axId val="-156495536"/>
        <c:scaling>
          <c:orientation val="minMax"/>
          <c:min val="42491"/>
        </c:scaling>
        <c:delete val="0"/>
        <c:axPos val="b"/>
        <c:majorGridlines>
          <c:spPr>
            <a:ln w="9525" cap="flat" cmpd="sng" algn="ctr">
              <a:solidFill>
                <a:schemeClr val="bg1"/>
              </a:solidFill>
              <a:prstDash val="sys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lang="zh-CN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>
                    <a:solidFill>
                      <a:sysClr val="windowText" lastClr="000000"/>
                    </a:solidFill>
                  </a:rPr>
                  <a:t>日期</a:t>
                </a:r>
              </a:p>
            </c:rich>
          </c:tx>
          <c:layout>
            <c:manualLayout>
              <c:xMode val="edge"/>
              <c:yMode val="edge"/>
              <c:x val="0.8860404636920387"/>
              <c:y val="0.87962962962963365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-156491184"/>
        <c:crosses val="autoZero"/>
        <c:crossBetween val="midCat"/>
        <c:majorUnit val="248"/>
      </c:valAx>
      <c:valAx>
        <c:axId val="-15649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>
                  <a:defRPr lang="zh-CN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>
                    <a:solidFill>
                      <a:sysClr val="windowText" lastClr="000000"/>
                    </a:solidFill>
                  </a:rPr>
                  <a:t>水位（</a:t>
                </a:r>
                <a:r>
                  <a:rPr lang="en-US" altLang="zh-CN">
                    <a:solidFill>
                      <a:sysClr val="windowText" lastClr="000000"/>
                    </a:solidFill>
                  </a:rPr>
                  <a:t>m</a:t>
                </a:r>
                <a:r>
                  <a:rPr lang="zh-CN" altLang="en-US">
                    <a:solidFill>
                      <a:sysClr val="windowText" lastClr="000000"/>
                    </a:solidFill>
                  </a:rPr>
                  <a:t>）</a:t>
                </a:r>
              </a:p>
            </c:rich>
          </c:tx>
          <c:layout>
            <c:manualLayout>
              <c:xMode val="edge"/>
              <c:yMode val="edge"/>
              <c:x val="1.6666666666666701E-2"/>
              <c:y val="0.32361512102653833"/>
            </c:manualLayout>
          </c:layout>
          <c:overlay val="0"/>
          <c:spPr>
            <a:noFill/>
            <a:ln w="25400">
              <a:noFill/>
            </a:ln>
          </c:spPr>
        </c:title>
        <c:numFmt formatCode="0.0_);[Red]\(0.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56495536"/>
        <c:crosses val="autoZero"/>
        <c:crossBetween val="midCat"/>
        <c:majorUnit val="1.5496863223776838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1458333333333338"/>
          <c:y val="0.87847222222222221"/>
          <c:w val="0.44166666666666682"/>
          <c:h val="0.11111111111111116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horzOverflow="overflow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000000000000433" l="0.70000000000000062" r="0.70000000000000062" t="0.75000000000000433" header="0.30000000000000032" footer="0.3000000000000003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222440944881888"/>
          <c:y val="8.3807961504811915E-2"/>
          <c:w val="0.75499781277340361"/>
          <c:h val="0.68673009623797032"/>
        </c:manualLayout>
      </c:layout>
      <c:scatterChart>
        <c:scatterStyle val="smoothMarker"/>
        <c:varyColors val="0"/>
        <c:ser>
          <c:idx val="1"/>
          <c:order val="0"/>
          <c:tx>
            <c:v>P7-14</c:v>
          </c:tx>
          <c:spPr>
            <a:ln w="22225">
              <a:solidFill>
                <a:sysClr val="windowText" lastClr="000000"/>
              </a:solidFill>
            </a:ln>
          </c:spPr>
          <c:marker>
            <c:symbol val="none"/>
          </c:marker>
          <c:xVal>
            <c:numRef>
              <c:f>'P7-14'!$A$7:$A$61</c:f>
              <c:numCache>
                <c:formatCode>m/d/yyyy</c:formatCode>
                <c:ptCount val="55"/>
                <c:pt idx="0">
                  <c:v>42519</c:v>
                </c:pt>
                <c:pt idx="1">
                  <c:v>42519</c:v>
                </c:pt>
                <c:pt idx="2">
                  <c:v>42519</c:v>
                </c:pt>
                <c:pt idx="3">
                  <c:v>42520</c:v>
                </c:pt>
                <c:pt idx="4">
                  <c:v>42521</c:v>
                </c:pt>
                <c:pt idx="5">
                  <c:v>42522</c:v>
                </c:pt>
                <c:pt idx="6">
                  <c:v>42523</c:v>
                </c:pt>
                <c:pt idx="7">
                  <c:v>42524</c:v>
                </c:pt>
                <c:pt idx="8">
                  <c:v>42525</c:v>
                </c:pt>
                <c:pt idx="9">
                  <c:v>42526</c:v>
                </c:pt>
                <c:pt idx="10">
                  <c:v>42531</c:v>
                </c:pt>
                <c:pt idx="11">
                  <c:v>42536</c:v>
                </c:pt>
                <c:pt idx="12">
                  <c:v>42538</c:v>
                </c:pt>
                <c:pt idx="13">
                  <c:v>42541</c:v>
                </c:pt>
                <c:pt idx="14">
                  <c:v>42551</c:v>
                </c:pt>
                <c:pt idx="15">
                  <c:v>42561</c:v>
                </c:pt>
                <c:pt idx="16">
                  <c:v>42571</c:v>
                </c:pt>
                <c:pt idx="17">
                  <c:v>42581</c:v>
                </c:pt>
                <c:pt idx="18">
                  <c:v>42592</c:v>
                </c:pt>
                <c:pt idx="19">
                  <c:v>42602</c:v>
                </c:pt>
                <c:pt idx="20">
                  <c:v>42612</c:v>
                </c:pt>
                <c:pt idx="21">
                  <c:v>42623</c:v>
                </c:pt>
                <c:pt idx="22">
                  <c:v>42633</c:v>
                </c:pt>
                <c:pt idx="23">
                  <c:v>42643</c:v>
                </c:pt>
                <c:pt idx="24">
                  <c:v>42653</c:v>
                </c:pt>
                <c:pt idx="25">
                  <c:v>42855</c:v>
                </c:pt>
                <c:pt idx="26">
                  <c:v>42865</c:v>
                </c:pt>
                <c:pt idx="27">
                  <c:v>42875</c:v>
                </c:pt>
                <c:pt idx="28">
                  <c:v>42885</c:v>
                </c:pt>
                <c:pt idx="29">
                  <c:v>42896</c:v>
                </c:pt>
                <c:pt idx="30">
                  <c:v>42906</c:v>
                </c:pt>
                <c:pt idx="31">
                  <c:v>42926</c:v>
                </c:pt>
                <c:pt idx="32">
                  <c:v>42936</c:v>
                </c:pt>
                <c:pt idx="33">
                  <c:v>42946</c:v>
                </c:pt>
                <c:pt idx="34">
                  <c:v>42957</c:v>
                </c:pt>
                <c:pt idx="35">
                  <c:v>42967</c:v>
                </c:pt>
                <c:pt idx="36">
                  <c:v>42977</c:v>
                </c:pt>
                <c:pt idx="37">
                  <c:v>42988</c:v>
                </c:pt>
                <c:pt idx="38">
                  <c:v>42998</c:v>
                </c:pt>
                <c:pt idx="39">
                  <c:v>43008</c:v>
                </c:pt>
                <c:pt idx="40">
                  <c:v>43018</c:v>
                </c:pt>
                <c:pt idx="41">
                  <c:v>43230</c:v>
                </c:pt>
                <c:pt idx="42">
                  <c:v>43240</c:v>
                </c:pt>
                <c:pt idx="43">
                  <c:v>43250</c:v>
                </c:pt>
                <c:pt idx="44">
                  <c:v>43261</c:v>
                </c:pt>
                <c:pt idx="45">
                  <c:v>43271</c:v>
                </c:pt>
                <c:pt idx="46">
                  <c:v>43281</c:v>
                </c:pt>
                <c:pt idx="47">
                  <c:v>43291</c:v>
                </c:pt>
                <c:pt idx="48">
                  <c:v>43301</c:v>
                </c:pt>
                <c:pt idx="49">
                  <c:v>43311</c:v>
                </c:pt>
                <c:pt idx="50">
                  <c:v>43322</c:v>
                </c:pt>
                <c:pt idx="51">
                  <c:v>43332</c:v>
                </c:pt>
                <c:pt idx="52">
                  <c:v>43342</c:v>
                </c:pt>
                <c:pt idx="53">
                  <c:v>43353</c:v>
                </c:pt>
                <c:pt idx="54">
                  <c:v>43363</c:v>
                </c:pt>
              </c:numCache>
            </c:numRef>
          </c:xVal>
          <c:yVal>
            <c:numRef>
              <c:f>'P7-14'!$E$8:$E$61</c:f>
              <c:numCache>
                <c:formatCode>0.000_ </c:formatCode>
                <c:ptCount val="54"/>
                <c:pt idx="0">
                  <c:v>-2.1072376001504065E-3</c:v>
                </c:pt>
                <c:pt idx="1">
                  <c:v>-1.2981226094367637E-3</c:v>
                </c:pt>
                <c:pt idx="2">
                  <c:v>-1.0211000274739576E-3</c:v>
                </c:pt>
                <c:pt idx="3">
                  <c:v>-7.4407737158962289E-4</c:v>
                </c:pt>
                <c:pt idx="4">
                  <c:v>-3.6824638084631198E-4</c:v>
                </c:pt>
                <c:pt idx="5">
                  <c:v>-1.9003183805733903E-4</c:v>
                </c:pt>
                <c:pt idx="6">
                  <c:v>-1.1817287054710635E-5</c:v>
                </c:pt>
                <c:pt idx="7">
                  <c:v>8.0523672161346427E-5</c:v>
                </c:pt>
                <c:pt idx="8">
                  <c:v>1.7286463959093751E-4</c:v>
                </c:pt>
                <c:pt idx="9">
                  <c:v>1.4854597819085186E-3</c:v>
                </c:pt>
                <c:pt idx="10">
                  <c:v>1.1767640559900601E-3</c:v>
                </c:pt>
                <c:pt idx="11">
                  <c:v>3.5962407638344407E-4</c:v>
                </c:pt>
                <c:pt idx="12">
                  <c:v>-1.4788150322214699E-4</c:v>
                </c:pt>
                <c:pt idx="13">
                  <c:v>-1.2608987668748933E-4</c:v>
                </c:pt>
                <c:pt idx="14">
                  <c:v>2.7438791762280507E-4</c:v>
                </c:pt>
                <c:pt idx="15">
                  <c:v>3.189661860837946E-4</c:v>
                </c:pt>
                <c:pt idx="16">
                  <c:v>2.7828240111067368E-4</c:v>
                </c:pt>
                <c:pt idx="17">
                  <c:v>9.9445016077583104E-4</c:v>
                </c:pt>
                <c:pt idx="18">
                  <c:v>1.1111666142139959E-3</c:v>
                </c:pt>
                <c:pt idx="19">
                  <c:v>1.2763577713967023E-3</c:v>
                </c:pt>
                <c:pt idx="20">
                  <c:v>1.2765482229133776E-3</c:v>
                </c:pt>
                <c:pt idx="21">
                  <c:v>1.6898520685433398E-3</c:v>
                </c:pt>
                <c:pt idx="22">
                  <c:v>4.4707127187499321E-2</c:v>
                </c:pt>
                <c:pt idx="23">
                  <c:v>4.3633189093636775E-2</c:v>
                </c:pt>
                <c:pt idx="24">
                  <c:v>2.6256660430824759E-2</c:v>
                </c:pt>
                <c:pt idx="25">
                  <c:v>3.4108999279177966E-2</c:v>
                </c:pt>
                <c:pt idx="26">
                  <c:v>2.8367458976074428E-2</c:v>
                </c:pt>
                <c:pt idx="27">
                  <c:v>2.5296223155119882E-2</c:v>
                </c:pt>
                <c:pt idx="28">
                  <c:v>2.5699208020315882E-2</c:v>
                </c:pt>
                <c:pt idx="29">
                  <c:v>2.7047480874199288E-2</c:v>
                </c:pt>
                <c:pt idx="30">
                  <c:v>2.5320464109603903E-2</c:v>
                </c:pt>
                <c:pt idx="31">
                  <c:v>2.5552040991523826E-2</c:v>
                </c:pt>
                <c:pt idx="32">
                  <c:v>2.4845697096414397E-2</c:v>
                </c:pt>
                <c:pt idx="33">
                  <c:v>2.6193511090070815E-2</c:v>
                </c:pt>
                <c:pt idx="34">
                  <c:v>2.5013903879035924E-2</c:v>
                </c:pt>
                <c:pt idx="35">
                  <c:v>2.6311963124472516E-2</c:v>
                </c:pt>
                <c:pt idx="36">
                  <c:v>2.6258561475626413E-2</c:v>
                </c:pt>
                <c:pt idx="37">
                  <c:v>2.5669192296486121E-2</c:v>
                </c:pt>
                <c:pt idx="38">
                  <c:v>2.5040819177362027E-2</c:v>
                </c:pt>
                <c:pt idx="39">
                  <c:v>2.5406330559355983E-2</c:v>
                </c:pt>
                <c:pt idx="40">
                  <c:v>2.0641979177759957E-2</c:v>
                </c:pt>
                <c:pt idx="41">
                  <c:v>2.4899449040485376E-2</c:v>
                </c:pt>
                <c:pt idx="42">
                  <c:v>2.5174197064593354E-2</c:v>
                </c:pt>
                <c:pt idx="43">
                  <c:v>2.8097976342886508E-2</c:v>
                </c:pt>
                <c:pt idx="44">
                  <c:v>3.8931632157812812E-2</c:v>
                </c:pt>
                <c:pt idx="45">
                  <c:v>3.5162181336030433E-2</c:v>
                </c:pt>
                <c:pt idx="46">
                  <c:v>2.8226133602430419E-2</c:v>
                </c:pt>
                <c:pt idx="47">
                  <c:v>2.9491383526342882E-2</c:v>
                </c:pt>
                <c:pt idx="48">
                  <c:v>2.9346535254376367E-2</c:v>
                </c:pt>
                <c:pt idx="49">
                  <c:v>3.2254227908875832E-2</c:v>
                </c:pt>
                <c:pt idx="50">
                  <c:v>3.0034756289346091E-2</c:v>
                </c:pt>
                <c:pt idx="51">
                  <c:v>3.4897580176982655E-2</c:v>
                </c:pt>
                <c:pt idx="52">
                  <c:v>3.9159051228857204E-2</c:v>
                </c:pt>
                <c:pt idx="53">
                  <c:v>3.3999036266462342E-2</c:v>
                </c:pt>
              </c:numCache>
            </c:numRef>
          </c:yVal>
          <c:smooth val="1"/>
        </c:ser>
        <c:ser>
          <c:idx val="0"/>
          <c:order val="1"/>
          <c:tx>
            <c:v>P7-15</c:v>
          </c:tx>
          <c:spPr>
            <a:ln w="19050">
              <a:solidFill>
                <a:schemeClr val="tx1"/>
              </a:solidFill>
              <a:prstDash val="lgDashDotDot"/>
            </a:ln>
          </c:spPr>
          <c:marker>
            <c:symbol val="none"/>
          </c:marker>
          <c:xVal>
            <c:numRef>
              <c:f>'P7-15'!$A$7:$A$61</c:f>
              <c:numCache>
                <c:formatCode>m/d/yyyy</c:formatCode>
                <c:ptCount val="55"/>
                <c:pt idx="0">
                  <c:v>42519</c:v>
                </c:pt>
                <c:pt idx="1">
                  <c:v>42519</c:v>
                </c:pt>
                <c:pt idx="2">
                  <c:v>42519</c:v>
                </c:pt>
                <c:pt idx="3">
                  <c:v>42520</c:v>
                </c:pt>
                <c:pt idx="4">
                  <c:v>42521</c:v>
                </c:pt>
                <c:pt idx="5">
                  <c:v>42522</c:v>
                </c:pt>
                <c:pt idx="6">
                  <c:v>42523</c:v>
                </c:pt>
                <c:pt idx="7">
                  <c:v>42524</c:v>
                </c:pt>
                <c:pt idx="8">
                  <c:v>42525</c:v>
                </c:pt>
                <c:pt idx="9">
                  <c:v>42526</c:v>
                </c:pt>
                <c:pt idx="10">
                  <c:v>42531</c:v>
                </c:pt>
                <c:pt idx="11">
                  <c:v>42536</c:v>
                </c:pt>
                <c:pt idx="12">
                  <c:v>42538</c:v>
                </c:pt>
                <c:pt idx="13">
                  <c:v>42541</c:v>
                </c:pt>
                <c:pt idx="14">
                  <c:v>42551</c:v>
                </c:pt>
                <c:pt idx="15">
                  <c:v>42561</c:v>
                </c:pt>
                <c:pt idx="16">
                  <c:v>42571</c:v>
                </c:pt>
                <c:pt idx="17">
                  <c:v>42581</c:v>
                </c:pt>
                <c:pt idx="18">
                  <c:v>42592</c:v>
                </c:pt>
                <c:pt idx="19">
                  <c:v>42602</c:v>
                </c:pt>
                <c:pt idx="20">
                  <c:v>42612</c:v>
                </c:pt>
                <c:pt idx="21">
                  <c:v>42623</c:v>
                </c:pt>
                <c:pt idx="22">
                  <c:v>42633</c:v>
                </c:pt>
                <c:pt idx="23">
                  <c:v>42643</c:v>
                </c:pt>
                <c:pt idx="24">
                  <c:v>42653</c:v>
                </c:pt>
                <c:pt idx="25">
                  <c:v>42855</c:v>
                </c:pt>
                <c:pt idx="26">
                  <c:v>42865</c:v>
                </c:pt>
                <c:pt idx="27">
                  <c:v>42875</c:v>
                </c:pt>
                <c:pt idx="28">
                  <c:v>42885</c:v>
                </c:pt>
                <c:pt idx="29">
                  <c:v>42896</c:v>
                </c:pt>
                <c:pt idx="30">
                  <c:v>42906</c:v>
                </c:pt>
                <c:pt idx="31">
                  <c:v>42926</c:v>
                </c:pt>
                <c:pt idx="32">
                  <c:v>42936</c:v>
                </c:pt>
                <c:pt idx="33">
                  <c:v>42946</c:v>
                </c:pt>
                <c:pt idx="34">
                  <c:v>42957</c:v>
                </c:pt>
                <c:pt idx="35">
                  <c:v>42967</c:v>
                </c:pt>
                <c:pt idx="36">
                  <c:v>42977</c:v>
                </c:pt>
                <c:pt idx="37">
                  <c:v>42988</c:v>
                </c:pt>
                <c:pt idx="38">
                  <c:v>42998</c:v>
                </c:pt>
                <c:pt idx="39">
                  <c:v>43008</c:v>
                </c:pt>
                <c:pt idx="40">
                  <c:v>43018</c:v>
                </c:pt>
                <c:pt idx="41">
                  <c:v>43230</c:v>
                </c:pt>
                <c:pt idx="42">
                  <c:v>43240</c:v>
                </c:pt>
                <c:pt idx="43">
                  <c:v>43250</c:v>
                </c:pt>
                <c:pt idx="44">
                  <c:v>43261</c:v>
                </c:pt>
                <c:pt idx="45">
                  <c:v>43271</c:v>
                </c:pt>
                <c:pt idx="46">
                  <c:v>43281</c:v>
                </c:pt>
                <c:pt idx="47">
                  <c:v>43291</c:v>
                </c:pt>
                <c:pt idx="48">
                  <c:v>43301</c:v>
                </c:pt>
                <c:pt idx="49">
                  <c:v>43311</c:v>
                </c:pt>
                <c:pt idx="50">
                  <c:v>43322</c:v>
                </c:pt>
                <c:pt idx="51">
                  <c:v>43332</c:v>
                </c:pt>
                <c:pt idx="52">
                  <c:v>43342</c:v>
                </c:pt>
                <c:pt idx="53">
                  <c:v>43353</c:v>
                </c:pt>
                <c:pt idx="54">
                  <c:v>43363</c:v>
                </c:pt>
              </c:numCache>
            </c:numRef>
          </c:xVal>
          <c:yVal>
            <c:numRef>
              <c:f>'P7-15'!$E$8:$E$61</c:f>
              <c:numCache>
                <c:formatCode>0.000_ </c:formatCode>
                <c:ptCount val="54"/>
                <c:pt idx="0">
                  <c:v>-1.284438488042567E-3</c:v>
                </c:pt>
                <c:pt idx="1">
                  <c:v>-1.3685828001804429E-3</c:v>
                </c:pt>
                <c:pt idx="2">
                  <c:v>-1.2980519279793476E-3</c:v>
                </c:pt>
                <c:pt idx="3">
                  <c:v>-6.588772444772184E-4</c:v>
                </c:pt>
                <c:pt idx="4">
                  <c:v>-6.5439337824414745E-4</c:v>
                </c:pt>
                <c:pt idx="5">
                  <c:v>-7.7343460208493392E-4</c:v>
                </c:pt>
                <c:pt idx="6">
                  <c:v>-9.1752755889111873E-4</c:v>
                </c:pt>
                <c:pt idx="7">
                  <c:v>-2.3230909795887017E-4</c:v>
                </c:pt>
                <c:pt idx="8">
                  <c:v>2.2669063954640356E-4</c:v>
                </c:pt>
                <c:pt idx="9">
                  <c:v>2.0478789475384465E-3</c:v>
                </c:pt>
                <c:pt idx="10">
                  <c:v>1.362801099018502E-3</c:v>
                </c:pt>
                <c:pt idx="11">
                  <c:v>4.7348180571531867E-4</c:v>
                </c:pt>
                <c:pt idx="12">
                  <c:v>2.0785526585354042E-4</c:v>
                </c:pt>
                <c:pt idx="13">
                  <c:v>5.9731769341841989E-4</c:v>
                </c:pt>
                <c:pt idx="14">
                  <c:v>1.3357273004311852E-3</c:v>
                </c:pt>
                <c:pt idx="15">
                  <c:v>1.4642859603487129E-3</c:v>
                </c:pt>
                <c:pt idx="16">
                  <c:v>1.39954328044474E-3</c:v>
                </c:pt>
                <c:pt idx="17">
                  <c:v>1.9844498428551113E-3</c:v>
                </c:pt>
                <c:pt idx="18">
                  <c:v>2.2007077883736507E-3</c:v>
                </c:pt>
                <c:pt idx="19">
                  <c:v>2.475236261402794E-3</c:v>
                </c:pt>
                <c:pt idx="20">
                  <c:v>2.5175585017972978E-3</c:v>
                </c:pt>
                <c:pt idx="21">
                  <c:v>2.8252165250934602E-3</c:v>
                </c:pt>
                <c:pt idx="22">
                  <c:v>4.3430309627438414E-2</c:v>
                </c:pt>
                <c:pt idx="23">
                  <c:v>4.2295870039641636E-2</c:v>
                </c:pt>
                <c:pt idx="24">
                  <c:v>2.6089853824129219E-2</c:v>
                </c:pt>
                <c:pt idx="25">
                  <c:v>3.3914301309212032E-2</c:v>
                </c:pt>
                <c:pt idx="26">
                  <c:v>2.8330475088342508E-2</c:v>
                </c:pt>
                <c:pt idx="27">
                  <c:v>2.5389123286124714E-2</c:v>
                </c:pt>
                <c:pt idx="28">
                  <c:v>2.5753925737357963E-2</c:v>
                </c:pt>
                <c:pt idx="29">
                  <c:v>2.7147320630153605E-2</c:v>
                </c:pt>
                <c:pt idx="30">
                  <c:v>2.5651691599969474E-2</c:v>
                </c:pt>
                <c:pt idx="31">
                  <c:v>2.5938235427640587E-2</c:v>
                </c:pt>
                <c:pt idx="32">
                  <c:v>2.525072746572371E-2</c:v>
                </c:pt>
                <c:pt idx="33">
                  <c:v>2.6729406160119026E-2</c:v>
                </c:pt>
                <c:pt idx="34">
                  <c:v>2.5363576763631129E-2</c:v>
                </c:pt>
                <c:pt idx="35">
                  <c:v>2.6898262923395942E-2</c:v>
                </c:pt>
                <c:pt idx="36">
                  <c:v>2.6797463566394376E-2</c:v>
                </c:pt>
                <c:pt idx="37">
                  <c:v>2.6236628666895613E-2</c:v>
                </c:pt>
                <c:pt idx="38">
                  <c:v>2.5611362619728115E-2</c:v>
                </c:pt>
                <c:pt idx="39">
                  <c:v>2.5934906899599257E-2</c:v>
                </c:pt>
                <c:pt idx="40">
                  <c:v>2.49887516516503E-2</c:v>
                </c:pt>
                <c:pt idx="41">
                  <c:v>2.461829126217354E-2</c:v>
                </c:pt>
                <c:pt idx="42">
                  <c:v>2.5153526344880904E-2</c:v>
                </c:pt>
                <c:pt idx="43">
                  <c:v>2.8210089867646927E-2</c:v>
                </c:pt>
                <c:pt idx="44">
                  <c:v>3.8624219763700819E-2</c:v>
                </c:pt>
                <c:pt idx="45">
                  <c:v>3.5379300720922678E-2</c:v>
                </c:pt>
                <c:pt idx="46">
                  <c:v>2.8544071800513209E-2</c:v>
                </c:pt>
                <c:pt idx="47">
                  <c:v>2.9912448432208506E-2</c:v>
                </c:pt>
                <c:pt idx="48">
                  <c:v>2.9608823357709618E-2</c:v>
                </c:pt>
                <c:pt idx="49">
                  <c:v>3.2666161461596351E-2</c:v>
                </c:pt>
                <c:pt idx="50">
                  <c:v>3.0475919249654815E-2</c:v>
                </c:pt>
                <c:pt idx="51">
                  <c:v>3.3700597840458466E-2</c:v>
                </c:pt>
                <c:pt idx="52">
                  <c:v>3.9569611472779632E-2</c:v>
                </c:pt>
                <c:pt idx="53">
                  <c:v>3.4354485709029492E-2</c:v>
                </c:pt>
              </c:numCache>
            </c:numRef>
          </c:yVal>
          <c:smooth val="1"/>
        </c:ser>
        <c:ser>
          <c:idx val="2"/>
          <c:order val="2"/>
          <c:tx>
            <c:v>P7-16</c:v>
          </c:tx>
          <c:spPr>
            <a:ln w="19050">
              <a:solidFill>
                <a:schemeClr val="tx1"/>
              </a:solidFill>
              <a:prstDash val="lgDashDot"/>
            </a:ln>
          </c:spPr>
          <c:marker>
            <c:symbol val="none"/>
          </c:marker>
          <c:xVal>
            <c:numRef>
              <c:f>'P7-16'!$A$8:$A$45</c:f>
              <c:numCache>
                <c:formatCode>m/d/yyyy</c:formatCode>
                <c:ptCount val="38"/>
                <c:pt idx="0">
                  <c:v>42630</c:v>
                </c:pt>
                <c:pt idx="1">
                  <c:v>42631</c:v>
                </c:pt>
                <c:pt idx="2">
                  <c:v>42632</c:v>
                </c:pt>
                <c:pt idx="3">
                  <c:v>42633</c:v>
                </c:pt>
                <c:pt idx="4">
                  <c:v>42634</c:v>
                </c:pt>
                <c:pt idx="5">
                  <c:v>42635</c:v>
                </c:pt>
                <c:pt idx="6">
                  <c:v>42636</c:v>
                </c:pt>
                <c:pt idx="7">
                  <c:v>42653</c:v>
                </c:pt>
                <c:pt idx="8">
                  <c:v>42855</c:v>
                </c:pt>
                <c:pt idx="9">
                  <c:v>42865</c:v>
                </c:pt>
                <c:pt idx="10">
                  <c:v>42875</c:v>
                </c:pt>
                <c:pt idx="11">
                  <c:v>42885</c:v>
                </c:pt>
                <c:pt idx="12">
                  <c:v>42896</c:v>
                </c:pt>
                <c:pt idx="13">
                  <c:v>42906</c:v>
                </c:pt>
                <c:pt idx="14">
                  <c:v>42926</c:v>
                </c:pt>
                <c:pt idx="15">
                  <c:v>42936</c:v>
                </c:pt>
                <c:pt idx="16">
                  <c:v>42946</c:v>
                </c:pt>
                <c:pt idx="17">
                  <c:v>42957</c:v>
                </c:pt>
                <c:pt idx="18">
                  <c:v>42967</c:v>
                </c:pt>
                <c:pt idx="19">
                  <c:v>42977</c:v>
                </c:pt>
                <c:pt idx="20">
                  <c:v>42988</c:v>
                </c:pt>
                <c:pt idx="21">
                  <c:v>42998</c:v>
                </c:pt>
                <c:pt idx="22">
                  <c:v>43008</c:v>
                </c:pt>
                <c:pt idx="23">
                  <c:v>43018</c:v>
                </c:pt>
                <c:pt idx="24">
                  <c:v>43230</c:v>
                </c:pt>
                <c:pt idx="25">
                  <c:v>43240</c:v>
                </c:pt>
                <c:pt idx="26">
                  <c:v>43250</c:v>
                </c:pt>
                <c:pt idx="27">
                  <c:v>43261</c:v>
                </c:pt>
                <c:pt idx="28">
                  <c:v>43271</c:v>
                </c:pt>
                <c:pt idx="29">
                  <c:v>43281</c:v>
                </c:pt>
                <c:pt idx="30">
                  <c:v>43291</c:v>
                </c:pt>
                <c:pt idx="31">
                  <c:v>43301</c:v>
                </c:pt>
                <c:pt idx="32">
                  <c:v>43311</c:v>
                </c:pt>
                <c:pt idx="33">
                  <c:v>43322</c:v>
                </c:pt>
                <c:pt idx="34">
                  <c:v>43332</c:v>
                </c:pt>
                <c:pt idx="35">
                  <c:v>43342</c:v>
                </c:pt>
                <c:pt idx="36">
                  <c:v>43353</c:v>
                </c:pt>
                <c:pt idx="37">
                  <c:v>43363</c:v>
                </c:pt>
              </c:numCache>
            </c:numRef>
          </c:xVal>
          <c:yVal>
            <c:numRef>
              <c:f>'P7-16'!$E$8:$E$45</c:f>
              <c:numCache>
                <c:formatCode>0.000_ </c:formatCode>
                <c:ptCount val="38"/>
                <c:pt idx="0">
                  <c:v>3.0618135458643399E-3</c:v>
                </c:pt>
                <c:pt idx="1">
                  <c:v>3.4500674243863952E-3</c:v>
                </c:pt>
                <c:pt idx="2">
                  <c:v>2.8723390403815365E-3</c:v>
                </c:pt>
                <c:pt idx="3">
                  <c:v>7.6620074633615143E-3</c:v>
                </c:pt>
                <c:pt idx="4">
                  <c:v>8.9701050752295855E-3</c:v>
                </c:pt>
                <c:pt idx="5">
                  <c:v>2.5065710805308783E-2</c:v>
                </c:pt>
                <c:pt idx="6">
                  <c:v>2.9996431468994667E-2</c:v>
                </c:pt>
                <c:pt idx="7">
                  <c:v>3.9594540946907578E-2</c:v>
                </c:pt>
                <c:pt idx="8">
                  <c:v>4.7750859498911086E-2</c:v>
                </c:pt>
                <c:pt idx="9">
                  <c:v>5.5390318977645708E-2</c:v>
                </c:pt>
                <c:pt idx="10">
                  <c:v>4.9696622033060397E-2</c:v>
                </c:pt>
                <c:pt idx="11">
                  <c:v>4.7356913475641596E-2</c:v>
                </c:pt>
                <c:pt idx="12">
                  <c:v>4.799724949404624E-2</c:v>
                </c:pt>
                <c:pt idx="13">
                  <c:v>4.9552111962531217E-2</c:v>
                </c:pt>
                <c:pt idx="14">
                  <c:v>4.8793487173289629E-2</c:v>
                </c:pt>
                <c:pt idx="15">
                  <c:v>4.9207787007645568E-2</c:v>
                </c:pt>
                <c:pt idx="16">
                  <c:v>4.862264215767223E-2</c:v>
                </c:pt>
                <c:pt idx="17">
                  <c:v>5.0339101170608289E-2</c:v>
                </c:pt>
                <c:pt idx="18">
                  <c:v>4.915385760083435E-2</c:v>
                </c:pt>
                <c:pt idx="19">
                  <c:v>5.070519665694162E-2</c:v>
                </c:pt>
                <c:pt idx="20">
                  <c:v>5.0382941407886725E-2</c:v>
                </c:pt>
                <c:pt idx="21">
                  <c:v>4.9517797333385211E-2</c:v>
                </c:pt>
                <c:pt idx="22">
                  <c:v>4.8764792079383459E-2</c:v>
                </c:pt>
                <c:pt idx="23">
                  <c:v>4.8936782326005679E-2</c:v>
                </c:pt>
                <c:pt idx="24">
                  <c:v>4.6946719864135442E-2</c:v>
                </c:pt>
                <c:pt idx="25">
                  <c:v>4.6900165115728809E-2</c:v>
                </c:pt>
                <c:pt idx="26">
                  <c:v>4.7135664740788286E-2</c:v>
                </c:pt>
                <c:pt idx="27">
                  <c:v>5.0885765087978693E-2</c:v>
                </c:pt>
                <c:pt idx="28">
                  <c:v>6.1701194842236323E-2</c:v>
                </c:pt>
                <c:pt idx="29">
                  <c:v>5.8480621693675711E-2</c:v>
                </c:pt>
                <c:pt idx="30">
                  <c:v>5.1519914784149953E-2</c:v>
                </c:pt>
                <c:pt idx="31">
                  <c:v>5.3251681109308391E-2</c:v>
                </c:pt>
                <c:pt idx="32">
                  <c:v>5.2979792853752886E-2</c:v>
                </c:pt>
                <c:pt idx="33">
                  <c:v>5.6251406088533989E-2</c:v>
                </c:pt>
                <c:pt idx="34">
                  <c:v>5.40260146640619E-2</c:v>
                </c:pt>
                <c:pt idx="35">
                  <c:v>5.763774872273994E-2</c:v>
                </c:pt>
                <c:pt idx="36">
                  <c:v>6.3582318234897059E-2</c:v>
                </c:pt>
                <c:pt idx="37">
                  <c:v>5.7706176644842413E-2</c:v>
                </c:pt>
              </c:numCache>
            </c:numRef>
          </c:yVal>
          <c:smooth val="1"/>
        </c:ser>
        <c:ser>
          <c:idx val="3"/>
          <c:order val="3"/>
          <c:tx>
            <c:v>P7-17</c:v>
          </c:tx>
          <c:spPr>
            <a:ln w="1905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'P7-17'!$A$8:$A$45</c:f>
              <c:numCache>
                <c:formatCode>m/d/yyyy</c:formatCode>
                <c:ptCount val="38"/>
                <c:pt idx="0">
                  <c:v>42630</c:v>
                </c:pt>
                <c:pt idx="1">
                  <c:v>42631</c:v>
                </c:pt>
                <c:pt idx="2">
                  <c:v>42632</c:v>
                </c:pt>
                <c:pt idx="3">
                  <c:v>42633</c:v>
                </c:pt>
                <c:pt idx="4">
                  <c:v>42634</c:v>
                </c:pt>
                <c:pt idx="5">
                  <c:v>42635</c:v>
                </c:pt>
                <c:pt idx="6">
                  <c:v>42636</c:v>
                </c:pt>
                <c:pt idx="7">
                  <c:v>42653</c:v>
                </c:pt>
                <c:pt idx="8">
                  <c:v>42855</c:v>
                </c:pt>
                <c:pt idx="9">
                  <c:v>42865</c:v>
                </c:pt>
                <c:pt idx="10">
                  <c:v>42875</c:v>
                </c:pt>
                <c:pt idx="11">
                  <c:v>42885</c:v>
                </c:pt>
                <c:pt idx="12">
                  <c:v>42896</c:v>
                </c:pt>
                <c:pt idx="13">
                  <c:v>42906</c:v>
                </c:pt>
                <c:pt idx="14">
                  <c:v>42926</c:v>
                </c:pt>
                <c:pt idx="15">
                  <c:v>42936</c:v>
                </c:pt>
                <c:pt idx="16">
                  <c:v>42946</c:v>
                </c:pt>
                <c:pt idx="17">
                  <c:v>42957</c:v>
                </c:pt>
                <c:pt idx="18">
                  <c:v>42967</c:v>
                </c:pt>
                <c:pt idx="19">
                  <c:v>42977</c:v>
                </c:pt>
                <c:pt idx="20">
                  <c:v>42988</c:v>
                </c:pt>
                <c:pt idx="21">
                  <c:v>42998</c:v>
                </c:pt>
                <c:pt idx="22">
                  <c:v>43008</c:v>
                </c:pt>
                <c:pt idx="23">
                  <c:v>43018</c:v>
                </c:pt>
                <c:pt idx="24">
                  <c:v>43230</c:v>
                </c:pt>
                <c:pt idx="25">
                  <c:v>43240</c:v>
                </c:pt>
                <c:pt idx="26">
                  <c:v>43250</c:v>
                </c:pt>
                <c:pt idx="27">
                  <c:v>43261</c:v>
                </c:pt>
                <c:pt idx="28">
                  <c:v>43271</c:v>
                </c:pt>
                <c:pt idx="29">
                  <c:v>43281</c:v>
                </c:pt>
                <c:pt idx="30">
                  <c:v>43291</c:v>
                </c:pt>
                <c:pt idx="31">
                  <c:v>43301</c:v>
                </c:pt>
                <c:pt idx="32">
                  <c:v>43311</c:v>
                </c:pt>
                <c:pt idx="33">
                  <c:v>43322</c:v>
                </c:pt>
                <c:pt idx="34">
                  <c:v>43332</c:v>
                </c:pt>
                <c:pt idx="35">
                  <c:v>43342</c:v>
                </c:pt>
                <c:pt idx="36">
                  <c:v>43353</c:v>
                </c:pt>
                <c:pt idx="37">
                  <c:v>43363</c:v>
                </c:pt>
              </c:numCache>
            </c:numRef>
          </c:xVal>
          <c:yVal>
            <c:numRef>
              <c:f>'P7-17'!$E$8:$E$45</c:f>
              <c:numCache>
                <c:formatCode>0.000_ </c:formatCode>
                <c:ptCount val="38"/>
                <c:pt idx="0">
                  <c:v>5.9572786233290966E-3</c:v>
                </c:pt>
                <c:pt idx="1">
                  <c:v>5.7239783266857733E-3</c:v>
                </c:pt>
                <c:pt idx="2">
                  <c:v>2.9274767766610296E-2</c:v>
                </c:pt>
                <c:pt idx="3">
                  <c:v>3.3653490006390833E-2</c:v>
                </c:pt>
                <c:pt idx="4">
                  <c:v>3.6791183764227214E-2</c:v>
                </c:pt>
                <c:pt idx="5">
                  <c:v>5.3510617859215778E-2</c:v>
                </c:pt>
                <c:pt idx="6">
                  <c:v>5.8323765245447301E-2</c:v>
                </c:pt>
                <c:pt idx="7">
                  <c:v>7.5591222794083562E-2</c:v>
                </c:pt>
                <c:pt idx="8">
                  <c:v>8.6078467390795305E-2</c:v>
                </c:pt>
                <c:pt idx="9">
                  <c:v>9.3721239735808745E-2</c:v>
                </c:pt>
                <c:pt idx="10">
                  <c:v>8.7865025368968008E-2</c:v>
                </c:pt>
                <c:pt idx="11">
                  <c:v>8.519339179019346E-2</c:v>
                </c:pt>
                <c:pt idx="12">
                  <c:v>8.5565616928079721E-2</c:v>
                </c:pt>
                <c:pt idx="13">
                  <c:v>8.6942061775652002E-2</c:v>
                </c:pt>
                <c:pt idx="14">
                  <c:v>8.541270027846401E-2</c:v>
                </c:pt>
                <c:pt idx="15">
                  <c:v>8.5621557465863349E-2</c:v>
                </c:pt>
                <c:pt idx="16">
                  <c:v>8.4833758806295401E-2</c:v>
                </c:pt>
                <c:pt idx="17">
                  <c:v>8.6247156970225697E-2</c:v>
                </c:pt>
                <c:pt idx="18">
                  <c:v>8.4630006996827226E-2</c:v>
                </c:pt>
                <c:pt idx="19">
                  <c:v>8.6024676148993964E-2</c:v>
                </c:pt>
                <c:pt idx="20">
                  <c:v>8.6055389091153373E-2</c:v>
                </c:pt>
                <c:pt idx="21">
                  <c:v>8.5280833753786589E-2</c:v>
                </c:pt>
                <c:pt idx="22">
                  <c:v>8.4514818645737816E-2</c:v>
                </c:pt>
                <c:pt idx="23">
                  <c:v>8.4820794810718192E-2</c:v>
                </c:pt>
                <c:pt idx="24">
                  <c:v>8.103902365074081E-2</c:v>
                </c:pt>
                <c:pt idx="25">
                  <c:v>8.0631499137277199E-2</c:v>
                </c:pt>
                <c:pt idx="26">
                  <c:v>8.1067692600655758E-2</c:v>
                </c:pt>
                <c:pt idx="27">
                  <c:v>8.3897130498161568E-2</c:v>
                </c:pt>
                <c:pt idx="28">
                  <c:v>9.4930205446296087E-2</c:v>
                </c:pt>
                <c:pt idx="29">
                  <c:v>8.9688828807538992E-2</c:v>
                </c:pt>
                <c:pt idx="30">
                  <c:v>8.360600446978525E-2</c:v>
                </c:pt>
                <c:pt idx="31">
                  <c:v>8.4940522515697711E-2</c:v>
                </c:pt>
                <c:pt idx="32">
                  <c:v>8.452125860149827E-2</c:v>
                </c:pt>
                <c:pt idx="33">
                  <c:v>8.7236091596585214E-2</c:v>
                </c:pt>
                <c:pt idx="34">
                  <c:v>8.502576161098524E-2</c:v>
                </c:pt>
                <c:pt idx="35">
                  <c:v>8.9345885057917199E-2</c:v>
                </c:pt>
                <c:pt idx="36">
                  <c:v>9.4452963769785209E-2</c:v>
                </c:pt>
                <c:pt idx="37">
                  <c:v>8.864976605027447E-2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6490640"/>
        <c:axId val="-156492816"/>
      </c:scatterChart>
      <c:valAx>
        <c:axId val="-156490640"/>
        <c:scaling>
          <c:orientation val="minMax"/>
          <c:max val="43435"/>
          <c:min val="42519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时间</a:t>
                </a:r>
              </a:p>
            </c:rich>
          </c:tx>
          <c:layout>
            <c:manualLayout>
              <c:xMode val="edge"/>
              <c:yMode val="edge"/>
              <c:x val="0.85055664916885387"/>
              <c:y val="0.84683836395450574"/>
            </c:manualLayout>
          </c:layout>
          <c:overlay val="0"/>
        </c:title>
        <c:numFmt formatCode="m/d/yyyy" sourceLinked="0"/>
        <c:majorTickMark val="none"/>
        <c:minorTickMark val="none"/>
        <c:tickLblPos val="low"/>
        <c:crossAx val="-156492816"/>
        <c:crosses val="autoZero"/>
        <c:crossBetween val="midCat"/>
        <c:majorUnit val="220"/>
      </c:valAx>
      <c:valAx>
        <c:axId val="-1564928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 altLang="en-US"/>
                  <a:t>渗压</a:t>
                </a:r>
                <a:r>
                  <a:rPr lang="en-US" altLang="zh-CN"/>
                  <a:t>(MPa)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1.666666666666667E-2"/>
              <c:y val="0.3084113444152814"/>
            </c:manualLayout>
          </c:layout>
          <c:overlay val="0"/>
        </c:title>
        <c:numFmt formatCode="0.000_ " sourceLinked="1"/>
        <c:majorTickMark val="in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000"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-156490640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b"/>
      <c:layout>
        <c:manualLayout>
          <c:xMode val="edge"/>
          <c:yMode val="edge"/>
          <c:x val="0.32094160104986891"/>
          <c:y val="0.87924577136191318"/>
          <c:w val="0.36302274715660554"/>
          <c:h val="8.8346821230679523E-2"/>
        </c:manualLayout>
      </c:layout>
      <c:overlay val="0"/>
      <c:spPr>
        <a:ln>
          <a:solidFill>
            <a:sysClr val="windowText" lastClr="000000"/>
          </a:solidFill>
        </a:ln>
      </c:spPr>
      <c:txPr>
        <a:bodyPr/>
        <a:lstStyle/>
        <a:p>
          <a:pPr>
            <a:defRPr sz="800"/>
          </a:pPr>
          <a:endParaRPr lang="zh-CN"/>
        </a:p>
      </c:txPr>
    </c:legend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236140329787021"/>
          <c:y val="0.12962962962962837"/>
          <c:w val="0.81291859509927666"/>
          <c:h val="0.66632691746865536"/>
        </c:manualLayout>
      </c:layout>
      <c:scatterChart>
        <c:scatterStyle val="smoothMarker"/>
        <c:varyColors val="0"/>
        <c:ser>
          <c:idx val="0"/>
          <c:order val="0"/>
          <c:tx>
            <c:v>P8-1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'P8-01'!$A$8:$A$100</c:f>
              <c:numCache>
                <c:formatCode>m/d/yyyy</c:formatCode>
                <c:ptCount val="93"/>
                <c:pt idx="0">
                  <c:v>42263</c:v>
                </c:pt>
                <c:pt idx="1">
                  <c:v>42264</c:v>
                </c:pt>
                <c:pt idx="2">
                  <c:v>42265</c:v>
                </c:pt>
                <c:pt idx="3">
                  <c:v>42266</c:v>
                </c:pt>
                <c:pt idx="4">
                  <c:v>42267</c:v>
                </c:pt>
                <c:pt idx="5">
                  <c:v>42268</c:v>
                </c:pt>
                <c:pt idx="6">
                  <c:v>42269</c:v>
                </c:pt>
                <c:pt idx="7">
                  <c:v>42270</c:v>
                </c:pt>
                <c:pt idx="8">
                  <c:v>42273</c:v>
                </c:pt>
                <c:pt idx="9">
                  <c:v>42280</c:v>
                </c:pt>
                <c:pt idx="10">
                  <c:v>42287</c:v>
                </c:pt>
                <c:pt idx="11">
                  <c:v>42294</c:v>
                </c:pt>
                <c:pt idx="12">
                  <c:v>42301</c:v>
                </c:pt>
                <c:pt idx="13">
                  <c:v>42485</c:v>
                </c:pt>
                <c:pt idx="14">
                  <c:v>42506</c:v>
                </c:pt>
                <c:pt idx="15">
                  <c:v>42520</c:v>
                </c:pt>
                <c:pt idx="16">
                  <c:v>42528</c:v>
                </c:pt>
                <c:pt idx="17">
                  <c:v>42544</c:v>
                </c:pt>
                <c:pt idx="18">
                  <c:v>42551</c:v>
                </c:pt>
                <c:pt idx="19">
                  <c:v>42561</c:v>
                </c:pt>
                <c:pt idx="20">
                  <c:v>42571</c:v>
                </c:pt>
                <c:pt idx="21">
                  <c:v>42581</c:v>
                </c:pt>
                <c:pt idx="22">
                  <c:v>42592</c:v>
                </c:pt>
                <c:pt idx="23">
                  <c:v>42602</c:v>
                </c:pt>
                <c:pt idx="24">
                  <c:v>42612</c:v>
                </c:pt>
                <c:pt idx="25">
                  <c:v>42623</c:v>
                </c:pt>
                <c:pt idx="26">
                  <c:v>42633</c:v>
                </c:pt>
                <c:pt idx="27">
                  <c:v>42653</c:v>
                </c:pt>
                <c:pt idx="28">
                  <c:v>42855</c:v>
                </c:pt>
                <c:pt idx="29">
                  <c:v>42865</c:v>
                </c:pt>
                <c:pt idx="30">
                  <c:v>42875</c:v>
                </c:pt>
                <c:pt idx="31">
                  <c:v>42885</c:v>
                </c:pt>
                <c:pt idx="32">
                  <c:v>42896</c:v>
                </c:pt>
                <c:pt idx="33">
                  <c:v>42906</c:v>
                </c:pt>
                <c:pt idx="34">
                  <c:v>42926</c:v>
                </c:pt>
                <c:pt idx="35">
                  <c:v>42936</c:v>
                </c:pt>
                <c:pt idx="36">
                  <c:v>42946</c:v>
                </c:pt>
                <c:pt idx="37">
                  <c:v>42957</c:v>
                </c:pt>
                <c:pt idx="38">
                  <c:v>42967</c:v>
                </c:pt>
                <c:pt idx="39">
                  <c:v>42977</c:v>
                </c:pt>
                <c:pt idx="40">
                  <c:v>42988</c:v>
                </c:pt>
                <c:pt idx="41">
                  <c:v>42998</c:v>
                </c:pt>
                <c:pt idx="42">
                  <c:v>43008</c:v>
                </c:pt>
                <c:pt idx="43">
                  <c:v>43018</c:v>
                </c:pt>
                <c:pt idx="44">
                  <c:v>43230</c:v>
                </c:pt>
                <c:pt idx="45">
                  <c:v>43240</c:v>
                </c:pt>
                <c:pt idx="46">
                  <c:v>43250</c:v>
                </c:pt>
                <c:pt idx="47">
                  <c:v>43261</c:v>
                </c:pt>
                <c:pt idx="48">
                  <c:v>43271</c:v>
                </c:pt>
                <c:pt idx="49">
                  <c:v>43281</c:v>
                </c:pt>
                <c:pt idx="50">
                  <c:v>43291</c:v>
                </c:pt>
                <c:pt idx="51">
                  <c:v>43301</c:v>
                </c:pt>
                <c:pt idx="52">
                  <c:v>43311</c:v>
                </c:pt>
                <c:pt idx="53">
                  <c:v>43322</c:v>
                </c:pt>
                <c:pt idx="54">
                  <c:v>43332</c:v>
                </c:pt>
                <c:pt idx="55">
                  <c:v>43342</c:v>
                </c:pt>
                <c:pt idx="56">
                  <c:v>43353</c:v>
                </c:pt>
                <c:pt idx="57">
                  <c:v>43363</c:v>
                </c:pt>
                <c:pt idx="58">
                  <c:v>43373</c:v>
                </c:pt>
                <c:pt idx="59">
                  <c:v>43383</c:v>
                </c:pt>
                <c:pt idx="60">
                  <c:v>43393</c:v>
                </c:pt>
                <c:pt idx="61">
                  <c:v>43605</c:v>
                </c:pt>
                <c:pt idx="62">
                  <c:v>43615</c:v>
                </c:pt>
                <c:pt idx="63">
                  <c:v>43626</c:v>
                </c:pt>
                <c:pt idx="64">
                  <c:v>43636</c:v>
                </c:pt>
                <c:pt idx="65">
                  <c:v>43646</c:v>
                </c:pt>
                <c:pt idx="66">
                  <c:v>43656</c:v>
                </c:pt>
                <c:pt idx="67">
                  <c:v>43666</c:v>
                </c:pt>
                <c:pt idx="68">
                  <c:v>43676</c:v>
                </c:pt>
                <c:pt idx="69">
                  <c:v>43687</c:v>
                </c:pt>
                <c:pt idx="70">
                  <c:v>43697</c:v>
                </c:pt>
                <c:pt idx="71">
                  <c:v>43707</c:v>
                </c:pt>
              </c:numCache>
            </c:numRef>
          </c:xVal>
          <c:yVal>
            <c:numRef>
              <c:f>'P8-01'!$F$8:$F$100</c:f>
              <c:numCache>
                <c:formatCode>0.0</c:formatCode>
                <c:ptCount val="93"/>
                <c:pt idx="0">
                  <c:v>729.01571613615567</c:v>
                </c:pt>
                <c:pt idx="1">
                  <c:v>729.34921418798092</c:v>
                </c:pt>
                <c:pt idx="2">
                  <c:v>729.47415217751814</c:v>
                </c:pt>
                <c:pt idx="3">
                  <c:v>729.42169785679698</c:v>
                </c:pt>
                <c:pt idx="4">
                  <c:v>729.43218827433054</c:v>
                </c:pt>
                <c:pt idx="5">
                  <c:v>729.44617584507239</c:v>
                </c:pt>
                <c:pt idx="6">
                  <c:v>729.49006592479486</c:v>
                </c:pt>
                <c:pt idx="7">
                  <c:v>729.5283317811386</c:v>
                </c:pt>
                <c:pt idx="8">
                  <c:v>729.77774211006192</c:v>
                </c:pt>
                <c:pt idx="9">
                  <c:v>729.58623078009248</c:v>
                </c:pt>
                <c:pt idx="10">
                  <c:v>730.14704733877272</c:v>
                </c:pt>
                <c:pt idx="11">
                  <c:v>730.56940208928677</c:v>
                </c:pt>
                <c:pt idx="12">
                  <c:v>730.47596043762167</c:v>
                </c:pt>
                <c:pt idx="13">
                  <c:v>731.12774135076847</c:v>
                </c:pt>
                <c:pt idx="14">
                  <c:v>730.57087782910594</c:v>
                </c:pt>
                <c:pt idx="15">
                  <c:v>730.54259733012725</c:v>
                </c:pt>
                <c:pt idx="16">
                  <c:v>731.13087134365821</c:v>
                </c:pt>
                <c:pt idx="17">
                  <c:v>732.1741232438244</c:v>
                </c:pt>
                <c:pt idx="18">
                  <c:v>731.26609208954528</c:v>
                </c:pt>
                <c:pt idx="19">
                  <c:v>731.67642894510914</c:v>
                </c:pt>
                <c:pt idx="20">
                  <c:v>731.73203714545161</c:v>
                </c:pt>
                <c:pt idx="21">
                  <c:v>731.10733762598863</c:v>
                </c:pt>
                <c:pt idx="22">
                  <c:v>731.68881511975167</c:v>
                </c:pt>
                <c:pt idx="23">
                  <c:v>731.40306047716263</c:v>
                </c:pt>
                <c:pt idx="24">
                  <c:v>731.41075093241352</c:v>
                </c:pt>
                <c:pt idx="25">
                  <c:v>731.4162966597853</c:v>
                </c:pt>
                <c:pt idx="26">
                  <c:v>732.39798759730263</c:v>
                </c:pt>
                <c:pt idx="27">
                  <c:v>737.38267991296334</c:v>
                </c:pt>
                <c:pt idx="28">
                  <c:v>737.09740136742789</c:v>
                </c:pt>
                <c:pt idx="29">
                  <c:v>737.91780890134066</c:v>
                </c:pt>
                <c:pt idx="30">
                  <c:v>736.88844593827741</c:v>
                </c:pt>
                <c:pt idx="31">
                  <c:v>736.65163886865753</c:v>
                </c:pt>
                <c:pt idx="32">
                  <c:v>736.68000465914986</c:v>
                </c:pt>
                <c:pt idx="33">
                  <c:v>736.91795406907738</c:v>
                </c:pt>
                <c:pt idx="34">
                  <c:v>736.81542829497209</c:v>
                </c:pt>
                <c:pt idx="35">
                  <c:v>736.73845000218671</c:v>
                </c:pt>
                <c:pt idx="36">
                  <c:v>736.79903379951907</c:v>
                </c:pt>
                <c:pt idx="37">
                  <c:v>736.90938348463021</c:v>
                </c:pt>
                <c:pt idx="38">
                  <c:v>736.81243335854197</c:v>
                </c:pt>
                <c:pt idx="39">
                  <c:v>736.97595212137094</c:v>
                </c:pt>
                <c:pt idx="40">
                  <c:v>736.98264745462507</c:v>
                </c:pt>
                <c:pt idx="41">
                  <c:v>736.92790168581757</c:v>
                </c:pt>
                <c:pt idx="42">
                  <c:v>736.89069608630996</c:v>
                </c:pt>
                <c:pt idx="43">
                  <c:v>736.94286761426133</c:v>
                </c:pt>
                <c:pt idx="44">
                  <c:v>736.83966459777821</c:v>
                </c:pt>
                <c:pt idx="45">
                  <c:v>736.81000965461783</c:v>
                </c:pt>
                <c:pt idx="46">
                  <c:v>736.87887281079509</c:v>
                </c:pt>
                <c:pt idx="47">
                  <c:v>737.34017585431616</c:v>
                </c:pt>
                <c:pt idx="48">
                  <c:v>738.68337014003873</c:v>
                </c:pt>
                <c:pt idx="49">
                  <c:v>738.07223538424876</c:v>
                </c:pt>
                <c:pt idx="50">
                  <c:v>737.32835268054134</c:v>
                </c:pt>
                <c:pt idx="51">
                  <c:v>737.27341280842711</c:v>
                </c:pt>
                <c:pt idx="52">
                  <c:v>737.26087543707683</c:v>
                </c:pt>
                <c:pt idx="53">
                  <c:v>737.55745112969635</c:v>
                </c:pt>
                <c:pt idx="54">
                  <c:v>737.31994372501163</c:v>
                </c:pt>
                <c:pt idx="55">
                  <c:v>737.43198252602065</c:v>
                </c:pt>
                <c:pt idx="56">
                  <c:v>738.67925731192315</c:v>
                </c:pt>
                <c:pt idx="57">
                  <c:v>737.70008260325233</c:v>
                </c:pt>
                <c:pt idx="58">
                  <c:v>737.59687390078875</c:v>
                </c:pt>
                <c:pt idx="59">
                  <c:v>737.56205091139145</c:v>
                </c:pt>
                <c:pt idx="60">
                  <c:v>737.49042468121877</c:v>
                </c:pt>
                <c:pt idx="61">
                  <c:v>737.38659556362745</c:v>
                </c:pt>
                <c:pt idx="62">
                  <c:v>737.39143511426664</c:v>
                </c:pt>
                <c:pt idx="63">
                  <c:v>737.40595405797023</c:v>
                </c:pt>
                <c:pt idx="64">
                  <c:v>737.42261466247237</c:v>
                </c:pt>
                <c:pt idx="65">
                  <c:v>737.40762628820733</c:v>
                </c:pt>
                <c:pt idx="66">
                  <c:v>737.47115144901557</c:v>
                </c:pt>
                <c:pt idx="67">
                  <c:v>737.51810695529628</c:v>
                </c:pt>
                <c:pt idx="68">
                  <c:v>737.62646535342208</c:v>
                </c:pt>
                <c:pt idx="69">
                  <c:v>737.94143523775494</c:v>
                </c:pt>
                <c:pt idx="70">
                  <c:v>738.24230085793215</c:v>
                </c:pt>
                <c:pt idx="71">
                  <c:v>738.47611120819499</c:v>
                </c:pt>
              </c:numCache>
            </c:numRef>
          </c:yVal>
          <c:smooth val="1"/>
        </c:ser>
        <c:ser>
          <c:idx val="1"/>
          <c:order val="1"/>
          <c:tx>
            <c:v>P8-2</c:v>
          </c:tx>
          <c:spPr>
            <a:ln w="19050" cap="rnd">
              <a:solidFill>
                <a:schemeClr val="tx1"/>
              </a:solidFill>
              <a:prstDash val="lgDashDotDot"/>
              <a:round/>
            </a:ln>
            <a:effectLst/>
          </c:spPr>
          <c:marker>
            <c:symbol val="none"/>
          </c:marker>
          <c:xVal>
            <c:numRef>
              <c:f>'P8-02'!$A$8:$A$100</c:f>
              <c:numCache>
                <c:formatCode>m/d/yyyy</c:formatCode>
                <c:ptCount val="93"/>
                <c:pt idx="0">
                  <c:v>42263</c:v>
                </c:pt>
                <c:pt idx="1">
                  <c:v>42264</c:v>
                </c:pt>
                <c:pt idx="2">
                  <c:v>42265</c:v>
                </c:pt>
                <c:pt idx="3">
                  <c:v>42266</c:v>
                </c:pt>
                <c:pt idx="4">
                  <c:v>42267</c:v>
                </c:pt>
                <c:pt idx="5">
                  <c:v>42268</c:v>
                </c:pt>
                <c:pt idx="6">
                  <c:v>42269</c:v>
                </c:pt>
                <c:pt idx="7">
                  <c:v>42270</c:v>
                </c:pt>
                <c:pt idx="8">
                  <c:v>42273</c:v>
                </c:pt>
                <c:pt idx="9">
                  <c:v>42280</c:v>
                </c:pt>
                <c:pt idx="10">
                  <c:v>42287</c:v>
                </c:pt>
                <c:pt idx="11">
                  <c:v>42294</c:v>
                </c:pt>
                <c:pt idx="12">
                  <c:v>42301</c:v>
                </c:pt>
                <c:pt idx="13">
                  <c:v>42485</c:v>
                </c:pt>
                <c:pt idx="14">
                  <c:v>42506</c:v>
                </c:pt>
                <c:pt idx="15">
                  <c:v>42520</c:v>
                </c:pt>
                <c:pt idx="16">
                  <c:v>42528</c:v>
                </c:pt>
                <c:pt idx="17">
                  <c:v>42544</c:v>
                </c:pt>
                <c:pt idx="18">
                  <c:v>42551</c:v>
                </c:pt>
                <c:pt idx="19">
                  <c:v>42561</c:v>
                </c:pt>
                <c:pt idx="20">
                  <c:v>42571</c:v>
                </c:pt>
                <c:pt idx="21">
                  <c:v>42581</c:v>
                </c:pt>
                <c:pt idx="22">
                  <c:v>42592</c:v>
                </c:pt>
                <c:pt idx="23">
                  <c:v>42602</c:v>
                </c:pt>
                <c:pt idx="24">
                  <c:v>42612</c:v>
                </c:pt>
                <c:pt idx="25">
                  <c:v>42623</c:v>
                </c:pt>
                <c:pt idx="26">
                  <c:v>42633</c:v>
                </c:pt>
                <c:pt idx="27">
                  <c:v>42653</c:v>
                </c:pt>
                <c:pt idx="28">
                  <c:v>42855</c:v>
                </c:pt>
                <c:pt idx="29">
                  <c:v>42865</c:v>
                </c:pt>
                <c:pt idx="30">
                  <c:v>42875</c:v>
                </c:pt>
                <c:pt idx="31">
                  <c:v>42885</c:v>
                </c:pt>
                <c:pt idx="32">
                  <c:v>42896</c:v>
                </c:pt>
                <c:pt idx="33">
                  <c:v>42906</c:v>
                </c:pt>
                <c:pt idx="34">
                  <c:v>42926</c:v>
                </c:pt>
                <c:pt idx="35">
                  <c:v>42936</c:v>
                </c:pt>
                <c:pt idx="36">
                  <c:v>42946</c:v>
                </c:pt>
                <c:pt idx="37">
                  <c:v>42957</c:v>
                </c:pt>
                <c:pt idx="38">
                  <c:v>42967</c:v>
                </c:pt>
                <c:pt idx="39">
                  <c:v>42977</c:v>
                </c:pt>
                <c:pt idx="40">
                  <c:v>42988</c:v>
                </c:pt>
                <c:pt idx="41">
                  <c:v>42998</c:v>
                </c:pt>
                <c:pt idx="42">
                  <c:v>43008</c:v>
                </c:pt>
                <c:pt idx="43">
                  <c:v>43018</c:v>
                </c:pt>
                <c:pt idx="44">
                  <c:v>43230</c:v>
                </c:pt>
              </c:numCache>
            </c:numRef>
          </c:xVal>
          <c:yVal>
            <c:numRef>
              <c:f>'P8-02'!$F$8:$F$100</c:f>
              <c:numCache>
                <c:formatCode>0.0</c:formatCode>
                <c:ptCount val="93"/>
                <c:pt idx="0">
                  <c:v>727.46866559815953</c:v>
                </c:pt>
                <c:pt idx="1">
                  <c:v>727.96731499194414</c:v>
                </c:pt>
                <c:pt idx="2">
                  <c:v>727.87448748853876</c:v>
                </c:pt>
                <c:pt idx="3">
                  <c:v>727.75083147981741</c:v>
                </c:pt>
                <c:pt idx="4">
                  <c:v>727.70691640696464</c:v>
                </c:pt>
                <c:pt idx="5">
                  <c:v>727.87091817471173</c:v>
                </c:pt>
                <c:pt idx="6">
                  <c:v>727.81036643489062</c:v>
                </c:pt>
                <c:pt idx="7">
                  <c:v>727.74931715717503</c:v>
                </c:pt>
                <c:pt idx="8">
                  <c:v>728.07386508120987</c:v>
                </c:pt>
                <c:pt idx="9">
                  <c:v>727.76093438983548</c:v>
                </c:pt>
                <c:pt idx="10">
                  <c:v>728.45950188022209</c:v>
                </c:pt>
                <c:pt idx="11">
                  <c:v>728.6640953166725</c:v>
                </c:pt>
                <c:pt idx="12">
                  <c:v>728.72063097078205</c:v>
                </c:pt>
                <c:pt idx="13">
                  <c:v>729.23591148778155</c:v>
                </c:pt>
                <c:pt idx="14">
                  <c:v>728.62455392672166</c:v>
                </c:pt>
                <c:pt idx="15">
                  <c:v>728.14644030551733</c:v>
                </c:pt>
                <c:pt idx="16">
                  <c:v>729.15171726000824</c:v>
                </c:pt>
                <c:pt idx="17">
                  <c:v>730.14162227464192</c:v>
                </c:pt>
                <c:pt idx="18">
                  <c:v>729.20679271228084</c:v>
                </c:pt>
                <c:pt idx="19">
                  <c:v>729.61129731974984</c:v>
                </c:pt>
                <c:pt idx="20">
                  <c:v>729.55936490026613</c:v>
                </c:pt>
                <c:pt idx="21">
                  <c:v>729.03966900684406</c:v>
                </c:pt>
                <c:pt idx="22">
                  <c:v>729.60626839278302</c:v>
                </c:pt>
                <c:pt idx="23">
                  <c:v>729.29720206242655</c:v>
                </c:pt>
                <c:pt idx="24">
                  <c:v>729.31538162960658</c:v>
                </c:pt>
                <c:pt idx="25">
                  <c:v>729.30126098784274</c:v>
                </c:pt>
                <c:pt idx="26">
                  <c:v>730.25176540455448</c:v>
                </c:pt>
                <c:pt idx="27">
                  <c:v>735.2390531155695</c:v>
                </c:pt>
                <c:pt idx="28">
                  <c:v>734.91580460634486</c:v>
                </c:pt>
                <c:pt idx="29">
                  <c:v>735.75054863098205</c:v>
                </c:pt>
                <c:pt idx="30">
                  <c:v>734.70139903422125</c:v>
                </c:pt>
                <c:pt idx="31">
                  <c:v>734.48441251446889</c:v>
                </c:pt>
                <c:pt idx="32">
                  <c:v>734.48093463313296</c:v>
                </c:pt>
                <c:pt idx="33">
                  <c:v>734.72068457184798</c:v>
                </c:pt>
                <c:pt idx="34">
                  <c:v>734.60232482643266</c:v>
                </c:pt>
                <c:pt idx="35">
                  <c:v>734.53100754583102</c:v>
                </c:pt>
                <c:pt idx="36">
                  <c:v>734.61794098900418</c:v>
                </c:pt>
                <c:pt idx="37">
                  <c:v>734.72416068623079</c:v>
                </c:pt>
                <c:pt idx="38">
                  <c:v>734.65372561729009</c:v>
                </c:pt>
                <c:pt idx="39">
                  <c:v>734.79440490728496</c:v>
                </c:pt>
                <c:pt idx="40">
                  <c:v>734.77771279849014</c:v>
                </c:pt>
                <c:pt idx="41">
                  <c:v>734.75690980062132</c:v>
                </c:pt>
                <c:pt idx="42">
                  <c:v>734.62748762513593</c:v>
                </c:pt>
                <c:pt idx="43">
                  <c:v>734.71442180430654</c:v>
                </c:pt>
              </c:numCache>
            </c:numRef>
          </c:yVal>
          <c:smooth val="1"/>
        </c:ser>
        <c:ser>
          <c:idx val="2"/>
          <c:order val="2"/>
          <c:tx>
            <c:v>P8-3</c:v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'P8-03'!$A$8:$A$100</c:f>
              <c:numCache>
                <c:formatCode>m/d/yyyy</c:formatCode>
                <c:ptCount val="93"/>
                <c:pt idx="0">
                  <c:v>42263</c:v>
                </c:pt>
                <c:pt idx="1">
                  <c:v>42264</c:v>
                </c:pt>
                <c:pt idx="2">
                  <c:v>42265</c:v>
                </c:pt>
                <c:pt idx="3">
                  <c:v>42266</c:v>
                </c:pt>
                <c:pt idx="4">
                  <c:v>42267</c:v>
                </c:pt>
                <c:pt idx="5">
                  <c:v>42268</c:v>
                </c:pt>
                <c:pt idx="6">
                  <c:v>42269</c:v>
                </c:pt>
                <c:pt idx="7">
                  <c:v>42270</c:v>
                </c:pt>
                <c:pt idx="8">
                  <c:v>42273</c:v>
                </c:pt>
                <c:pt idx="9">
                  <c:v>42280</c:v>
                </c:pt>
                <c:pt idx="10">
                  <c:v>42287</c:v>
                </c:pt>
                <c:pt idx="11">
                  <c:v>42294</c:v>
                </c:pt>
                <c:pt idx="12">
                  <c:v>42301</c:v>
                </c:pt>
                <c:pt idx="13">
                  <c:v>42485</c:v>
                </c:pt>
                <c:pt idx="14">
                  <c:v>42506</c:v>
                </c:pt>
                <c:pt idx="15">
                  <c:v>42520</c:v>
                </c:pt>
                <c:pt idx="16">
                  <c:v>42528</c:v>
                </c:pt>
                <c:pt idx="17">
                  <c:v>42544</c:v>
                </c:pt>
                <c:pt idx="18">
                  <c:v>42551</c:v>
                </c:pt>
                <c:pt idx="19">
                  <c:v>42561</c:v>
                </c:pt>
                <c:pt idx="20">
                  <c:v>42571</c:v>
                </c:pt>
                <c:pt idx="21">
                  <c:v>42581</c:v>
                </c:pt>
                <c:pt idx="22">
                  <c:v>42592</c:v>
                </c:pt>
                <c:pt idx="23">
                  <c:v>42602</c:v>
                </c:pt>
                <c:pt idx="24">
                  <c:v>42612</c:v>
                </c:pt>
                <c:pt idx="25">
                  <c:v>42623</c:v>
                </c:pt>
                <c:pt idx="26">
                  <c:v>42633</c:v>
                </c:pt>
                <c:pt idx="27">
                  <c:v>42653</c:v>
                </c:pt>
                <c:pt idx="28">
                  <c:v>42855</c:v>
                </c:pt>
                <c:pt idx="29">
                  <c:v>42865</c:v>
                </c:pt>
                <c:pt idx="30">
                  <c:v>42875</c:v>
                </c:pt>
                <c:pt idx="31">
                  <c:v>42885</c:v>
                </c:pt>
                <c:pt idx="32">
                  <c:v>42896</c:v>
                </c:pt>
                <c:pt idx="33">
                  <c:v>42906</c:v>
                </c:pt>
                <c:pt idx="34">
                  <c:v>42926</c:v>
                </c:pt>
                <c:pt idx="35">
                  <c:v>42936</c:v>
                </c:pt>
                <c:pt idx="36">
                  <c:v>42946</c:v>
                </c:pt>
                <c:pt idx="37">
                  <c:v>42957</c:v>
                </c:pt>
                <c:pt idx="38">
                  <c:v>42967</c:v>
                </c:pt>
                <c:pt idx="39">
                  <c:v>42977</c:v>
                </c:pt>
                <c:pt idx="40">
                  <c:v>42988</c:v>
                </c:pt>
                <c:pt idx="41">
                  <c:v>42998</c:v>
                </c:pt>
                <c:pt idx="42">
                  <c:v>43008</c:v>
                </c:pt>
                <c:pt idx="43">
                  <c:v>43018</c:v>
                </c:pt>
                <c:pt idx="44">
                  <c:v>43230</c:v>
                </c:pt>
                <c:pt idx="45">
                  <c:v>43240</c:v>
                </c:pt>
                <c:pt idx="46">
                  <c:v>43250</c:v>
                </c:pt>
                <c:pt idx="47">
                  <c:v>43261</c:v>
                </c:pt>
                <c:pt idx="48">
                  <c:v>43271</c:v>
                </c:pt>
                <c:pt idx="49">
                  <c:v>43281</c:v>
                </c:pt>
                <c:pt idx="50">
                  <c:v>43291</c:v>
                </c:pt>
                <c:pt idx="51">
                  <c:v>43301</c:v>
                </c:pt>
                <c:pt idx="52">
                  <c:v>43311</c:v>
                </c:pt>
                <c:pt idx="53">
                  <c:v>43322</c:v>
                </c:pt>
                <c:pt idx="54">
                  <c:v>43332</c:v>
                </c:pt>
                <c:pt idx="55">
                  <c:v>43342</c:v>
                </c:pt>
                <c:pt idx="56">
                  <c:v>43353</c:v>
                </c:pt>
                <c:pt idx="57">
                  <c:v>43363</c:v>
                </c:pt>
                <c:pt idx="58">
                  <c:v>43373</c:v>
                </c:pt>
                <c:pt idx="59">
                  <c:v>43383</c:v>
                </c:pt>
                <c:pt idx="60">
                  <c:v>43393</c:v>
                </c:pt>
                <c:pt idx="61">
                  <c:v>43605</c:v>
                </c:pt>
                <c:pt idx="62">
                  <c:v>43615</c:v>
                </c:pt>
                <c:pt idx="63">
                  <c:v>43626</c:v>
                </c:pt>
                <c:pt idx="64">
                  <c:v>43636</c:v>
                </c:pt>
                <c:pt idx="65">
                  <c:v>43646</c:v>
                </c:pt>
                <c:pt idx="66">
                  <c:v>43656</c:v>
                </c:pt>
                <c:pt idx="67">
                  <c:v>43666</c:v>
                </c:pt>
                <c:pt idx="68">
                  <c:v>43676</c:v>
                </c:pt>
                <c:pt idx="69">
                  <c:v>43687</c:v>
                </c:pt>
                <c:pt idx="70">
                  <c:v>43697</c:v>
                </c:pt>
                <c:pt idx="71">
                  <c:v>43707</c:v>
                </c:pt>
              </c:numCache>
            </c:numRef>
          </c:xVal>
          <c:yVal>
            <c:numRef>
              <c:f>'P8-03'!$F$8:$F$100</c:f>
              <c:numCache>
                <c:formatCode>0.0</c:formatCode>
                <c:ptCount val="93"/>
                <c:pt idx="0">
                  <c:v>728.93609580960947</c:v>
                </c:pt>
                <c:pt idx="1">
                  <c:v>729.05383132106681</c:v>
                </c:pt>
                <c:pt idx="2">
                  <c:v>729.12739247504612</c:v>
                </c:pt>
                <c:pt idx="3">
                  <c:v>728.96743825104875</c:v>
                </c:pt>
                <c:pt idx="4">
                  <c:v>728.80262364797215</c:v>
                </c:pt>
                <c:pt idx="5">
                  <c:v>729.09293611673911</c:v>
                </c:pt>
                <c:pt idx="6">
                  <c:v>729.03981986954943</c:v>
                </c:pt>
                <c:pt idx="7">
                  <c:v>729.01433418453939</c:v>
                </c:pt>
                <c:pt idx="8">
                  <c:v>729.13637093610851</c:v>
                </c:pt>
                <c:pt idx="9">
                  <c:v>728.96511560675071</c:v>
                </c:pt>
                <c:pt idx="10">
                  <c:v>729.61219089849408</c:v>
                </c:pt>
                <c:pt idx="11">
                  <c:v>729.84273587591167</c:v>
                </c:pt>
                <c:pt idx="12">
                  <c:v>729.89704784142259</c:v>
                </c:pt>
                <c:pt idx="13">
                  <c:v>730.39168370859909</c:v>
                </c:pt>
                <c:pt idx="14">
                  <c:v>729.78897154292486</c:v>
                </c:pt>
                <c:pt idx="15">
                  <c:v>729.48736962923488</c:v>
                </c:pt>
                <c:pt idx="16">
                  <c:v>730.31809051572122</c:v>
                </c:pt>
                <c:pt idx="17">
                  <c:v>731.31216195316165</c:v>
                </c:pt>
                <c:pt idx="18">
                  <c:v>730.43940254507436</c:v>
                </c:pt>
                <c:pt idx="19">
                  <c:v>730.81616632062867</c:v>
                </c:pt>
                <c:pt idx="20">
                  <c:v>730.89152453564031</c:v>
                </c:pt>
                <c:pt idx="21">
                  <c:v>730.3220017369365</c:v>
                </c:pt>
                <c:pt idx="22">
                  <c:v>730.87750426481318</c:v>
                </c:pt>
                <c:pt idx="23">
                  <c:v>730.54629369070506</c:v>
                </c:pt>
                <c:pt idx="24">
                  <c:v>730.56556953297786</c:v>
                </c:pt>
                <c:pt idx="25">
                  <c:v>730.56206482552409</c:v>
                </c:pt>
                <c:pt idx="26">
                  <c:v>731.48351996448264</c:v>
                </c:pt>
                <c:pt idx="27">
                  <c:v>736.39536615709289</c:v>
                </c:pt>
                <c:pt idx="28">
                  <c:v>736.07224967422451</c:v>
                </c:pt>
                <c:pt idx="29">
                  <c:v>736.89386491904668</c:v>
                </c:pt>
                <c:pt idx="30">
                  <c:v>735.85634811002501</c:v>
                </c:pt>
                <c:pt idx="31">
                  <c:v>735.61413481299871</c:v>
                </c:pt>
                <c:pt idx="32">
                  <c:v>735.63168587123835</c:v>
                </c:pt>
                <c:pt idx="33">
                  <c:v>735.85283763852237</c:v>
                </c:pt>
                <c:pt idx="34">
                  <c:v>735.75279085579575</c:v>
                </c:pt>
                <c:pt idx="35">
                  <c:v>735.69792122280694</c:v>
                </c:pt>
                <c:pt idx="36">
                  <c:v>735.7804134402403</c:v>
                </c:pt>
                <c:pt idx="37">
                  <c:v>735.89099152526478</c:v>
                </c:pt>
                <c:pt idx="38">
                  <c:v>735.80452568114106</c:v>
                </c:pt>
                <c:pt idx="39">
                  <c:v>735.94189386158348</c:v>
                </c:pt>
                <c:pt idx="40">
                  <c:v>735.95898469489032</c:v>
                </c:pt>
                <c:pt idx="41">
                  <c:v>735.78743415488839</c:v>
                </c:pt>
                <c:pt idx="42">
                  <c:v>735.79445488528518</c:v>
                </c:pt>
                <c:pt idx="43">
                  <c:v>735.86290783198797</c:v>
                </c:pt>
                <c:pt idx="44">
                  <c:v>735.87076227292505</c:v>
                </c:pt>
                <c:pt idx="45">
                  <c:v>735.90097480223164</c:v>
                </c:pt>
                <c:pt idx="46">
                  <c:v>735.88831424656178</c:v>
                </c:pt>
                <c:pt idx="47">
                  <c:v>736.30478989146548</c:v>
                </c:pt>
                <c:pt idx="48">
                  <c:v>737.71329931451032</c:v>
                </c:pt>
                <c:pt idx="49">
                  <c:v>737.05047384067643</c:v>
                </c:pt>
                <c:pt idx="50">
                  <c:v>736.37712334236119</c:v>
                </c:pt>
                <c:pt idx="51">
                  <c:v>736.28806137001573</c:v>
                </c:pt>
                <c:pt idx="52">
                  <c:v>736.26395007404108</c:v>
                </c:pt>
                <c:pt idx="53">
                  <c:v>736.57245054198643</c:v>
                </c:pt>
                <c:pt idx="54">
                  <c:v>736.31310202178383</c:v>
                </c:pt>
                <c:pt idx="55">
                  <c:v>737.2295760578163</c:v>
                </c:pt>
                <c:pt idx="56">
                  <c:v>737.65278962592276</c:v>
                </c:pt>
                <c:pt idx="57">
                  <c:v>736.74403210706009</c:v>
                </c:pt>
                <c:pt idx="58">
                  <c:v>736.50491796148367</c:v>
                </c:pt>
                <c:pt idx="59">
                  <c:v>736.35534155032883</c:v>
                </c:pt>
                <c:pt idx="60">
                  <c:v>736.18821117134951</c:v>
                </c:pt>
                <c:pt idx="61">
                  <c:v>735.72082389244861</c:v>
                </c:pt>
                <c:pt idx="62">
                  <c:v>735.77255851109135</c:v>
                </c:pt>
                <c:pt idx="63">
                  <c:v>735.74096494082789</c:v>
                </c:pt>
                <c:pt idx="64">
                  <c:v>735.76988239779723</c:v>
                </c:pt>
                <c:pt idx="65">
                  <c:v>735.71196229775569</c:v>
                </c:pt>
                <c:pt idx="66">
                  <c:v>735.95722943600799</c:v>
                </c:pt>
                <c:pt idx="67">
                  <c:v>736.1538245492211</c:v>
                </c:pt>
                <c:pt idx="68">
                  <c:v>736.79986685440281</c:v>
                </c:pt>
                <c:pt idx="69">
                  <c:v>737.23835584156404</c:v>
                </c:pt>
                <c:pt idx="70">
                  <c:v>737.37181158419878</c:v>
                </c:pt>
                <c:pt idx="71">
                  <c:v>737.47893149051845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6494448"/>
        <c:axId val="-156480848"/>
      </c:scatterChart>
      <c:valAx>
        <c:axId val="-156494448"/>
        <c:scaling>
          <c:orientation val="minMax"/>
          <c:max val="43282"/>
          <c:min val="42248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prstDash val="sys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lang="zh-CN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>
                    <a:solidFill>
                      <a:sysClr val="windowText" lastClr="000000"/>
                    </a:solidFill>
                  </a:rPr>
                  <a:t>日期</a:t>
                </a:r>
              </a:p>
            </c:rich>
          </c:tx>
          <c:layout>
            <c:manualLayout>
              <c:xMode val="edge"/>
              <c:yMode val="edge"/>
              <c:x val="0.86036004087275109"/>
              <c:y val="0.87094853209574352"/>
            </c:manualLayout>
          </c:layout>
          <c:overlay val="0"/>
          <c:spPr>
            <a:noFill/>
            <a:ln w="25400">
              <a:noFill/>
            </a:ln>
          </c:spPr>
        </c:title>
        <c:numFmt formatCode="yyyy/m/d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-156480848"/>
        <c:crosses val="autoZero"/>
        <c:crossBetween val="midCat"/>
        <c:majorUnit val="244"/>
      </c:valAx>
      <c:valAx>
        <c:axId val="-156480848"/>
        <c:scaling>
          <c:orientation val="minMax"/>
          <c:min val="727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prstDash val="sys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>
                  <a:defRPr lang="zh-CN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>
                    <a:solidFill>
                      <a:sysClr val="windowText" lastClr="000000"/>
                    </a:solidFill>
                  </a:rPr>
                  <a:t>水位</a:t>
                </a:r>
                <a:r>
                  <a:rPr lang="en-US" altLang="zh-CN">
                    <a:solidFill>
                      <a:sysClr val="windowText" lastClr="000000"/>
                    </a:solidFill>
                  </a:rPr>
                  <a:t>(m)</a:t>
                </a:r>
                <a:endParaRPr lang="zh-CN" altLang="en-US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7.4216104666306321E-3"/>
              <c:y val="0.40121291129999642"/>
            </c:manualLayout>
          </c:layout>
          <c:overlay val="0"/>
          <c:spPr>
            <a:noFill/>
            <a:ln w="25400">
              <a:noFill/>
            </a:ln>
          </c:spPr>
        </c:title>
        <c:numFmt formatCode="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56494448"/>
        <c:crosses val="autoZero"/>
        <c:crossBetween val="midCat"/>
        <c:majorUnit val="2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28142914387609946"/>
          <c:y val="0.89409674784029458"/>
          <c:w val="0.43992386447877485"/>
          <c:h val="7.4503832716275031E-2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horzOverflow="overflow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000000000000433" l="0.70000000000000062" r="0.70000000000000062" t="0.75000000000000433" header="0.30000000000000032" footer="0.30000000000000032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222440944881888"/>
          <c:y val="8.3807961504811915E-2"/>
          <c:w val="0.75499781277340361"/>
          <c:h val="0.68673009623797032"/>
        </c:manualLayout>
      </c:layout>
      <c:scatterChart>
        <c:scatterStyle val="smoothMarker"/>
        <c:varyColors val="0"/>
        <c:ser>
          <c:idx val="1"/>
          <c:order val="0"/>
          <c:tx>
            <c:v>P8-1</c:v>
          </c:tx>
          <c:spPr>
            <a:ln w="22225">
              <a:solidFill>
                <a:sysClr val="windowText" lastClr="000000"/>
              </a:solidFill>
            </a:ln>
          </c:spPr>
          <c:marker>
            <c:symbol val="none"/>
          </c:marker>
          <c:xVal>
            <c:numRef>
              <c:f>'P8-01'!$A$8:$A$72</c:f>
              <c:numCache>
                <c:formatCode>m/d/yyyy</c:formatCode>
                <c:ptCount val="65"/>
                <c:pt idx="0">
                  <c:v>42263</c:v>
                </c:pt>
                <c:pt idx="1">
                  <c:v>42264</c:v>
                </c:pt>
                <c:pt idx="2">
                  <c:v>42265</c:v>
                </c:pt>
                <c:pt idx="3">
                  <c:v>42266</c:v>
                </c:pt>
                <c:pt idx="4">
                  <c:v>42267</c:v>
                </c:pt>
                <c:pt idx="5">
                  <c:v>42268</c:v>
                </c:pt>
                <c:pt idx="6">
                  <c:v>42269</c:v>
                </c:pt>
                <c:pt idx="7">
                  <c:v>42270</c:v>
                </c:pt>
                <c:pt idx="8">
                  <c:v>42273</c:v>
                </c:pt>
                <c:pt idx="9">
                  <c:v>42280</c:v>
                </c:pt>
                <c:pt idx="10">
                  <c:v>42287</c:v>
                </c:pt>
                <c:pt idx="11">
                  <c:v>42294</c:v>
                </c:pt>
                <c:pt idx="12">
                  <c:v>42301</c:v>
                </c:pt>
                <c:pt idx="13">
                  <c:v>42485</c:v>
                </c:pt>
                <c:pt idx="14">
                  <c:v>42506</c:v>
                </c:pt>
                <c:pt idx="15">
                  <c:v>42520</c:v>
                </c:pt>
                <c:pt idx="16">
                  <c:v>42528</c:v>
                </c:pt>
                <c:pt idx="17">
                  <c:v>42544</c:v>
                </c:pt>
                <c:pt idx="18">
                  <c:v>42551</c:v>
                </c:pt>
                <c:pt idx="19">
                  <c:v>42561</c:v>
                </c:pt>
                <c:pt idx="20">
                  <c:v>42571</c:v>
                </c:pt>
                <c:pt idx="21">
                  <c:v>42581</c:v>
                </c:pt>
                <c:pt idx="22">
                  <c:v>42592</c:v>
                </c:pt>
                <c:pt idx="23">
                  <c:v>42602</c:v>
                </c:pt>
                <c:pt idx="24">
                  <c:v>42612</c:v>
                </c:pt>
                <c:pt idx="25">
                  <c:v>42623</c:v>
                </c:pt>
                <c:pt idx="26">
                  <c:v>42633</c:v>
                </c:pt>
                <c:pt idx="27">
                  <c:v>42653</c:v>
                </c:pt>
                <c:pt idx="28">
                  <c:v>42855</c:v>
                </c:pt>
                <c:pt idx="29">
                  <c:v>42865</c:v>
                </c:pt>
                <c:pt idx="30">
                  <c:v>42875</c:v>
                </c:pt>
                <c:pt idx="31">
                  <c:v>42885</c:v>
                </c:pt>
                <c:pt idx="32">
                  <c:v>42896</c:v>
                </c:pt>
                <c:pt idx="33">
                  <c:v>42906</c:v>
                </c:pt>
                <c:pt idx="34">
                  <c:v>42926</c:v>
                </c:pt>
                <c:pt idx="35">
                  <c:v>42936</c:v>
                </c:pt>
                <c:pt idx="36">
                  <c:v>42946</c:v>
                </c:pt>
                <c:pt idx="37">
                  <c:v>42957</c:v>
                </c:pt>
                <c:pt idx="38">
                  <c:v>42967</c:v>
                </c:pt>
                <c:pt idx="39">
                  <c:v>42977</c:v>
                </c:pt>
                <c:pt idx="40">
                  <c:v>42988</c:v>
                </c:pt>
                <c:pt idx="41">
                  <c:v>42998</c:v>
                </c:pt>
                <c:pt idx="42">
                  <c:v>43008</c:v>
                </c:pt>
                <c:pt idx="43">
                  <c:v>43018</c:v>
                </c:pt>
                <c:pt idx="44">
                  <c:v>43230</c:v>
                </c:pt>
                <c:pt idx="45">
                  <c:v>43240</c:v>
                </c:pt>
                <c:pt idx="46">
                  <c:v>43250</c:v>
                </c:pt>
                <c:pt idx="47">
                  <c:v>43261</c:v>
                </c:pt>
                <c:pt idx="48">
                  <c:v>43271</c:v>
                </c:pt>
                <c:pt idx="49">
                  <c:v>43281</c:v>
                </c:pt>
                <c:pt idx="50">
                  <c:v>43291</c:v>
                </c:pt>
                <c:pt idx="51">
                  <c:v>43301</c:v>
                </c:pt>
                <c:pt idx="52">
                  <c:v>43311</c:v>
                </c:pt>
                <c:pt idx="53">
                  <c:v>43322</c:v>
                </c:pt>
                <c:pt idx="54">
                  <c:v>43332</c:v>
                </c:pt>
                <c:pt idx="55">
                  <c:v>43342</c:v>
                </c:pt>
                <c:pt idx="56">
                  <c:v>43353</c:v>
                </c:pt>
                <c:pt idx="57">
                  <c:v>43363</c:v>
                </c:pt>
                <c:pt idx="58">
                  <c:v>43373</c:v>
                </c:pt>
                <c:pt idx="59">
                  <c:v>43383</c:v>
                </c:pt>
                <c:pt idx="60">
                  <c:v>43393</c:v>
                </c:pt>
                <c:pt idx="61">
                  <c:v>43605</c:v>
                </c:pt>
                <c:pt idx="62">
                  <c:v>43615</c:v>
                </c:pt>
                <c:pt idx="63">
                  <c:v>43626</c:v>
                </c:pt>
                <c:pt idx="64">
                  <c:v>43636</c:v>
                </c:pt>
              </c:numCache>
            </c:numRef>
          </c:xVal>
          <c:yVal>
            <c:numRef>
              <c:f>'P8-01'!$E$8:$E$72</c:f>
              <c:numCache>
                <c:formatCode>0.000_ </c:formatCode>
                <c:ptCount val="65"/>
                <c:pt idx="0">
                  <c:v>1.5840354276035883E-2</c:v>
                </c:pt>
                <c:pt idx="1">
                  <c:v>1.9109943019421066E-2</c:v>
                </c:pt>
                <c:pt idx="2">
                  <c:v>2.0334825269785535E-2</c:v>
                </c:pt>
                <c:pt idx="3">
                  <c:v>1.9820567223499515E-2</c:v>
                </c:pt>
                <c:pt idx="4">
                  <c:v>1.9923414454220807E-2</c:v>
                </c:pt>
                <c:pt idx="5">
                  <c:v>2.0060547500710353E-2</c:v>
                </c:pt>
                <c:pt idx="6">
                  <c:v>2.0490842399950054E-2</c:v>
                </c:pt>
                <c:pt idx="7">
                  <c:v>2.0865997854300052E-2</c:v>
                </c:pt>
                <c:pt idx="8">
                  <c:v>2.3311197157470057E-2</c:v>
                </c:pt>
                <c:pt idx="9">
                  <c:v>2.1433635098945907E-2</c:v>
                </c:pt>
                <c:pt idx="10">
                  <c:v>2.693183665463509E-2</c:v>
                </c:pt>
                <c:pt idx="11">
                  <c:v>3.107256950281212E-2</c:v>
                </c:pt>
                <c:pt idx="12">
                  <c:v>3.015647487864382E-2</c:v>
                </c:pt>
                <c:pt idx="13">
                  <c:v>3.6546483831063931E-2</c:v>
                </c:pt>
                <c:pt idx="14">
                  <c:v>3.1087037540254742E-2</c:v>
                </c:pt>
                <c:pt idx="15">
                  <c:v>3.0809777746346349E-2</c:v>
                </c:pt>
                <c:pt idx="16">
                  <c:v>3.6577170035865483E-2</c:v>
                </c:pt>
                <c:pt idx="17">
                  <c:v>4.6805129841416319E-2</c:v>
                </c:pt>
                <c:pt idx="18">
                  <c:v>3.790286362299345E-2</c:v>
                </c:pt>
                <c:pt idx="19">
                  <c:v>4.1925773971657913E-2</c:v>
                </c:pt>
                <c:pt idx="20">
                  <c:v>4.2470952406389144E-2</c:v>
                </c:pt>
                <c:pt idx="21">
                  <c:v>3.6346447313614742E-2</c:v>
                </c:pt>
                <c:pt idx="22">
                  <c:v>4.2047207056388987E-2</c:v>
                </c:pt>
                <c:pt idx="23">
                  <c:v>3.9245690952574692E-2</c:v>
                </c:pt>
                <c:pt idx="24">
                  <c:v>3.9321087572681906E-2</c:v>
                </c:pt>
                <c:pt idx="25">
                  <c:v>3.9375457448875356E-2</c:v>
                </c:pt>
                <c:pt idx="26">
                  <c:v>4.8999878404927998E-2</c:v>
                </c:pt>
                <c:pt idx="27">
                  <c:v>9.7869410911406052E-2</c:v>
                </c:pt>
                <c:pt idx="28">
                  <c:v>9.507256242576384E-2</c:v>
                </c:pt>
                <c:pt idx="29">
                  <c:v>0.10311577354255611</c:v>
                </c:pt>
                <c:pt idx="30">
                  <c:v>9.3023979787033528E-2</c:v>
                </c:pt>
                <c:pt idx="31">
                  <c:v>9.0702341849584339E-2</c:v>
                </c:pt>
                <c:pt idx="32">
                  <c:v>9.098043783480303E-2</c:v>
                </c:pt>
                <c:pt idx="33">
                  <c:v>9.3313275187033529E-2</c:v>
                </c:pt>
                <c:pt idx="34">
                  <c:v>9.230812053894219E-2</c:v>
                </c:pt>
                <c:pt idx="35">
                  <c:v>9.1553431393987833E-2</c:v>
                </c:pt>
                <c:pt idx="36">
                  <c:v>9.2147390191363504E-2</c:v>
                </c:pt>
                <c:pt idx="37">
                  <c:v>9.3229249849315909E-2</c:v>
                </c:pt>
                <c:pt idx="38">
                  <c:v>9.2278758417078638E-2</c:v>
                </c:pt>
                <c:pt idx="39">
                  <c:v>9.3881883542852734E-2</c:v>
                </c:pt>
                <c:pt idx="40">
                  <c:v>9.3947524064951965E-2</c:v>
                </c:pt>
                <c:pt idx="41">
                  <c:v>9.3410800841349173E-2</c:v>
                </c:pt>
                <c:pt idx="42">
                  <c:v>9.3046040061862401E-2</c:v>
                </c:pt>
                <c:pt idx="43">
                  <c:v>9.3557525630013516E-2</c:v>
                </c:pt>
                <c:pt idx="44">
                  <c:v>9.2545731350766686E-2</c:v>
                </c:pt>
                <c:pt idx="45">
                  <c:v>9.2254996613900769E-2</c:v>
                </c:pt>
                <c:pt idx="46">
                  <c:v>9.2930125596030283E-2</c:v>
                </c:pt>
                <c:pt idx="47">
                  <c:v>9.7452704454080608E-2</c:v>
                </c:pt>
                <c:pt idx="48">
                  <c:v>0.11062127588273343</c:v>
                </c:pt>
                <c:pt idx="49">
                  <c:v>0.10462975866910559</c:v>
                </c:pt>
                <c:pt idx="50">
                  <c:v>9.7336790985699528E-2</c:v>
                </c:pt>
                <c:pt idx="51">
                  <c:v>9.6798164788501173E-2</c:v>
                </c:pt>
                <c:pt idx="52">
                  <c:v>9.6675249383105982E-2</c:v>
                </c:pt>
                <c:pt idx="53">
                  <c:v>9.9582854212709127E-2</c:v>
                </c:pt>
                <c:pt idx="54">
                  <c:v>9.7254350245212118E-2</c:v>
                </c:pt>
                <c:pt idx="55">
                  <c:v>9.8352769862947831E-2</c:v>
                </c:pt>
                <c:pt idx="56">
                  <c:v>0.1105809540384621</c:v>
                </c:pt>
                <c:pt idx="57">
                  <c:v>0.10098120199267011</c:v>
                </c:pt>
                <c:pt idx="58">
                  <c:v>9.9969351968517084E-2</c:v>
                </c:pt>
                <c:pt idx="59">
                  <c:v>9.9627950111680658E-2</c:v>
                </c:pt>
                <c:pt idx="60">
                  <c:v>9.8925732168811148E-2</c:v>
                </c:pt>
                <c:pt idx="61">
                  <c:v>9.7907799643406068E-2</c:v>
                </c:pt>
                <c:pt idx="62">
                  <c:v>9.7955246218301067E-2</c:v>
                </c:pt>
                <c:pt idx="63">
                  <c:v>9.8097588803629482E-2</c:v>
                </c:pt>
                <c:pt idx="64">
                  <c:v>9.8260928063454739E-2</c:v>
                </c:pt>
              </c:numCache>
            </c:numRef>
          </c:yVal>
          <c:smooth val="1"/>
        </c:ser>
        <c:ser>
          <c:idx val="0"/>
          <c:order val="1"/>
          <c:tx>
            <c:v>P8-2</c:v>
          </c:tx>
          <c:spPr>
            <a:ln w="19050">
              <a:solidFill>
                <a:schemeClr val="tx1"/>
              </a:solidFill>
              <a:prstDash val="lgDashDotDot"/>
            </a:ln>
          </c:spPr>
          <c:marker>
            <c:symbol val="none"/>
          </c:marker>
          <c:xVal>
            <c:numRef>
              <c:f>'P8-02'!$A$8:$A$52</c:f>
              <c:numCache>
                <c:formatCode>m/d/yyyy</c:formatCode>
                <c:ptCount val="45"/>
                <c:pt idx="0">
                  <c:v>42263</c:v>
                </c:pt>
                <c:pt idx="1">
                  <c:v>42264</c:v>
                </c:pt>
                <c:pt idx="2">
                  <c:v>42265</c:v>
                </c:pt>
                <c:pt idx="3">
                  <c:v>42266</c:v>
                </c:pt>
                <c:pt idx="4">
                  <c:v>42267</c:v>
                </c:pt>
                <c:pt idx="5">
                  <c:v>42268</c:v>
                </c:pt>
                <c:pt idx="6">
                  <c:v>42269</c:v>
                </c:pt>
                <c:pt idx="7">
                  <c:v>42270</c:v>
                </c:pt>
                <c:pt idx="8">
                  <c:v>42273</c:v>
                </c:pt>
                <c:pt idx="9">
                  <c:v>42280</c:v>
                </c:pt>
                <c:pt idx="10">
                  <c:v>42287</c:v>
                </c:pt>
                <c:pt idx="11">
                  <c:v>42294</c:v>
                </c:pt>
                <c:pt idx="12">
                  <c:v>42301</c:v>
                </c:pt>
                <c:pt idx="13">
                  <c:v>42485</c:v>
                </c:pt>
                <c:pt idx="14">
                  <c:v>42506</c:v>
                </c:pt>
                <c:pt idx="15">
                  <c:v>42520</c:v>
                </c:pt>
                <c:pt idx="16">
                  <c:v>42528</c:v>
                </c:pt>
                <c:pt idx="17">
                  <c:v>42544</c:v>
                </c:pt>
                <c:pt idx="18">
                  <c:v>42551</c:v>
                </c:pt>
                <c:pt idx="19">
                  <c:v>42561</c:v>
                </c:pt>
                <c:pt idx="20">
                  <c:v>42571</c:v>
                </c:pt>
                <c:pt idx="21">
                  <c:v>42581</c:v>
                </c:pt>
                <c:pt idx="22">
                  <c:v>42592</c:v>
                </c:pt>
                <c:pt idx="23">
                  <c:v>42602</c:v>
                </c:pt>
                <c:pt idx="24">
                  <c:v>42612</c:v>
                </c:pt>
                <c:pt idx="25">
                  <c:v>42623</c:v>
                </c:pt>
                <c:pt idx="26">
                  <c:v>42633</c:v>
                </c:pt>
                <c:pt idx="27">
                  <c:v>42653</c:v>
                </c:pt>
                <c:pt idx="28">
                  <c:v>42855</c:v>
                </c:pt>
                <c:pt idx="29">
                  <c:v>42865</c:v>
                </c:pt>
                <c:pt idx="30">
                  <c:v>42875</c:v>
                </c:pt>
                <c:pt idx="31">
                  <c:v>42885</c:v>
                </c:pt>
                <c:pt idx="32">
                  <c:v>42896</c:v>
                </c:pt>
                <c:pt idx="33">
                  <c:v>42906</c:v>
                </c:pt>
                <c:pt idx="34">
                  <c:v>42926</c:v>
                </c:pt>
                <c:pt idx="35">
                  <c:v>42936</c:v>
                </c:pt>
                <c:pt idx="36">
                  <c:v>42946</c:v>
                </c:pt>
                <c:pt idx="37">
                  <c:v>42957</c:v>
                </c:pt>
                <c:pt idx="38">
                  <c:v>42967</c:v>
                </c:pt>
                <c:pt idx="39">
                  <c:v>42977</c:v>
                </c:pt>
                <c:pt idx="40">
                  <c:v>42988</c:v>
                </c:pt>
                <c:pt idx="41">
                  <c:v>42998</c:v>
                </c:pt>
                <c:pt idx="42">
                  <c:v>43008</c:v>
                </c:pt>
                <c:pt idx="43">
                  <c:v>43018</c:v>
                </c:pt>
                <c:pt idx="44">
                  <c:v>43230</c:v>
                </c:pt>
              </c:numCache>
            </c:numRef>
          </c:xVal>
          <c:yVal>
            <c:numRef>
              <c:f>'P8-02'!$E$8:$E$51</c:f>
              <c:numCache>
                <c:formatCode>0.000_ </c:formatCode>
                <c:ptCount val="44"/>
                <c:pt idx="0">
                  <c:v>9.8712407825093218E-2</c:v>
                </c:pt>
                <c:pt idx="1">
                  <c:v>0.10360112737200181</c:v>
                </c:pt>
                <c:pt idx="2">
                  <c:v>0.10269105380920346</c:v>
                </c:pt>
                <c:pt idx="3">
                  <c:v>0.10147873999820975</c:v>
                </c:pt>
                <c:pt idx="4">
                  <c:v>0.10104820006828061</c:v>
                </c:pt>
                <c:pt idx="5">
                  <c:v>0.10265606053638937</c:v>
                </c:pt>
                <c:pt idx="6">
                  <c:v>0.10206241602833979</c:v>
                </c:pt>
                <c:pt idx="7">
                  <c:v>0.10146389369779471</c:v>
                </c:pt>
                <c:pt idx="8">
                  <c:v>0.10464573609029296</c:v>
                </c:pt>
                <c:pt idx="9">
                  <c:v>0.10157778813564183</c:v>
                </c:pt>
                <c:pt idx="10">
                  <c:v>0.10842648902178578</c:v>
                </c:pt>
                <c:pt idx="11">
                  <c:v>0.11043230702620163</c:v>
                </c:pt>
                <c:pt idx="12">
                  <c:v>0.11098657814492199</c:v>
                </c:pt>
                <c:pt idx="13">
                  <c:v>0.11603834791942672</c:v>
                </c:pt>
                <c:pt idx="14">
                  <c:v>0.11004464634040836</c:v>
                </c:pt>
                <c:pt idx="15">
                  <c:v>0.10535725789722894</c:v>
                </c:pt>
                <c:pt idx="16">
                  <c:v>0.11521291431380667</c:v>
                </c:pt>
                <c:pt idx="17">
                  <c:v>0.12491786543766575</c:v>
                </c:pt>
                <c:pt idx="18">
                  <c:v>0.11575286972824333</c:v>
                </c:pt>
                <c:pt idx="19">
                  <c:v>0.11971860117401795</c:v>
                </c:pt>
                <c:pt idx="20">
                  <c:v>0.11920945980653064</c:v>
                </c:pt>
                <c:pt idx="21">
                  <c:v>0.1141144020278837</c:v>
                </c:pt>
                <c:pt idx="22">
                  <c:v>0.11966929796846104</c:v>
                </c:pt>
                <c:pt idx="23">
                  <c:v>0.116639235906143</c:v>
                </c:pt>
                <c:pt idx="24">
                  <c:v>0.11681746695692796</c:v>
                </c:pt>
                <c:pt idx="25">
                  <c:v>0.11667902929257654</c:v>
                </c:pt>
                <c:pt idx="26">
                  <c:v>0.12599770004465172</c:v>
                </c:pt>
                <c:pt idx="27">
                  <c:v>0.17489267760362245</c:v>
                </c:pt>
                <c:pt idx="28">
                  <c:v>0.17172357457200835</c:v>
                </c:pt>
                <c:pt idx="29">
                  <c:v>0.17990733951943225</c:v>
                </c:pt>
                <c:pt idx="30">
                  <c:v>0.16962155915903249</c:v>
                </c:pt>
                <c:pt idx="31">
                  <c:v>0.16749424033793076</c:v>
                </c:pt>
                <c:pt idx="32">
                  <c:v>0.16746014346208815</c:v>
                </c:pt>
                <c:pt idx="33">
                  <c:v>0.16981063305733302</c:v>
                </c:pt>
                <c:pt idx="34">
                  <c:v>0.16865024339639856</c:v>
                </c:pt>
                <c:pt idx="35">
                  <c:v>0.16795105437089308</c:v>
                </c:pt>
                <c:pt idx="36">
                  <c:v>0.16880334302945316</c:v>
                </c:pt>
                <c:pt idx="37">
                  <c:v>0.1698447126101062</c:v>
                </c:pt>
                <c:pt idx="38">
                  <c:v>0.16915417271853075</c:v>
                </c:pt>
                <c:pt idx="39">
                  <c:v>0.17053338144396987</c:v>
                </c:pt>
                <c:pt idx="40">
                  <c:v>0.17036973331853086</c:v>
                </c:pt>
                <c:pt idx="41">
                  <c:v>0.17016578235903249</c:v>
                </c:pt>
                <c:pt idx="42">
                  <c:v>0.16889693750133303</c:v>
                </c:pt>
                <c:pt idx="43">
                  <c:v>0.16974923337555473</c:v>
                </c:pt>
              </c:numCache>
            </c:numRef>
          </c:yVal>
          <c:smooth val="1"/>
        </c:ser>
        <c:ser>
          <c:idx val="2"/>
          <c:order val="2"/>
          <c:tx>
            <c:v>P8-3</c:v>
          </c:tx>
          <c:spPr>
            <a:ln w="19050">
              <a:solidFill>
                <a:schemeClr val="tx1"/>
              </a:solidFill>
              <a:prstDash val="lgDashDot"/>
            </a:ln>
          </c:spPr>
          <c:marker>
            <c:symbol val="none"/>
          </c:marker>
          <c:xVal>
            <c:numRef>
              <c:f>'P8-03'!$A$8:$A$72</c:f>
              <c:numCache>
                <c:formatCode>m/d/yyyy</c:formatCode>
                <c:ptCount val="65"/>
                <c:pt idx="0">
                  <c:v>42263</c:v>
                </c:pt>
                <c:pt idx="1">
                  <c:v>42264</c:v>
                </c:pt>
                <c:pt idx="2">
                  <c:v>42265</c:v>
                </c:pt>
                <c:pt idx="3">
                  <c:v>42266</c:v>
                </c:pt>
                <c:pt idx="4">
                  <c:v>42267</c:v>
                </c:pt>
                <c:pt idx="5">
                  <c:v>42268</c:v>
                </c:pt>
                <c:pt idx="6">
                  <c:v>42269</c:v>
                </c:pt>
                <c:pt idx="7">
                  <c:v>42270</c:v>
                </c:pt>
                <c:pt idx="8">
                  <c:v>42273</c:v>
                </c:pt>
                <c:pt idx="9">
                  <c:v>42280</c:v>
                </c:pt>
                <c:pt idx="10">
                  <c:v>42287</c:v>
                </c:pt>
                <c:pt idx="11">
                  <c:v>42294</c:v>
                </c:pt>
                <c:pt idx="12">
                  <c:v>42301</c:v>
                </c:pt>
                <c:pt idx="13">
                  <c:v>42485</c:v>
                </c:pt>
                <c:pt idx="14">
                  <c:v>42506</c:v>
                </c:pt>
                <c:pt idx="15">
                  <c:v>42520</c:v>
                </c:pt>
                <c:pt idx="16">
                  <c:v>42528</c:v>
                </c:pt>
                <c:pt idx="17">
                  <c:v>42544</c:v>
                </c:pt>
                <c:pt idx="18">
                  <c:v>42551</c:v>
                </c:pt>
                <c:pt idx="19">
                  <c:v>42561</c:v>
                </c:pt>
                <c:pt idx="20">
                  <c:v>42571</c:v>
                </c:pt>
                <c:pt idx="21">
                  <c:v>42581</c:v>
                </c:pt>
                <c:pt idx="22">
                  <c:v>42592</c:v>
                </c:pt>
                <c:pt idx="23">
                  <c:v>42602</c:v>
                </c:pt>
                <c:pt idx="24">
                  <c:v>42612</c:v>
                </c:pt>
                <c:pt idx="25">
                  <c:v>42623</c:v>
                </c:pt>
                <c:pt idx="26">
                  <c:v>42633</c:v>
                </c:pt>
                <c:pt idx="27">
                  <c:v>42653</c:v>
                </c:pt>
                <c:pt idx="28">
                  <c:v>42855</c:v>
                </c:pt>
                <c:pt idx="29">
                  <c:v>42865</c:v>
                </c:pt>
                <c:pt idx="30">
                  <c:v>42875</c:v>
                </c:pt>
                <c:pt idx="31">
                  <c:v>42885</c:v>
                </c:pt>
                <c:pt idx="32">
                  <c:v>42896</c:v>
                </c:pt>
                <c:pt idx="33">
                  <c:v>42906</c:v>
                </c:pt>
                <c:pt idx="34">
                  <c:v>42926</c:v>
                </c:pt>
                <c:pt idx="35">
                  <c:v>42936</c:v>
                </c:pt>
                <c:pt idx="36">
                  <c:v>42946</c:v>
                </c:pt>
                <c:pt idx="37">
                  <c:v>42957</c:v>
                </c:pt>
                <c:pt idx="38">
                  <c:v>42967</c:v>
                </c:pt>
                <c:pt idx="39">
                  <c:v>42977</c:v>
                </c:pt>
                <c:pt idx="40">
                  <c:v>42988</c:v>
                </c:pt>
                <c:pt idx="41">
                  <c:v>42998</c:v>
                </c:pt>
                <c:pt idx="42">
                  <c:v>43008</c:v>
                </c:pt>
                <c:pt idx="43">
                  <c:v>43018</c:v>
                </c:pt>
                <c:pt idx="44">
                  <c:v>43230</c:v>
                </c:pt>
                <c:pt idx="45">
                  <c:v>43240</c:v>
                </c:pt>
                <c:pt idx="46">
                  <c:v>43250</c:v>
                </c:pt>
                <c:pt idx="47">
                  <c:v>43261</c:v>
                </c:pt>
                <c:pt idx="48">
                  <c:v>43271</c:v>
                </c:pt>
                <c:pt idx="49">
                  <c:v>43281</c:v>
                </c:pt>
                <c:pt idx="50">
                  <c:v>43291</c:v>
                </c:pt>
                <c:pt idx="51">
                  <c:v>43301</c:v>
                </c:pt>
                <c:pt idx="52">
                  <c:v>43311</c:v>
                </c:pt>
                <c:pt idx="53">
                  <c:v>43322</c:v>
                </c:pt>
                <c:pt idx="54">
                  <c:v>43332</c:v>
                </c:pt>
                <c:pt idx="55">
                  <c:v>43342</c:v>
                </c:pt>
                <c:pt idx="56">
                  <c:v>43353</c:v>
                </c:pt>
                <c:pt idx="57">
                  <c:v>43363</c:v>
                </c:pt>
                <c:pt idx="58">
                  <c:v>43373</c:v>
                </c:pt>
                <c:pt idx="59">
                  <c:v>43383</c:v>
                </c:pt>
                <c:pt idx="60">
                  <c:v>43393</c:v>
                </c:pt>
                <c:pt idx="61">
                  <c:v>43605</c:v>
                </c:pt>
                <c:pt idx="62">
                  <c:v>43615</c:v>
                </c:pt>
                <c:pt idx="63">
                  <c:v>43626</c:v>
                </c:pt>
                <c:pt idx="64">
                  <c:v>43636</c:v>
                </c:pt>
              </c:numCache>
            </c:numRef>
          </c:xVal>
          <c:yVal>
            <c:numRef>
              <c:f>'P8-03'!$E$8:$E$72</c:f>
              <c:numCache>
                <c:formatCode>0.000_ </c:formatCode>
                <c:ptCount val="65"/>
                <c:pt idx="0">
                  <c:v>0.19741270401577912</c:v>
                </c:pt>
                <c:pt idx="1">
                  <c:v>0.19856697373595003</c:v>
                </c:pt>
                <c:pt idx="2">
                  <c:v>0.19928816152006071</c:v>
                </c:pt>
                <c:pt idx="3">
                  <c:v>0.19771998285341932</c:v>
                </c:pt>
                <c:pt idx="4">
                  <c:v>0.19610415341149187</c:v>
                </c:pt>
                <c:pt idx="5">
                  <c:v>0.1989503540856781</c:v>
                </c:pt>
                <c:pt idx="6">
                  <c:v>0.19842960656421096</c:v>
                </c:pt>
                <c:pt idx="7">
                  <c:v>0.1981797469072489</c:v>
                </c:pt>
                <c:pt idx="8">
                  <c:v>0.19937618564812346</c:v>
                </c:pt>
                <c:pt idx="9">
                  <c:v>0.19769721183088981</c:v>
                </c:pt>
                <c:pt idx="10">
                  <c:v>0.20404108724013856</c:v>
                </c:pt>
                <c:pt idx="11">
                  <c:v>0.20630133211678112</c:v>
                </c:pt>
                <c:pt idx="12">
                  <c:v>0.20683380236688861</c:v>
                </c:pt>
                <c:pt idx="13">
                  <c:v>0.21168317361371705</c:v>
                </c:pt>
                <c:pt idx="14">
                  <c:v>0.20577423081298976</c:v>
                </c:pt>
                <c:pt idx="15">
                  <c:v>0.20281734930622483</c:v>
                </c:pt>
                <c:pt idx="16">
                  <c:v>0.21096167172275762</c:v>
                </c:pt>
                <c:pt idx="17">
                  <c:v>0.22070747012903655</c:v>
                </c:pt>
                <c:pt idx="18">
                  <c:v>0.21215100534386686</c:v>
                </c:pt>
                <c:pt idx="19">
                  <c:v>0.21584476784930115</c:v>
                </c:pt>
                <c:pt idx="20">
                  <c:v>0.21658357387882685</c:v>
                </c:pt>
                <c:pt idx="21">
                  <c:v>0.2110000170287902</c:v>
                </c:pt>
                <c:pt idx="22">
                  <c:v>0.21644612024326701</c:v>
                </c:pt>
                <c:pt idx="23">
                  <c:v>0.21319895775201078</c:v>
                </c:pt>
                <c:pt idx="24">
                  <c:v>0.21338793659782215</c:v>
                </c:pt>
                <c:pt idx="25">
                  <c:v>0.21335357672082497</c:v>
                </c:pt>
                <c:pt idx="26">
                  <c:v>0.22238745063218371</c:v>
                </c:pt>
                <c:pt idx="27">
                  <c:v>0.27054280546169585</c:v>
                </c:pt>
                <c:pt idx="28">
                  <c:v>0.26737499680612298</c:v>
                </c:pt>
                <c:pt idx="29">
                  <c:v>0.27543004822594819</c:v>
                </c:pt>
                <c:pt idx="30">
                  <c:v>0.26525831480416695</c:v>
                </c:pt>
                <c:pt idx="31">
                  <c:v>0.26288367463724271</c:v>
                </c:pt>
                <c:pt idx="32">
                  <c:v>0.26305574383567021</c:v>
                </c:pt>
                <c:pt idx="33">
                  <c:v>0.26522389841688665</c:v>
                </c:pt>
                <c:pt idx="34">
                  <c:v>0.26424304760584127</c:v>
                </c:pt>
                <c:pt idx="35">
                  <c:v>0.26370511002751917</c:v>
                </c:pt>
                <c:pt idx="36">
                  <c:v>0.26451385725725829</c:v>
                </c:pt>
                <c:pt idx="37">
                  <c:v>0.265597956130047</c:v>
                </c:pt>
                <c:pt idx="38">
                  <c:v>0.26475025177589284</c:v>
                </c:pt>
                <c:pt idx="39">
                  <c:v>0.26609699864297531</c:v>
                </c:pt>
                <c:pt idx="40">
                  <c:v>0.26626455583225872</c:v>
                </c:pt>
                <c:pt idx="41">
                  <c:v>0.26458268779302352</c:v>
                </c:pt>
                <c:pt idx="42">
                  <c:v>0.26465151848318835</c:v>
                </c:pt>
                <c:pt idx="43">
                  <c:v>0.2653226258038035</c:v>
                </c:pt>
                <c:pt idx="44">
                  <c:v>0.26539963012671708</c:v>
                </c:pt>
                <c:pt idx="45">
                  <c:v>0.26569583139442798</c:v>
                </c:pt>
                <c:pt idx="46">
                  <c:v>0.26557170829962617</c:v>
                </c:pt>
                <c:pt idx="47">
                  <c:v>0.26965480285750476</c:v>
                </c:pt>
                <c:pt idx="48">
                  <c:v>0.28346371876970911</c:v>
                </c:pt>
                <c:pt idx="49">
                  <c:v>0.27696542981055317</c:v>
                </c:pt>
                <c:pt idx="50">
                  <c:v>0.27036395433687499</c:v>
                </c:pt>
                <c:pt idx="51">
                  <c:v>0.26949079774525286</c:v>
                </c:pt>
                <c:pt idx="52">
                  <c:v>0.26925441249059923</c:v>
                </c:pt>
                <c:pt idx="53">
                  <c:v>0.27227892688221977</c:v>
                </c:pt>
                <c:pt idx="54">
                  <c:v>0.26973629433121393</c:v>
                </c:pt>
                <c:pt idx="55">
                  <c:v>0.2787213339001603</c:v>
                </c:pt>
                <c:pt idx="56">
                  <c:v>0.28287048652865476</c:v>
                </c:pt>
                <c:pt idx="57">
                  <c:v>0.2739610990888246</c:v>
                </c:pt>
                <c:pt idx="58">
                  <c:v>0.27161684275964459</c:v>
                </c:pt>
                <c:pt idx="59">
                  <c:v>0.27015040735616502</c:v>
                </c:pt>
                <c:pt idx="60">
                  <c:v>0.26851187422891676</c:v>
                </c:pt>
                <c:pt idx="61">
                  <c:v>0.26392964600439861</c:v>
                </c:pt>
                <c:pt idx="62">
                  <c:v>0.26443684814795476</c:v>
                </c:pt>
                <c:pt idx="63">
                  <c:v>0.2641271072630188</c:v>
                </c:pt>
                <c:pt idx="64">
                  <c:v>0.2644106117431102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6483024"/>
        <c:axId val="-156490096"/>
      </c:scatterChart>
      <c:valAx>
        <c:axId val="-156483024"/>
        <c:scaling>
          <c:orientation val="minMax"/>
          <c:max val="43800"/>
          <c:min val="42603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时间</a:t>
                </a:r>
              </a:p>
            </c:rich>
          </c:tx>
          <c:layout>
            <c:manualLayout>
              <c:xMode val="edge"/>
              <c:yMode val="edge"/>
              <c:x val="0.85055664916885387"/>
              <c:y val="0.84683836395450574"/>
            </c:manualLayout>
          </c:layout>
          <c:overlay val="0"/>
        </c:title>
        <c:numFmt formatCode="m/d/yyyy" sourceLinked="0"/>
        <c:majorTickMark val="none"/>
        <c:minorTickMark val="none"/>
        <c:tickLblPos val="low"/>
        <c:crossAx val="-156490096"/>
        <c:crosses val="autoZero"/>
        <c:crossBetween val="midCat"/>
        <c:majorUnit val="280"/>
      </c:valAx>
      <c:valAx>
        <c:axId val="-1564900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 altLang="en-US"/>
                  <a:t>渗压</a:t>
                </a:r>
                <a:r>
                  <a:rPr lang="en-US" altLang="zh-CN"/>
                  <a:t>(MPa)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1.666666666666667E-2"/>
              <c:y val="0.3084113444152814"/>
            </c:manualLayout>
          </c:layout>
          <c:overlay val="0"/>
        </c:title>
        <c:numFmt formatCode="0.000_ " sourceLinked="1"/>
        <c:majorTickMark val="in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000"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-156483024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b"/>
      <c:layout>
        <c:manualLayout>
          <c:xMode val="edge"/>
          <c:yMode val="edge"/>
          <c:x val="0.32094160104986891"/>
          <c:y val="0.87924577136191318"/>
          <c:w val="0.41580052493438319"/>
          <c:h val="8.8346821230679523E-2"/>
        </c:manualLayout>
      </c:layout>
      <c:overlay val="0"/>
      <c:spPr>
        <a:ln>
          <a:solidFill>
            <a:sysClr val="windowText" lastClr="000000"/>
          </a:solidFill>
        </a:ln>
      </c:spPr>
      <c:txPr>
        <a:bodyPr/>
        <a:lstStyle/>
        <a:p>
          <a:pPr>
            <a:defRPr sz="800"/>
          </a:pPr>
          <a:endParaRPr lang="zh-CN"/>
        </a:p>
      </c:txPr>
    </c:legend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236140329787021"/>
          <c:y val="0.12962962962962837"/>
          <c:w val="0.81291859509927666"/>
          <c:h val="0.66632691746865536"/>
        </c:manualLayout>
      </c:layout>
      <c:scatterChart>
        <c:scatterStyle val="smoothMarker"/>
        <c:varyColors val="0"/>
        <c:ser>
          <c:idx val="0"/>
          <c:order val="0"/>
          <c:tx>
            <c:v>P8-4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strRef>
              <c:f>'P8-04'!$A$8:$A$53</c:f>
              <c:strCache>
                <c:ptCount val="46"/>
                <c:pt idx="0">
                  <c:v>2015.9.16</c:v>
                </c:pt>
                <c:pt idx="1">
                  <c:v>2015.9.17</c:v>
                </c:pt>
                <c:pt idx="2">
                  <c:v>2015.9.18</c:v>
                </c:pt>
                <c:pt idx="3">
                  <c:v>2015.9.19</c:v>
                </c:pt>
                <c:pt idx="4">
                  <c:v>2015.9.20</c:v>
                </c:pt>
                <c:pt idx="5">
                  <c:v>2015.9.21</c:v>
                </c:pt>
                <c:pt idx="6">
                  <c:v>2015.9.22</c:v>
                </c:pt>
                <c:pt idx="7">
                  <c:v>2015.9.23</c:v>
                </c:pt>
                <c:pt idx="8">
                  <c:v>2015.9.26</c:v>
                </c:pt>
                <c:pt idx="9">
                  <c:v>2015.10.3</c:v>
                </c:pt>
                <c:pt idx="10">
                  <c:v>2015.10.10</c:v>
                </c:pt>
                <c:pt idx="11">
                  <c:v>2015.10.17</c:v>
                </c:pt>
                <c:pt idx="12">
                  <c:v>2015.10.24</c:v>
                </c:pt>
                <c:pt idx="13">
                  <c:v>2016.4.25</c:v>
                </c:pt>
                <c:pt idx="14">
                  <c:v>2016.5.16</c:v>
                </c:pt>
                <c:pt idx="15">
                  <c:v>2016.5.30</c:v>
                </c:pt>
                <c:pt idx="16">
                  <c:v>2016.6.7</c:v>
                </c:pt>
                <c:pt idx="17">
                  <c:v>2016-6-23</c:v>
                </c:pt>
                <c:pt idx="18">
                  <c:v>2016-6-30</c:v>
                </c:pt>
                <c:pt idx="19">
                  <c:v>2016-7-10</c:v>
                </c:pt>
                <c:pt idx="20">
                  <c:v>2016-7-20</c:v>
                </c:pt>
                <c:pt idx="21">
                  <c:v>2016-7-30</c:v>
                </c:pt>
                <c:pt idx="22">
                  <c:v>2016-8-10</c:v>
                </c:pt>
                <c:pt idx="23">
                  <c:v>2016-8-20</c:v>
                </c:pt>
                <c:pt idx="24">
                  <c:v>2016-8-30</c:v>
                </c:pt>
                <c:pt idx="25">
                  <c:v>2016-9-10</c:v>
                </c:pt>
                <c:pt idx="26">
                  <c:v>2016-9-20</c:v>
                </c:pt>
                <c:pt idx="27">
                  <c:v>2016-10-10</c:v>
                </c:pt>
                <c:pt idx="28">
                  <c:v>2017-4-30</c:v>
                </c:pt>
                <c:pt idx="29">
                  <c:v>2017-5-10</c:v>
                </c:pt>
                <c:pt idx="30">
                  <c:v>2017-5-20</c:v>
                </c:pt>
                <c:pt idx="31">
                  <c:v>2017-5-30</c:v>
                </c:pt>
                <c:pt idx="32">
                  <c:v>2017-6-10</c:v>
                </c:pt>
                <c:pt idx="33">
                  <c:v>2017-6-20</c:v>
                </c:pt>
                <c:pt idx="34">
                  <c:v>2017-7-10</c:v>
                </c:pt>
                <c:pt idx="35">
                  <c:v>2017-7-20</c:v>
                </c:pt>
                <c:pt idx="36">
                  <c:v>2017-7-30</c:v>
                </c:pt>
                <c:pt idx="37">
                  <c:v>2017-8-10</c:v>
                </c:pt>
                <c:pt idx="38">
                  <c:v>2017-8-20</c:v>
                </c:pt>
                <c:pt idx="39">
                  <c:v>2017-8-30</c:v>
                </c:pt>
                <c:pt idx="40">
                  <c:v>2017-9-10</c:v>
                </c:pt>
                <c:pt idx="41">
                  <c:v>2017-9-20</c:v>
                </c:pt>
                <c:pt idx="42">
                  <c:v>2017-9-30</c:v>
                </c:pt>
                <c:pt idx="43">
                  <c:v>2017-10-10</c:v>
                </c:pt>
                <c:pt idx="44">
                  <c:v>2018-5-10</c:v>
                </c:pt>
                <c:pt idx="45">
                  <c:v>2018-5-20</c:v>
                </c:pt>
              </c:strCache>
            </c:strRef>
          </c:xVal>
          <c:yVal>
            <c:numRef>
              <c:f>'P8-04'!$F$8:$F$53</c:f>
              <c:numCache>
                <c:formatCode>0.0</c:formatCode>
                <c:ptCount val="46"/>
                <c:pt idx="0">
                  <c:v>729.20859932220606</c:v>
                </c:pt>
                <c:pt idx="1">
                  <c:v>729.63822811362922</c:v>
                </c:pt>
                <c:pt idx="2">
                  <c:v>729.64188744755484</c:v>
                </c:pt>
                <c:pt idx="3">
                  <c:v>729.55965436603913</c:v>
                </c:pt>
                <c:pt idx="4">
                  <c:v>729.52610316628773</c:v>
                </c:pt>
                <c:pt idx="5">
                  <c:v>729.48370549511662</c:v>
                </c:pt>
                <c:pt idx="6">
                  <c:v>729.48777993549311</c:v>
                </c:pt>
                <c:pt idx="7">
                  <c:v>729.49403405863768</c:v>
                </c:pt>
                <c:pt idx="8">
                  <c:v>729.68426630241856</c:v>
                </c:pt>
                <c:pt idx="9">
                  <c:v>729.86648355253499</c:v>
                </c:pt>
                <c:pt idx="10">
                  <c:v>730.3495108165373</c:v>
                </c:pt>
                <c:pt idx="11">
                  <c:v>730.81713262992207</c:v>
                </c:pt>
                <c:pt idx="12">
                  <c:v>731.34878645537776</c:v>
                </c:pt>
                <c:pt idx="13">
                  <c:v>732.11799452857758</c:v>
                </c:pt>
                <c:pt idx="14">
                  <c:v>730.9073440446723</c:v>
                </c:pt>
                <c:pt idx="15">
                  <c:v>730.48825530170325</c:v>
                </c:pt>
                <c:pt idx="16">
                  <c:v>731.1460547048207</c:v>
                </c:pt>
                <c:pt idx="17">
                  <c:v>732.42785217474977</c:v>
                </c:pt>
                <c:pt idx="18">
                  <c:v>731.54586469909657</c:v>
                </c:pt>
                <c:pt idx="19">
                  <c:v>731.89190055409654</c:v>
                </c:pt>
                <c:pt idx="20">
                  <c:v>731.74214435950671</c:v>
                </c:pt>
                <c:pt idx="21">
                  <c:v>731.61725399205329</c:v>
                </c:pt>
                <c:pt idx="22">
                  <c:v>732.20334351979136</c:v>
                </c:pt>
                <c:pt idx="23">
                  <c:v>731.27879416969574</c:v>
                </c:pt>
                <c:pt idx="24">
                  <c:v>731.30816071997856</c:v>
                </c:pt>
                <c:pt idx="25">
                  <c:v>731.06406238544196</c:v>
                </c:pt>
                <c:pt idx="26">
                  <c:v>731.70899356222094</c:v>
                </c:pt>
                <c:pt idx="27">
                  <c:v>737.02569747745326</c:v>
                </c:pt>
                <c:pt idx="28">
                  <c:v>736.93186406116695</c:v>
                </c:pt>
                <c:pt idx="29">
                  <c:v>737.6935000932807</c:v>
                </c:pt>
                <c:pt idx="30">
                  <c:v>736.92402920401412</c:v>
                </c:pt>
                <c:pt idx="31">
                  <c:v>736.7639741382751</c:v>
                </c:pt>
                <c:pt idx="32">
                  <c:v>736.77895366424445</c:v>
                </c:pt>
                <c:pt idx="33">
                  <c:v>736.98788402464265</c:v>
                </c:pt>
                <c:pt idx="34">
                  <c:v>737.07707270018489</c:v>
                </c:pt>
                <c:pt idx="35">
                  <c:v>736.96880011934888</c:v>
                </c:pt>
                <c:pt idx="36">
                  <c:v>737.07660562592582</c:v>
                </c:pt>
                <c:pt idx="37">
                  <c:v>737.19502670980012</c:v>
                </c:pt>
                <c:pt idx="38">
                  <c:v>737.07742574331792</c:v>
                </c:pt>
                <c:pt idx="39">
                  <c:v>737.2259739137819</c:v>
                </c:pt>
                <c:pt idx="40">
                  <c:v>737.19250691125785</c:v>
                </c:pt>
                <c:pt idx="41">
                  <c:v>737.14230670769939</c:v>
                </c:pt>
                <c:pt idx="42">
                  <c:v>737.01062382782959</c:v>
                </c:pt>
                <c:pt idx="43">
                  <c:v>737.1146603726238</c:v>
                </c:pt>
                <c:pt idx="44">
                  <c:v>737.28176025931123</c:v>
                </c:pt>
                <c:pt idx="45">
                  <c:v>737.24812051883339</c:v>
                </c:pt>
              </c:numCache>
            </c:numRef>
          </c:yVal>
          <c:smooth val="1"/>
        </c:ser>
        <c:ser>
          <c:idx val="1"/>
          <c:order val="1"/>
          <c:tx>
            <c:v>P8-5</c:v>
          </c:tx>
          <c:spPr>
            <a:ln w="19050" cap="rnd">
              <a:solidFill>
                <a:schemeClr val="tx1"/>
              </a:solidFill>
              <a:prstDash val="lgDashDotDot"/>
              <a:round/>
            </a:ln>
            <a:effectLst/>
          </c:spPr>
          <c:marker>
            <c:symbol val="none"/>
          </c:marker>
          <c:xVal>
            <c:numRef>
              <c:f>'P8-05'!$A$8:$A$54</c:f>
              <c:numCache>
                <c:formatCode>m/d/yyyy</c:formatCode>
                <c:ptCount val="47"/>
                <c:pt idx="0">
                  <c:v>42249</c:v>
                </c:pt>
                <c:pt idx="1">
                  <c:v>42250</c:v>
                </c:pt>
                <c:pt idx="2">
                  <c:v>42251</c:v>
                </c:pt>
                <c:pt idx="3">
                  <c:v>42252</c:v>
                </c:pt>
                <c:pt idx="4">
                  <c:v>42253</c:v>
                </c:pt>
                <c:pt idx="5">
                  <c:v>42254</c:v>
                </c:pt>
                <c:pt idx="6">
                  <c:v>42255</c:v>
                </c:pt>
                <c:pt idx="7">
                  <c:v>42259</c:v>
                </c:pt>
                <c:pt idx="8">
                  <c:v>42266</c:v>
                </c:pt>
                <c:pt idx="9">
                  <c:v>42273</c:v>
                </c:pt>
                <c:pt idx="10">
                  <c:v>42280</c:v>
                </c:pt>
                <c:pt idx="11">
                  <c:v>42287</c:v>
                </c:pt>
                <c:pt idx="12">
                  <c:v>42294</c:v>
                </c:pt>
                <c:pt idx="13">
                  <c:v>42301</c:v>
                </c:pt>
                <c:pt idx="14">
                  <c:v>42485</c:v>
                </c:pt>
                <c:pt idx="15">
                  <c:v>42506</c:v>
                </c:pt>
                <c:pt idx="16">
                  <c:v>42520</c:v>
                </c:pt>
                <c:pt idx="17">
                  <c:v>42528</c:v>
                </c:pt>
                <c:pt idx="18">
                  <c:v>42544</c:v>
                </c:pt>
                <c:pt idx="19">
                  <c:v>42551</c:v>
                </c:pt>
                <c:pt idx="20">
                  <c:v>42561</c:v>
                </c:pt>
                <c:pt idx="21">
                  <c:v>42571</c:v>
                </c:pt>
                <c:pt idx="22">
                  <c:v>42581</c:v>
                </c:pt>
                <c:pt idx="23">
                  <c:v>42592</c:v>
                </c:pt>
                <c:pt idx="24">
                  <c:v>42602</c:v>
                </c:pt>
                <c:pt idx="25">
                  <c:v>42612</c:v>
                </c:pt>
                <c:pt idx="26">
                  <c:v>42623</c:v>
                </c:pt>
                <c:pt idx="27">
                  <c:v>42633</c:v>
                </c:pt>
                <c:pt idx="28">
                  <c:v>42653</c:v>
                </c:pt>
                <c:pt idx="29">
                  <c:v>42855</c:v>
                </c:pt>
                <c:pt idx="30">
                  <c:v>42865</c:v>
                </c:pt>
                <c:pt idx="31">
                  <c:v>42875</c:v>
                </c:pt>
                <c:pt idx="32">
                  <c:v>42885</c:v>
                </c:pt>
                <c:pt idx="33">
                  <c:v>42896</c:v>
                </c:pt>
                <c:pt idx="34">
                  <c:v>42906</c:v>
                </c:pt>
                <c:pt idx="35">
                  <c:v>42926</c:v>
                </c:pt>
                <c:pt idx="36">
                  <c:v>42936</c:v>
                </c:pt>
                <c:pt idx="37">
                  <c:v>42946</c:v>
                </c:pt>
                <c:pt idx="38">
                  <c:v>42957</c:v>
                </c:pt>
                <c:pt idx="39">
                  <c:v>42967</c:v>
                </c:pt>
                <c:pt idx="40">
                  <c:v>42977</c:v>
                </c:pt>
                <c:pt idx="41">
                  <c:v>42988</c:v>
                </c:pt>
                <c:pt idx="42">
                  <c:v>42998</c:v>
                </c:pt>
                <c:pt idx="43">
                  <c:v>43008</c:v>
                </c:pt>
                <c:pt idx="44">
                  <c:v>43018</c:v>
                </c:pt>
                <c:pt idx="45">
                  <c:v>43230</c:v>
                </c:pt>
                <c:pt idx="46">
                  <c:v>43240</c:v>
                </c:pt>
              </c:numCache>
            </c:numRef>
          </c:xVal>
          <c:yVal>
            <c:numRef>
              <c:f>'P8-05'!$F$8:$F$54</c:f>
              <c:numCache>
                <c:formatCode>0.0</c:formatCode>
                <c:ptCount val="47"/>
                <c:pt idx="0">
                  <c:v>727.89234673590374</c:v>
                </c:pt>
                <c:pt idx="1">
                  <c:v>727.91040447818989</c:v>
                </c:pt>
                <c:pt idx="2">
                  <c:v>728.34701977016016</c:v>
                </c:pt>
                <c:pt idx="3">
                  <c:v>727.9626713324642</c:v>
                </c:pt>
                <c:pt idx="4">
                  <c:v>727.95920601152011</c:v>
                </c:pt>
                <c:pt idx="5">
                  <c:v>727.93000930803862</c:v>
                </c:pt>
                <c:pt idx="6">
                  <c:v>728.28003177471123</c:v>
                </c:pt>
                <c:pt idx="7">
                  <c:v>728.56193189551004</c:v>
                </c:pt>
                <c:pt idx="8">
                  <c:v>728.31597552884011</c:v>
                </c:pt>
                <c:pt idx="9">
                  <c:v>728.75045472906447</c:v>
                </c:pt>
                <c:pt idx="10">
                  <c:v>729.49457369973834</c:v>
                </c:pt>
                <c:pt idx="11">
                  <c:v>730.09122695211556</c:v>
                </c:pt>
                <c:pt idx="12">
                  <c:v>730.6606537195986</c:v>
                </c:pt>
                <c:pt idx="13">
                  <c:v>731.82310322917886</c:v>
                </c:pt>
                <c:pt idx="14">
                  <c:v>731.81801637223145</c:v>
                </c:pt>
                <c:pt idx="15">
                  <c:v>729.18704261154949</c:v>
                </c:pt>
                <c:pt idx="16">
                  <c:v>728.84633187490715</c:v>
                </c:pt>
                <c:pt idx="17">
                  <c:v>729.21694499331943</c:v>
                </c:pt>
                <c:pt idx="18">
                  <c:v>731.42726206740144</c:v>
                </c:pt>
                <c:pt idx="19">
                  <c:v>730.14626594666038</c:v>
                </c:pt>
                <c:pt idx="20">
                  <c:v>730.70719677135969</c:v>
                </c:pt>
                <c:pt idx="21">
                  <c:v>729.89549655645578</c:v>
                </c:pt>
                <c:pt idx="22">
                  <c:v>730.30121920532747</c:v>
                </c:pt>
                <c:pt idx="23">
                  <c:v>731.3324346348046</c:v>
                </c:pt>
                <c:pt idx="24">
                  <c:v>728.74952382786512</c:v>
                </c:pt>
                <c:pt idx="25">
                  <c:v>729.12818685485115</c:v>
                </c:pt>
                <c:pt idx="26">
                  <c:v>728.1170727729608</c:v>
                </c:pt>
                <c:pt idx="27">
                  <c:v>728.3609582726225</c:v>
                </c:pt>
                <c:pt idx="28">
                  <c:v>736.40717906152292</c:v>
                </c:pt>
                <c:pt idx="29">
                  <c:v>736.58742025008962</c:v>
                </c:pt>
                <c:pt idx="30">
                  <c:v>737.38198425281655</c:v>
                </c:pt>
                <c:pt idx="31">
                  <c:v>736.64090677274135</c:v>
                </c:pt>
                <c:pt idx="32">
                  <c:v>736.42335851138512</c:v>
                </c:pt>
                <c:pt idx="33">
                  <c:v>736.38888740807045</c:v>
                </c:pt>
                <c:pt idx="34">
                  <c:v>736.56634863592376</c:v>
                </c:pt>
                <c:pt idx="35">
                  <c:v>736.93389060292577</c:v>
                </c:pt>
                <c:pt idx="36">
                  <c:v>736.83835246579076</c:v>
                </c:pt>
                <c:pt idx="37">
                  <c:v>736.94081398974049</c:v>
                </c:pt>
                <c:pt idx="38">
                  <c:v>737.09551453326628</c:v>
                </c:pt>
                <c:pt idx="39">
                  <c:v>736.95048495989329</c:v>
                </c:pt>
                <c:pt idx="40">
                  <c:v>737.10744287839509</c:v>
                </c:pt>
                <c:pt idx="41">
                  <c:v>737.12095256362181</c:v>
                </c:pt>
                <c:pt idx="42">
                  <c:v>737.06138379172148</c:v>
                </c:pt>
                <c:pt idx="43">
                  <c:v>736.84409383581033</c:v>
                </c:pt>
                <c:pt idx="44">
                  <c:v>737.03130927571306</c:v>
                </c:pt>
                <c:pt idx="45">
                  <c:v>736.98081360021013</c:v>
                </c:pt>
                <c:pt idx="46">
                  <c:v>736.93953842443057</c:v>
                </c:pt>
              </c:numCache>
            </c:numRef>
          </c:yVal>
          <c:smooth val="1"/>
        </c:ser>
        <c:ser>
          <c:idx val="2"/>
          <c:order val="2"/>
          <c:tx>
            <c:v>P8-6</c:v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'P8-06'!$A$8:$A$30</c:f>
              <c:numCache>
                <c:formatCode>m/d/yyyy</c:formatCode>
                <c:ptCount val="23"/>
                <c:pt idx="0">
                  <c:v>42633</c:v>
                </c:pt>
                <c:pt idx="1">
                  <c:v>42634</c:v>
                </c:pt>
                <c:pt idx="2">
                  <c:v>42635</c:v>
                </c:pt>
                <c:pt idx="3">
                  <c:v>42636</c:v>
                </c:pt>
                <c:pt idx="4">
                  <c:v>42653</c:v>
                </c:pt>
                <c:pt idx="5">
                  <c:v>42855</c:v>
                </c:pt>
                <c:pt idx="6">
                  <c:v>42865</c:v>
                </c:pt>
                <c:pt idx="7">
                  <c:v>42875</c:v>
                </c:pt>
                <c:pt idx="8">
                  <c:v>42885</c:v>
                </c:pt>
                <c:pt idx="9">
                  <c:v>42896</c:v>
                </c:pt>
                <c:pt idx="10">
                  <c:v>42906</c:v>
                </c:pt>
                <c:pt idx="11">
                  <c:v>42926</c:v>
                </c:pt>
                <c:pt idx="12">
                  <c:v>42936</c:v>
                </c:pt>
                <c:pt idx="13">
                  <c:v>42946</c:v>
                </c:pt>
                <c:pt idx="14">
                  <c:v>42957</c:v>
                </c:pt>
                <c:pt idx="15">
                  <c:v>42967</c:v>
                </c:pt>
                <c:pt idx="16">
                  <c:v>42977</c:v>
                </c:pt>
                <c:pt idx="17">
                  <c:v>42988</c:v>
                </c:pt>
                <c:pt idx="18">
                  <c:v>42998</c:v>
                </c:pt>
                <c:pt idx="19">
                  <c:v>43008</c:v>
                </c:pt>
                <c:pt idx="20">
                  <c:v>43018</c:v>
                </c:pt>
                <c:pt idx="21">
                  <c:v>43230</c:v>
                </c:pt>
                <c:pt idx="22">
                  <c:v>43240</c:v>
                </c:pt>
              </c:numCache>
            </c:numRef>
          </c:xVal>
          <c:yVal>
            <c:numRef>
              <c:f>'P8-06'!$F$8:$F$30</c:f>
              <c:numCache>
                <c:formatCode>0.0</c:formatCode>
                <c:ptCount val="23"/>
                <c:pt idx="0">
                  <c:v>730.40565850465907</c:v>
                </c:pt>
                <c:pt idx="1">
                  <c:v>730.40173866033297</c:v>
                </c:pt>
                <c:pt idx="2">
                  <c:v>732.95894239162362</c:v>
                </c:pt>
                <c:pt idx="3">
                  <c:v>734.14272959740777</c:v>
                </c:pt>
                <c:pt idx="4">
                  <c:v>738.20072896330566</c:v>
                </c:pt>
                <c:pt idx="5">
                  <c:v>738.23140274051514</c:v>
                </c:pt>
                <c:pt idx="6">
                  <c:v>739.04269450583695</c:v>
                </c:pt>
                <c:pt idx="7">
                  <c:v>738.38984197928687</c:v>
                </c:pt>
                <c:pt idx="8">
                  <c:v>738.19768117048272</c:v>
                </c:pt>
                <c:pt idx="9">
                  <c:v>738.21542150257994</c:v>
                </c:pt>
                <c:pt idx="10">
                  <c:v>738.36520792416468</c:v>
                </c:pt>
                <c:pt idx="11">
                  <c:v>738.41141680951318</c:v>
                </c:pt>
                <c:pt idx="12">
                  <c:v>738.43595860423727</c:v>
                </c:pt>
                <c:pt idx="13">
                  <c:v>738.38705738023691</c:v>
                </c:pt>
                <c:pt idx="14">
                  <c:v>738.54695480978114</c:v>
                </c:pt>
                <c:pt idx="15">
                  <c:v>738.40074994963356</c:v>
                </c:pt>
                <c:pt idx="16">
                  <c:v>738.56991880942508</c:v>
                </c:pt>
                <c:pt idx="17">
                  <c:v>738.53036839460401</c:v>
                </c:pt>
                <c:pt idx="18">
                  <c:v>738.49258239684525</c:v>
                </c:pt>
                <c:pt idx="19">
                  <c:v>738.33752167291584</c:v>
                </c:pt>
                <c:pt idx="20">
                  <c:v>738.44033678658479</c:v>
                </c:pt>
                <c:pt idx="21">
                  <c:v>738.35430149721924</c:v>
                </c:pt>
                <c:pt idx="22">
                  <c:v>738.30415520352653</c:v>
                </c:pt>
              </c:numCache>
            </c:numRef>
          </c:yVal>
          <c:smooth val="1"/>
        </c:ser>
        <c:ser>
          <c:idx val="3"/>
          <c:order val="3"/>
          <c:tx>
            <c:v>P8-7</c:v>
          </c:tx>
          <c:spPr>
            <a:ln w="19050">
              <a:solidFill>
                <a:schemeClr val="tx1"/>
              </a:solidFill>
              <a:prstDash val="dashDot"/>
            </a:ln>
          </c:spPr>
          <c:marker>
            <c:symbol val="none"/>
          </c:marker>
          <c:xVal>
            <c:numRef>
              <c:f>'P8-07'!$A$8:$A$29</c:f>
              <c:numCache>
                <c:formatCode>m/d/yyyy</c:formatCode>
                <c:ptCount val="22"/>
                <c:pt idx="0">
                  <c:v>42633</c:v>
                </c:pt>
                <c:pt idx="1">
                  <c:v>42634</c:v>
                </c:pt>
                <c:pt idx="2">
                  <c:v>42635</c:v>
                </c:pt>
                <c:pt idx="3">
                  <c:v>42653</c:v>
                </c:pt>
                <c:pt idx="4">
                  <c:v>42855</c:v>
                </c:pt>
                <c:pt idx="5">
                  <c:v>42865</c:v>
                </c:pt>
                <c:pt idx="6">
                  <c:v>42875</c:v>
                </c:pt>
                <c:pt idx="7">
                  <c:v>42885</c:v>
                </c:pt>
                <c:pt idx="8">
                  <c:v>42896</c:v>
                </c:pt>
                <c:pt idx="9">
                  <c:v>42906</c:v>
                </c:pt>
                <c:pt idx="10">
                  <c:v>42926</c:v>
                </c:pt>
                <c:pt idx="11">
                  <c:v>42936</c:v>
                </c:pt>
                <c:pt idx="12">
                  <c:v>42946</c:v>
                </c:pt>
                <c:pt idx="13">
                  <c:v>42957</c:v>
                </c:pt>
                <c:pt idx="14">
                  <c:v>42967</c:v>
                </c:pt>
                <c:pt idx="15">
                  <c:v>42977</c:v>
                </c:pt>
                <c:pt idx="16">
                  <c:v>42988</c:v>
                </c:pt>
                <c:pt idx="17">
                  <c:v>42998</c:v>
                </c:pt>
                <c:pt idx="18">
                  <c:v>43008</c:v>
                </c:pt>
                <c:pt idx="19">
                  <c:v>43018</c:v>
                </c:pt>
                <c:pt idx="20">
                  <c:v>43230</c:v>
                </c:pt>
                <c:pt idx="21">
                  <c:v>43240</c:v>
                </c:pt>
              </c:numCache>
            </c:numRef>
          </c:xVal>
          <c:yVal>
            <c:numRef>
              <c:f>'P8-07'!$F$8:$F$29</c:f>
              <c:numCache>
                <c:formatCode>0.0</c:formatCode>
                <c:ptCount val="22"/>
                <c:pt idx="0">
                  <c:v>730.43539334537911</c:v>
                </c:pt>
                <c:pt idx="1">
                  <c:v>730.4302161170217</c:v>
                </c:pt>
                <c:pt idx="2">
                  <c:v>732.66073887386938</c:v>
                </c:pt>
                <c:pt idx="3">
                  <c:v>737.89018222006086</c:v>
                </c:pt>
                <c:pt idx="4">
                  <c:v>737.88646223187823</c:v>
                </c:pt>
                <c:pt idx="5">
                  <c:v>738.71313276919466</c:v>
                </c:pt>
                <c:pt idx="6">
                  <c:v>738.06354701245004</c:v>
                </c:pt>
                <c:pt idx="7">
                  <c:v>737.85072882715929</c:v>
                </c:pt>
                <c:pt idx="8">
                  <c:v>737.88676597529923</c:v>
                </c:pt>
                <c:pt idx="9">
                  <c:v>738.04399919124273</c:v>
                </c:pt>
                <c:pt idx="10">
                  <c:v>738.09762282608926</c:v>
                </c:pt>
                <c:pt idx="11">
                  <c:v>738.12601102037684</c:v>
                </c:pt>
                <c:pt idx="12">
                  <c:v>738.0662953976049</c:v>
                </c:pt>
                <c:pt idx="13">
                  <c:v>738.21621818829863</c:v>
                </c:pt>
                <c:pt idx="14">
                  <c:v>738.06503753055654</c:v>
                </c:pt>
                <c:pt idx="15">
                  <c:v>738.25676079058485</c:v>
                </c:pt>
                <c:pt idx="16">
                  <c:v>738.20734172638129</c:v>
                </c:pt>
                <c:pt idx="17">
                  <c:v>738.16779288051362</c:v>
                </c:pt>
                <c:pt idx="18">
                  <c:v>738.0363772183365</c:v>
                </c:pt>
                <c:pt idx="19">
                  <c:v>738.10527338195254</c:v>
                </c:pt>
                <c:pt idx="20">
                  <c:v>737.98875138750941</c:v>
                </c:pt>
                <c:pt idx="21">
                  <c:v>737.98552151024296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6493360"/>
        <c:axId val="-156481936"/>
      </c:scatterChart>
      <c:valAx>
        <c:axId val="-156493360"/>
        <c:scaling>
          <c:orientation val="minMax"/>
          <c:max val="43282"/>
          <c:min val="42248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prstDash val="sys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lang="zh-CN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>
                    <a:solidFill>
                      <a:sysClr val="windowText" lastClr="000000"/>
                    </a:solidFill>
                  </a:rPr>
                  <a:t>日期</a:t>
                </a:r>
              </a:p>
            </c:rich>
          </c:tx>
          <c:layout>
            <c:manualLayout>
              <c:xMode val="edge"/>
              <c:yMode val="edge"/>
              <c:x val="0.86036004087275109"/>
              <c:y val="0.87094853209574352"/>
            </c:manualLayout>
          </c:layout>
          <c:overlay val="0"/>
          <c:spPr>
            <a:noFill/>
            <a:ln w="25400">
              <a:noFill/>
            </a:ln>
          </c:spPr>
        </c:title>
        <c:numFmt formatCode="yyyy/m/d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-156481936"/>
        <c:crosses val="autoZero"/>
        <c:crossBetween val="midCat"/>
        <c:majorUnit val="244"/>
      </c:valAx>
      <c:valAx>
        <c:axId val="-156481936"/>
        <c:scaling>
          <c:orientation val="minMax"/>
          <c:min val="727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prstDash val="sys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>
                  <a:defRPr lang="zh-CN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>
                    <a:solidFill>
                      <a:sysClr val="windowText" lastClr="000000"/>
                    </a:solidFill>
                  </a:rPr>
                  <a:t>水位</a:t>
                </a:r>
                <a:r>
                  <a:rPr lang="en-US" altLang="zh-CN">
                    <a:solidFill>
                      <a:sysClr val="windowText" lastClr="000000"/>
                    </a:solidFill>
                  </a:rPr>
                  <a:t>(m)</a:t>
                </a:r>
                <a:endParaRPr lang="zh-CN" altLang="en-US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7.4216104666306321E-3"/>
              <c:y val="0.40121291129999642"/>
            </c:manualLayout>
          </c:layout>
          <c:overlay val="0"/>
          <c:spPr>
            <a:noFill/>
            <a:ln w="25400">
              <a:noFill/>
            </a:ln>
          </c:spPr>
        </c:title>
        <c:numFmt formatCode="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56493360"/>
        <c:crosses val="autoZero"/>
        <c:crossBetween val="midCat"/>
        <c:majorUnit val="2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28142914387609946"/>
          <c:y val="0.89409674784029458"/>
          <c:w val="0.58656528620945725"/>
          <c:h val="7.4503832716275031E-2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horzOverflow="overflow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000000000000433" l="0.70000000000000062" r="0.70000000000000062" t="0.75000000000000433" header="0.30000000000000032" footer="0.30000000000000032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003937007874"/>
          <c:y val="0.12962962962962837"/>
          <c:w val="0.82564129483815174"/>
          <c:h val="0.66632691746865536"/>
        </c:manualLayout>
      </c:layout>
      <c:scatterChart>
        <c:scatterStyle val="smoothMarker"/>
        <c:varyColors val="0"/>
        <c:ser>
          <c:idx val="0"/>
          <c:order val="0"/>
          <c:tx>
            <c:v>P4-6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'Py-01'!$A$8:$A$29</c:f>
              <c:numCache>
                <c:formatCode>m/d/yyyy</c:formatCode>
                <c:ptCount val="22"/>
                <c:pt idx="0">
                  <c:v>42917</c:v>
                </c:pt>
                <c:pt idx="1">
                  <c:v>42918</c:v>
                </c:pt>
                <c:pt idx="2">
                  <c:v>42919</c:v>
                </c:pt>
                <c:pt idx="3">
                  <c:v>42920</c:v>
                </c:pt>
                <c:pt idx="4">
                  <c:v>42921</c:v>
                </c:pt>
                <c:pt idx="5">
                  <c:v>42922</c:v>
                </c:pt>
                <c:pt idx="6">
                  <c:v>42923</c:v>
                </c:pt>
                <c:pt idx="7">
                  <c:v>42926</c:v>
                </c:pt>
                <c:pt idx="8">
                  <c:v>42936</c:v>
                </c:pt>
                <c:pt idx="9">
                  <c:v>42946</c:v>
                </c:pt>
                <c:pt idx="10">
                  <c:v>42957</c:v>
                </c:pt>
                <c:pt idx="11">
                  <c:v>42967</c:v>
                </c:pt>
                <c:pt idx="12">
                  <c:v>42977</c:v>
                </c:pt>
                <c:pt idx="13">
                  <c:v>42988</c:v>
                </c:pt>
                <c:pt idx="14">
                  <c:v>42998</c:v>
                </c:pt>
                <c:pt idx="15">
                  <c:v>43008</c:v>
                </c:pt>
                <c:pt idx="16">
                  <c:v>43018</c:v>
                </c:pt>
                <c:pt idx="17">
                  <c:v>43230</c:v>
                </c:pt>
                <c:pt idx="18">
                  <c:v>43240</c:v>
                </c:pt>
                <c:pt idx="19">
                  <c:v>43250</c:v>
                </c:pt>
                <c:pt idx="20">
                  <c:v>43261</c:v>
                </c:pt>
                <c:pt idx="21">
                  <c:v>43271</c:v>
                </c:pt>
              </c:numCache>
            </c:numRef>
          </c:xVal>
          <c:yVal>
            <c:numRef>
              <c:f>'Py-01'!$F$8:$F$28</c:f>
              <c:numCache>
                <c:formatCode>0.0</c:formatCode>
                <c:ptCount val="21"/>
                <c:pt idx="0">
                  <c:v>750.09666758431115</c:v>
                </c:pt>
                <c:pt idx="1">
                  <c:v>749.90393697049865</c:v>
                </c:pt>
                <c:pt idx="2">
                  <c:v>749.91079602535331</c:v>
                </c:pt>
                <c:pt idx="3">
                  <c:v>749.83578589541696</c:v>
                </c:pt>
                <c:pt idx="4">
                  <c:v>749.93696320172478</c:v>
                </c:pt>
                <c:pt idx="5">
                  <c:v>749.91491700335928</c:v>
                </c:pt>
                <c:pt idx="6">
                  <c:v>749.88570099395633</c:v>
                </c:pt>
                <c:pt idx="7">
                  <c:v>749.83022828212347</c:v>
                </c:pt>
                <c:pt idx="8">
                  <c:v>749.93806666196986</c:v>
                </c:pt>
                <c:pt idx="9">
                  <c:v>749.91134508337836</c:v>
                </c:pt>
                <c:pt idx="10">
                  <c:v>749.96404455392451</c:v>
                </c:pt>
                <c:pt idx="11">
                  <c:v>750.02312153713865</c:v>
                </c:pt>
                <c:pt idx="12">
                  <c:v>749.93087328860577</c:v>
                </c:pt>
                <c:pt idx="13">
                  <c:v>750.0747681913723</c:v>
                </c:pt>
                <c:pt idx="14">
                  <c:v>749.88597925976455</c:v>
                </c:pt>
                <c:pt idx="15">
                  <c:v>749.89378630318367</c:v>
                </c:pt>
                <c:pt idx="16">
                  <c:v>749.9649839079708</c:v>
                </c:pt>
                <c:pt idx="17">
                  <c:v>749.80006935471727</c:v>
                </c:pt>
                <c:pt idx="18">
                  <c:v>749.90102349907022</c:v>
                </c:pt>
                <c:pt idx="19">
                  <c:v>749.85884825185292</c:v>
                </c:pt>
                <c:pt idx="20">
                  <c:v>749.78258210974775</c:v>
                </c:pt>
              </c:numCache>
            </c:numRef>
          </c:yVal>
          <c:smooth val="1"/>
        </c:ser>
        <c:ser>
          <c:idx val="1"/>
          <c:order val="1"/>
          <c:tx>
            <c:v>P4-7</c:v>
          </c:tx>
          <c:spPr>
            <a:ln w="19050" cap="rnd">
              <a:solidFill>
                <a:schemeClr val="tx1"/>
              </a:solidFill>
              <a:prstDash val="lgDashDotDot"/>
              <a:round/>
            </a:ln>
            <a:effectLst/>
          </c:spPr>
          <c:marker>
            <c:symbol val="none"/>
          </c:marker>
          <c:xVal>
            <c:numRef>
              <c:f>'P4-07'!$A$8:$A$28</c:f>
              <c:numCache>
                <c:formatCode>m/d/yyyy</c:formatCode>
                <c:ptCount val="21"/>
                <c:pt idx="0">
                  <c:v>42265</c:v>
                </c:pt>
                <c:pt idx="1">
                  <c:v>42266</c:v>
                </c:pt>
                <c:pt idx="2">
                  <c:v>42267</c:v>
                </c:pt>
                <c:pt idx="3">
                  <c:v>42268</c:v>
                </c:pt>
                <c:pt idx="4">
                  <c:v>42269</c:v>
                </c:pt>
                <c:pt idx="5">
                  <c:v>42270</c:v>
                </c:pt>
                <c:pt idx="6">
                  <c:v>42271</c:v>
                </c:pt>
                <c:pt idx="7">
                  <c:v>42272</c:v>
                </c:pt>
                <c:pt idx="8">
                  <c:v>42273</c:v>
                </c:pt>
                <c:pt idx="9">
                  <c:v>42280</c:v>
                </c:pt>
                <c:pt idx="10">
                  <c:v>42287</c:v>
                </c:pt>
                <c:pt idx="11">
                  <c:v>42294</c:v>
                </c:pt>
                <c:pt idx="12">
                  <c:v>42301</c:v>
                </c:pt>
                <c:pt idx="13">
                  <c:v>42308</c:v>
                </c:pt>
                <c:pt idx="14">
                  <c:v>42521</c:v>
                </c:pt>
                <c:pt idx="15">
                  <c:v>42531</c:v>
                </c:pt>
                <c:pt idx="16">
                  <c:v>42544</c:v>
                </c:pt>
                <c:pt idx="17">
                  <c:v>42551</c:v>
                </c:pt>
                <c:pt idx="18">
                  <c:v>42561</c:v>
                </c:pt>
                <c:pt idx="19">
                  <c:v>42571</c:v>
                </c:pt>
                <c:pt idx="20">
                  <c:v>42581</c:v>
                </c:pt>
              </c:numCache>
            </c:numRef>
          </c:xVal>
          <c:yVal>
            <c:numRef>
              <c:f>'P4-07'!$F$8:$F$28</c:f>
              <c:numCache>
                <c:formatCode>0.0</c:formatCode>
                <c:ptCount val="21"/>
                <c:pt idx="0">
                  <c:v>741.5115457578006</c:v>
                </c:pt>
                <c:pt idx="1">
                  <c:v>745.82648969508818</c:v>
                </c:pt>
                <c:pt idx="2">
                  <c:v>739.28966932256253</c:v>
                </c:pt>
                <c:pt idx="3">
                  <c:v>738.50180518783714</c:v>
                </c:pt>
                <c:pt idx="4">
                  <c:v>738.70598420541216</c:v>
                </c:pt>
                <c:pt idx="5">
                  <c:v>738.74640000713987</c:v>
                </c:pt>
                <c:pt idx="6">
                  <c:v>738.84190059037519</c:v>
                </c:pt>
                <c:pt idx="7">
                  <c:v>738.79926127761576</c:v>
                </c:pt>
                <c:pt idx="8">
                  <c:v>738.6495478430669</c:v>
                </c:pt>
                <c:pt idx="9">
                  <c:v>738.63617718614046</c:v>
                </c:pt>
                <c:pt idx="10">
                  <c:v>738.62803962372766</c:v>
                </c:pt>
                <c:pt idx="11">
                  <c:v>738.66804845518811</c:v>
                </c:pt>
                <c:pt idx="12">
                  <c:v>738.59988211415066</c:v>
                </c:pt>
                <c:pt idx="13">
                  <c:v>738.60082748844764</c:v>
                </c:pt>
                <c:pt idx="14">
                  <c:v>738.19913158324471</c:v>
                </c:pt>
                <c:pt idx="15">
                  <c:v>738.00905927965368</c:v>
                </c:pt>
                <c:pt idx="16">
                  <c:v>739.54974339392697</c:v>
                </c:pt>
                <c:pt idx="17">
                  <c:v>738.6319801570379</c:v>
                </c:pt>
                <c:pt idx="18">
                  <c:v>738.33756221755641</c:v>
                </c:pt>
                <c:pt idx="19">
                  <c:v>737.88039900109538</c:v>
                </c:pt>
                <c:pt idx="20">
                  <c:v>737.97478724445295</c:v>
                </c:pt>
              </c:numCache>
            </c:numRef>
          </c:yVal>
          <c:smooth val="1"/>
        </c:ser>
        <c:ser>
          <c:idx val="2"/>
          <c:order val="2"/>
          <c:tx>
            <c:v>P4-8</c:v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'P4-08'!$A$8:$A$28</c:f>
              <c:numCache>
                <c:formatCode>m/d/yyyy</c:formatCode>
                <c:ptCount val="21"/>
                <c:pt idx="0">
                  <c:v>42265</c:v>
                </c:pt>
                <c:pt idx="1">
                  <c:v>42266</c:v>
                </c:pt>
                <c:pt idx="2">
                  <c:v>42267</c:v>
                </c:pt>
                <c:pt idx="3">
                  <c:v>42268</c:v>
                </c:pt>
                <c:pt idx="4">
                  <c:v>42269</c:v>
                </c:pt>
                <c:pt idx="5">
                  <c:v>42270</c:v>
                </c:pt>
                <c:pt idx="6">
                  <c:v>42271</c:v>
                </c:pt>
                <c:pt idx="7">
                  <c:v>42272</c:v>
                </c:pt>
                <c:pt idx="8">
                  <c:v>42273</c:v>
                </c:pt>
                <c:pt idx="9">
                  <c:v>42280</c:v>
                </c:pt>
                <c:pt idx="10">
                  <c:v>42287</c:v>
                </c:pt>
                <c:pt idx="11">
                  <c:v>42294</c:v>
                </c:pt>
                <c:pt idx="12">
                  <c:v>42301</c:v>
                </c:pt>
                <c:pt idx="13">
                  <c:v>42308</c:v>
                </c:pt>
                <c:pt idx="14">
                  <c:v>42521</c:v>
                </c:pt>
                <c:pt idx="15">
                  <c:v>42531</c:v>
                </c:pt>
                <c:pt idx="16">
                  <c:v>42544</c:v>
                </c:pt>
                <c:pt idx="17">
                  <c:v>42551</c:v>
                </c:pt>
                <c:pt idx="18">
                  <c:v>42561</c:v>
                </c:pt>
                <c:pt idx="19">
                  <c:v>42571</c:v>
                </c:pt>
                <c:pt idx="20">
                  <c:v>42581</c:v>
                </c:pt>
              </c:numCache>
            </c:numRef>
          </c:xVal>
          <c:yVal>
            <c:numRef>
              <c:f>'P4-08'!$F$8:$F$28</c:f>
              <c:numCache>
                <c:formatCode>0.0</c:formatCode>
                <c:ptCount val="21"/>
                <c:pt idx="0">
                  <c:v>742.07647742765005</c:v>
                </c:pt>
                <c:pt idx="1">
                  <c:v>746.91045506816863</c:v>
                </c:pt>
                <c:pt idx="2">
                  <c:v>739.2446174402105</c:v>
                </c:pt>
                <c:pt idx="3">
                  <c:v>739.81722918366177</c:v>
                </c:pt>
                <c:pt idx="4">
                  <c:v>738.65602942992064</c:v>
                </c:pt>
                <c:pt idx="5">
                  <c:v>738.66091322351554</c:v>
                </c:pt>
                <c:pt idx="6">
                  <c:v>738.69583983007408</c:v>
                </c:pt>
                <c:pt idx="7">
                  <c:v>738.65484128951255</c:v>
                </c:pt>
                <c:pt idx="8">
                  <c:v>738.60516886730761</c:v>
                </c:pt>
                <c:pt idx="9">
                  <c:v>738.43642750754179</c:v>
                </c:pt>
                <c:pt idx="10">
                  <c:v>738.45376555033135</c:v>
                </c:pt>
                <c:pt idx="11">
                  <c:v>738.42625147292335</c:v>
                </c:pt>
                <c:pt idx="12">
                  <c:v>738.34278907523515</c:v>
                </c:pt>
                <c:pt idx="13">
                  <c:v>738.34916978650551</c:v>
                </c:pt>
                <c:pt idx="14">
                  <c:v>737.78583907734117</c:v>
                </c:pt>
                <c:pt idx="15">
                  <c:v>737.60729353989427</c:v>
                </c:pt>
                <c:pt idx="16">
                  <c:v>739.13634218290383</c:v>
                </c:pt>
                <c:pt idx="17">
                  <c:v>738.24269492347651</c:v>
                </c:pt>
                <c:pt idx="18">
                  <c:v>737.55800501138606</c:v>
                </c:pt>
                <c:pt idx="19">
                  <c:v>737.6355506931277</c:v>
                </c:pt>
                <c:pt idx="20">
                  <c:v>737.72423982337193</c:v>
                </c:pt>
              </c:numCache>
            </c:numRef>
          </c:yVal>
          <c:smooth val="1"/>
        </c:ser>
        <c:ser>
          <c:idx val="3"/>
          <c:order val="3"/>
          <c:tx>
            <c:v>P4-9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'P4-09'!$A$8:$A$28</c:f>
              <c:numCache>
                <c:formatCode>m/d/yyyy</c:formatCode>
                <c:ptCount val="21"/>
                <c:pt idx="0">
                  <c:v>42265</c:v>
                </c:pt>
                <c:pt idx="1">
                  <c:v>42266</c:v>
                </c:pt>
                <c:pt idx="2">
                  <c:v>42267</c:v>
                </c:pt>
                <c:pt idx="3">
                  <c:v>42268</c:v>
                </c:pt>
                <c:pt idx="4">
                  <c:v>42269</c:v>
                </c:pt>
                <c:pt idx="5">
                  <c:v>42270</c:v>
                </c:pt>
                <c:pt idx="6">
                  <c:v>42271</c:v>
                </c:pt>
                <c:pt idx="7">
                  <c:v>42272</c:v>
                </c:pt>
                <c:pt idx="8">
                  <c:v>42273</c:v>
                </c:pt>
                <c:pt idx="9">
                  <c:v>42280</c:v>
                </c:pt>
                <c:pt idx="10">
                  <c:v>42287</c:v>
                </c:pt>
                <c:pt idx="11">
                  <c:v>42294</c:v>
                </c:pt>
                <c:pt idx="12">
                  <c:v>42301</c:v>
                </c:pt>
                <c:pt idx="13">
                  <c:v>42308</c:v>
                </c:pt>
                <c:pt idx="14">
                  <c:v>42521</c:v>
                </c:pt>
                <c:pt idx="15">
                  <c:v>42531</c:v>
                </c:pt>
                <c:pt idx="16">
                  <c:v>42544</c:v>
                </c:pt>
                <c:pt idx="17">
                  <c:v>42551</c:v>
                </c:pt>
                <c:pt idx="18">
                  <c:v>42561</c:v>
                </c:pt>
                <c:pt idx="19">
                  <c:v>42571</c:v>
                </c:pt>
                <c:pt idx="20">
                  <c:v>42581</c:v>
                </c:pt>
              </c:numCache>
            </c:numRef>
          </c:xVal>
          <c:yVal>
            <c:numRef>
              <c:f>'P4-09'!$F$8:$F$28</c:f>
              <c:numCache>
                <c:formatCode>0.0</c:formatCode>
                <c:ptCount val="21"/>
                <c:pt idx="0">
                  <c:v>743.10741965382863</c:v>
                </c:pt>
                <c:pt idx="1">
                  <c:v>748.41626636041815</c:v>
                </c:pt>
                <c:pt idx="2">
                  <c:v>738.10068057061892</c:v>
                </c:pt>
                <c:pt idx="3">
                  <c:v>737.68235541834827</c:v>
                </c:pt>
                <c:pt idx="4">
                  <c:v>737.60574854079277</c:v>
                </c:pt>
                <c:pt idx="5">
                  <c:v>737.28912243713205</c:v>
                </c:pt>
                <c:pt idx="6">
                  <c:v>737.62678353401793</c:v>
                </c:pt>
                <c:pt idx="7">
                  <c:v>737.53460848087138</c:v>
                </c:pt>
                <c:pt idx="8">
                  <c:v>737.60718257785754</c:v>
                </c:pt>
                <c:pt idx="9">
                  <c:v>737.42356666211106</c:v>
                </c:pt>
                <c:pt idx="10">
                  <c:v>737.58447430671288</c:v>
                </c:pt>
                <c:pt idx="11">
                  <c:v>737.44343600932871</c:v>
                </c:pt>
                <c:pt idx="12">
                  <c:v>737.36418900975843</c:v>
                </c:pt>
                <c:pt idx="13">
                  <c:v>737.38107252977352</c:v>
                </c:pt>
                <c:pt idx="14">
                  <c:v>736.64396061460525</c:v>
                </c:pt>
                <c:pt idx="15">
                  <c:v>736.5564181237296</c:v>
                </c:pt>
                <c:pt idx="16">
                  <c:v>738.0827017772541</c:v>
                </c:pt>
                <c:pt idx="17">
                  <c:v>737.21732952060665</c:v>
                </c:pt>
                <c:pt idx="18">
                  <c:v>736.95123405421725</c:v>
                </c:pt>
                <c:pt idx="19">
                  <c:v>736.80531889088331</c:v>
                </c:pt>
                <c:pt idx="20">
                  <c:v>736.89300809789347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6493904"/>
        <c:axId val="-156489552"/>
      </c:scatterChart>
      <c:valAx>
        <c:axId val="-156493904"/>
        <c:scaling>
          <c:orientation val="minMax"/>
          <c:min val="42217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prstDash val="sys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lang="zh-CN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>
                    <a:solidFill>
                      <a:sysClr val="windowText" lastClr="000000"/>
                    </a:solidFill>
                  </a:rPr>
                  <a:t>日期</a:t>
                </a:r>
              </a:p>
            </c:rich>
          </c:tx>
          <c:layout>
            <c:manualLayout>
              <c:xMode val="edge"/>
              <c:yMode val="edge"/>
              <c:x val="0.86036004087275109"/>
              <c:y val="0.87094853209574352"/>
            </c:manualLayout>
          </c:layout>
          <c:overlay val="0"/>
          <c:spPr>
            <a:noFill/>
            <a:ln w="25400">
              <a:noFill/>
            </a:ln>
          </c:spPr>
        </c:title>
        <c:numFmt formatCode="yyyy/m/d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-156489552"/>
        <c:crosses val="autoZero"/>
        <c:crossBetween val="midCat"/>
        <c:majorUnit val="62"/>
      </c:valAx>
      <c:valAx>
        <c:axId val="-15648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prstDash val="sysDash"/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 algn="ctr">
                  <a:defRPr lang="zh-CN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>
                    <a:solidFill>
                      <a:sysClr val="windowText" lastClr="000000"/>
                    </a:solidFill>
                  </a:rPr>
                  <a:t>水位</a:t>
                </a:r>
                <a:r>
                  <a:rPr lang="en-US" altLang="zh-CN">
                    <a:solidFill>
                      <a:sysClr val="windowText" lastClr="000000"/>
                    </a:solidFill>
                  </a:rPr>
                  <a:t>(m)</a:t>
                </a:r>
                <a:endParaRPr lang="zh-CN" altLang="en-US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4.0500490873755332E-2"/>
              <c:y val="2.5936973110149412E-2"/>
            </c:manualLayout>
          </c:layout>
          <c:overlay val="0"/>
          <c:spPr>
            <a:noFill/>
            <a:ln w="25400">
              <a:noFill/>
            </a:ln>
          </c:spPr>
        </c:title>
        <c:numFmt formatCode="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56493904"/>
        <c:crosses val="autoZero"/>
        <c:crossBetween val="midCat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5"/>
          <c:y val="0.89403973509933776"/>
          <c:w val="0.58587786259541985"/>
          <c:h val="7.2847682119205434E-2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horzOverflow="overflow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000000000000433" l="0.70000000000000062" r="0.70000000000000062" t="0.75000000000000433" header="0.30000000000000032" footer="0.30000000000000032"/>
    <c:pageSetup/>
  </c:printSettings>
  <c:userShapes r:id="rId1"/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003937007874"/>
          <c:y val="0.12962962962962837"/>
          <c:w val="0.82564129483815174"/>
          <c:h val="0.66632691746865536"/>
        </c:manualLayout>
      </c:layout>
      <c:scatterChart>
        <c:scatterStyle val="smoothMarker"/>
        <c:varyColors val="0"/>
        <c:ser>
          <c:idx val="0"/>
          <c:order val="0"/>
          <c:tx>
            <c:v>P4-6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'Py-02'!$A$8:$A$29</c:f>
              <c:numCache>
                <c:formatCode>m/d/yyyy</c:formatCode>
                <c:ptCount val="22"/>
                <c:pt idx="0">
                  <c:v>42905</c:v>
                </c:pt>
                <c:pt idx="1">
                  <c:v>42906</c:v>
                </c:pt>
                <c:pt idx="2">
                  <c:v>42907</c:v>
                </c:pt>
                <c:pt idx="3">
                  <c:v>42908</c:v>
                </c:pt>
                <c:pt idx="4">
                  <c:v>42909</c:v>
                </c:pt>
                <c:pt idx="5">
                  <c:v>42910</c:v>
                </c:pt>
                <c:pt idx="6">
                  <c:v>42911</c:v>
                </c:pt>
                <c:pt idx="7">
                  <c:v>42916</c:v>
                </c:pt>
                <c:pt idx="8">
                  <c:v>42926</c:v>
                </c:pt>
                <c:pt idx="9">
                  <c:v>42936</c:v>
                </c:pt>
                <c:pt idx="10">
                  <c:v>42946</c:v>
                </c:pt>
                <c:pt idx="11">
                  <c:v>42957</c:v>
                </c:pt>
                <c:pt idx="12">
                  <c:v>42967</c:v>
                </c:pt>
                <c:pt idx="13">
                  <c:v>42977</c:v>
                </c:pt>
                <c:pt idx="14">
                  <c:v>42988</c:v>
                </c:pt>
                <c:pt idx="15">
                  <c:v>42998</c:v>
                </c:pt>
                <c:pt idx="16">
                  <c:v>43008</c:v>
                </c:pt>
                <c:pt idx="17">
                  <c:v>43018</c:v>
                </c:pt>
                <c:pt idx="18">
                  <c:v>43230</c:v>
                </c:pt>
                <c:pt idx="19">
                  <c:v>43240</c:v>
                </c:pt>
                <c:pt idx="20">
                  <c:v>43250</c:v>
                </c:pt>
                <c:pt idx="21">
                  <c:v>43261</c:v>
                </c:pt>
              </c:numCache>
            </c:numRef>
          </c:xVal>
          <c:yVal>
            <c:numRef>
              <c:f>'Py-02'!$F$8:$F$28</c:f>
              <c:numCache>
                <c:formatCode>0.0</c:formatCode>
                <c:ptCount val="21"/>
                <c:pt idx="0">
                  <c:v>746.46407321428603</c:v>
                </c:pt>
                <c:pt idx="1">
                  <c:v>746.41911564342558</c:v>
                </c:pt>
                <c:pt idx="2">
                  <c:v>746.40843281958064</c:v>
                </c:pt>
                <c:pt idx="3">
                  <c:v>746.46890176658644</c:v>
                </c:pt>
                <c:pt idx="4">
                  <c:v>746.42841161247009</c:v>
                </c:pt>
                <c:pt idx="5">
                  <c:v>746.47180134248651</c:v>
                </c:pt>
                <c:pt idx="6">
                  <c:v>746.5275330729022</c:v>
                </c:pt>
                <c:pt idx="7">
                  <c:v>746.43677199750823</c:v>
                </c:pt>
                <c:pt idx="8">
                  <c:v>746.38426368841965</c:v>
                </c:pt>
                <c:pt idx="9">
                  <c:v>746.42655568664907</c:v>
                </c:pt>
                <c:pt idx="10">
                  <c:v>746.41407020773454</c:v>
                </c:pt>
                <c:pt idx="11">
                  <c:v>746.45989418036288</c:v>
                </c:pt>
                <c:pt idx="12">
                  <c:v>746.51603531659885</c:v>
                </c:pt>
                <c:pt idx="13">
                  <c:v>746.41218986755268</c:v>
                </c:pt>
                <c:pt idx="14">
                  <c:v>746.52681698346782</c:v>
                </c:pt>
                <c:pt idx="15">
                  <c:v>746.39025123847819</c:v>
                </c:pt>
                <c:pt idx="16">
                  <c:v>746.47750787473888</c:v>
                </c:pt>
                <c:pt idx="17">
                  <c:v>746.54641701724006</c:v>
                </c:pt>
                <c:pt idx="18">
                  <c:v>746.42076004526791</c:v>
                </c:pt>
                <c:pt idx="19">
                  <c:v>746.55788796731895</c:v>
                </c:pt>
                <c:pt idx="20">
                  <c:v>746.49148056065223</c:v>
                </c:pt>
              </c:numCache>
            </c:numRef>
          </c:yVal>
          <c:smooth val="1"/>
        </c:ser>
        <c:ser>
          <c:idx val="1"/>
          <c:order val="1"/>
          <c:tx>
            <c:v>P4-7</c:v>
          </c:tx>
          <c:spPr>
            <a:ln w="19050" cap="rnd">
              <a:solidFill>
                <a:schemeClr val="tx1"/>
              </a:solidFill>
              <a:prstDash val="lgDashDotDot"/>
              <a:round/>
            </a:ln>
            <a:effectLst/>
          </c:spPr>
          <c:marker>
            <c:symbol val="none"/>
          </c:marker>
          <c:xVal>
            <c:numRef>
              <c:f>'P4-07'!$A$8:$A$28</c:f>
              <c:numCache>
                <c:formatCode>m/d/yyyy</c:formatCode>
                <c:ptCount val="21"/>
                <c:pt idx="0">
                  <c:v>42265</c:v>
                </c:pt>
                <c:pt idx="1">
                  <c:v>42266</c:v>
                </c:pt>
                <c:pt idx="2">
                  <c:v>42267</c:v>
                </c:pt>
                <c:pt idx="3">
                  <c:v>42268</c:v>
                </c:pt>
                <c:pt idx="4">
                  <c:v>42269</c:v>
                </c:pt>
                <c:pt idx="5">
                  <c:v>42270</c:v>
                </c:pt>
                <c:pt idx="6">
                  <c:v>42271</c:v>
                </c:pt>
                <c:pt idx="7">
                  <c:v>42272</c:v>
                </c:pt>
                <c:pt idx="8">
                  <c:v>42273</c:v>
                </c:pt>
                <c:pt idx="9">
                  <c:v>42280</c:v>
                </c:pt>
                <c:pt idx="10">
                  <c:v>42287</c:v>
                </c:pt>
                <c:pt idx="11">
                  <c:v>42294</c:v>
                </c:pt>
                <c:pt idx="12">
                  <c:v>42301</c:v>
                </c:pt>
                <c:pt idx="13">
                  <c:v>42308</c:v>
                </c:pt>
                <c:pt idx="14">
                  <c:v>42521</c:v>
                </c:pt>
                <c:pt idx="15">
                  <c:v>42531</c:v>
                </c:pt>
                <c:pt idx="16">
                  <c:v>42544</c:v>
                </c:pt>
                <c:pt idx="17">
                  <c:v>42551</c:v>
                </c:pt>
                <c:pt idx="18">
                  <c:v>42561</c:v>
                </c:pt>
                <c:pt idx="19">
                  <c:v>42571</c:v>
                </c:pt>
                <c:pt idx="20">
                  <c:v>42581</c:v>
                </c:pt>
              </c:numCache>
            </c:numRef>
          </c:xVal>
          <c:yVal>
            <c:numRef>
              <c:f>'P4-07'!$F$8:$F$28</c:f>
              <c:numCache>
                <c:formatCode>0.0</c:formatCode>
                <c:ptCount val="21"/>
                <c:pt idx="0">
                  <c:v>741.5115457578006</c:v>
                </c:pt>
                <c:pt idx="1">
                  <c:v>745.82648969508818</c:v>
                </c:pt>
                <c:pt idx="2">
                  <c:v>739.28966932256253</c:v>
                </c:pt>
                <c:pt idx="3">
                  <c:v>738.50180518783714</c:v>
                </c:pt>
                <c:pt idx="4">
                  <c:v>738.70598420541216</c:v>
                </c:pt>
                <c:pt idx="5">
                  <c:v>738.74640000713987</c:v>
                </c:pt>
                <c:pt idx="6">
                  <c:v>738.84190059037519</c:v>
                </c:pt>
                <c:pt idx="7">
                  <c:v>738.79926127761576</c:v>
                </c:pt>
                <c:pt idx="8">
                  <c:v>738.6495478430669</c:v>
                </c:pt>
                <c:pt idx="9">
                  <c:v>738.63617718614046</c:v>
                </c:pt>
                <c:pt idx="10">
                  <c:v>738.62803962372766</c:v>
                </c:pt>
                <c:pt idx="11">
                  <c:v>738.66804845518811</c:v>
                </c:pt>
                <c:pt idx="12">
                  <c:v>738.59988211415066</c:v>
                </c:pt>
                <c:pt idx="13">
                  <c:v>738.60082748844764</c:v>
                </c:pt>
                <c:pt idx="14">
                  <c:v>738.19913158324471</c:v>
                </c:pt>
                <c:pt idx="15">
                  <c:v>738.00905927965368</c:v>
                </c:pt>
                <c:pt idx="16">
                  <c:v>739.54974339392697</c:v>
                </c:pt>
                <c:pt idx="17">
                  <c:v>738.6319801570379</c:v>
                </c:pt>
                <c:pt idx="18">
                  <c:v>738.33756221755641</c:v>
                </c:pt>
                <c:pt idx="19">
                  <c:v>737.88039900109538</c:v>
                </c:pt>
                <c:pt idx="20">
                  <c:v>737.97478724445295</c:v>
                </c:pt>
              </c:numCache>
            </c:numRef>
          </c:yVal>
          <c:smooth val="1"/>
        </c:ser>
        <c:ser>
          <c:idx val="2"/>
          <c:order val="2"/>
          <c:tx>
            <c:v>P4-8</c:v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'P4-08'!$A$8:$A$28</c:f>
              <c:numCache>
                <c:formatCode>m/d/yyyy</c:formatCode>
                <c:ptCount val="21"/>
                <c:pt idx="0">
                  <c:v>42265</c:v>
                </c:pt>
                <c:pt idx="1">
                  <c:v>42266</c:v>
                </c:pt>
                <c:pt idx="2">
                  <c:v>42267</c:v>
                </c:pt>
                <c:pt idx="3">
                  <c:v>42268</c:v>
                </c:pt>
                <c:pt idx="4">
                  <c:v>42269</c:v>
                </c:pt>
                <c:pt idx="5">
                  <c:v>42270</c:v>
                </c:pt>
                <c:pt idx="6">
                  <c:v>42271</c:v>
                </c:pt>
                <c:pt idx="7">
                  <c:v>42272</c:v>
                </c:pt>
                <c:pt idx="8">
                  <c:v>42273</c:v>
                </c:pt>
                <c:pt idx="9">
                  <c:v>42280</c:v>
                </c:pt>
                <c:pt idx="10">
                  <c:v>42287</c:v>
                </c:pt>
                <c:pt idx="11">
                  <c:v>42294</c:v>
                </c:pt>
                <c:pt idx="12">
                  <c:v>42301</c:v>
                </c:pt>
                <c:pt idx="13">
                  <c:v>42308</c:v>
                </c:pt>
                <c:pt idx="14">
                  <c:v>42521</c:v>
                </c:pt>
                <c:pt idx="15">
                  <c:v>42531</c:v>
                </c:pt>
                <c:pt idx="16">
                  <c:v>42544</c:v>
                </c:pt>
                <c:pt idx="17">
                  <c:v>42551</c:v>
                </c:pt>
                <c:pt idx="18">
                  <c:v>42561</c:v>
                </c:pt>
                <c:pt idx="19">
                  <c:v>42571</c:v>
                </c:pt>
                <c:pt idx="20">
                  <c:v>42581</c:v>
                </c:pt>
              </c:numCache>
            </c:numRef>
          </c:xVal>
          <c:yVal>
            <c:numRef>
              <c:f>'P4-08'!$F$8:$F$28</c:f>
              <c:numCache>
                <c:formatCode>0.0</c:formatCode>
                <c:ptCount val="21"/>
                <c:pt idx="0">
                  <c:v>742.07647742765005</c:v>
                </c:pt>
                <c:pt idx="1">
                  <c:v>746.91045506816863</c:v>
                </c:pt>
                <c:pt idx="2">
                  <c:v>739.2446174402105</c:v>
                </c:pt>
                <c:pt idx="3">
                  <c:v>739.81722918366177</c:v>
                </c:pt>
                <c:pt idx="4">
                  <c:v>738.65602942992064</c:v>
                </c:pt>
                <c:pt idx="5">
                  <c:v>738.66091322351554</c:v>
                </c:pt>
                <c:pt idx="6">
                  <c:v>738.69583983007408</c:v>
                </c:pt>
                <c:pt idx="7">
                  <c:v>738.65484128951255</c:v>
                </c:pt>
                <c:pt idx="8">
                  <c:v>738.60516886730761</c:v>
                </c:pt>
                <c:pt idx="9">
                  <c:v>738.43642750754179</c:v>
                </c:pt>
                <c:pt idx="10">
                  <c:v>738.45376555033135</c:v>
                </c:pt>
                <c:pt idx="11">
                  <c:v>738.42625147292335</c:v>
                </c:pt>
                <c:pt idx="12">
                  <c:v>738.34278907523515</c:v>
                </c:pt>
                <c:pt idx="13">
                  <c:v>738.34916978650551</c:v>
                </c:pt>
                <c:pt idx="14">
                  <c:v>737.78583907734117</c:v>
                </c:pt>
                <c:pt idx="15">
                  <c:v>737.60729353989427</c:v>
                </c:pt>
                <c:pt idx="16">
                  <c:v>739.13634218290383</c:v>
                </c:pt>
                <c:pt idx="17">
                  <c:v>738.24269492347651</c:v>
                </c:pt>
                <c:pt idx="18">
                  <c:v>737.55800501138606</c:v>
                </c:pt>
                <c:pt idx="19">
                  <c:v>737.6355506931277</c:v>
                </c:pt>
                <c:pt idx="20">
                  <c:v>737.72423982337193</c:v>
                </c:pt>
              </c:numCache>
            </c:numRef>
          </c:yVal>
          <c:smooth val="1"/>
        </c:ser>
        <c:ser>
          <c:idx val="3"/>
          <c:order val="3"/>
          <c:tx>
            <c:v>P4-9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'P4-09'!$A$8:$A$28</c:f>
              <c:numCache>
                <c:formatCode>m/d/yyyy</c:formatCode>
                <c:ptCount val="21"/>
                <c:pt idx="0">
                  <c:v>42265</c:v>
                </c:pt>
                <c:pt idx="1">
                  <c:v>42266</c:v>
                </c:pt>
                <c:pt idx="2">
                  <c:v>42267</c:v>
                </c:pt>
                <c:pt idx="3">
                  <c:v>42268</c:v>
                </c:pt>
                <c:pt idx="4">
                  <c:v>42269</c:v>
                </c:pt>
                <c:pt idx="5">
                  <c:v>42270</c:v>
                </c:pt>
                <c:pt idx="6">
                  <c:v>42271</c:v>
                </c:pt>
                <c:pt idx="7">
                  <c:v>42272</c:v>
                </c:pt>
                <c:pt idx="8">
                  <c:v>42273</c:v>
                </c:pt>
                <c:pt idx="9">
                  <c:v>42280</c:v>
                </c:pt>
                <c:pt idx="10">
                  <c:v>42287</c:v>
                </c:pt>
                <c:pt idx="11">
                  <c:v>42294</c:v>
                </c:pt>
                <c:pt idx="12">
                  <c:v>42301</c:v>
                </c:pt>
                <c:pt idx="13">
                  <c:v>42308</c:v>
                </c:pt>
                <c:pt idx="14">
                  <c:v>42521</c:v>
                </c:pt>
                <c:pt idx="15">
                  <c:v>42531</c:v>
                </c:pt>
                <c:pt idx="16">
                  <c:v>42544</c:v>
                </c:pt>
                <c:pt idx="17">
                  <c:v>42551</c:v>
                </c:pt>
                <c:pt idx="18">
                  <c:v>42561</c:v>
                </c:pt>
                <c:pt idx="19">
                  <c:v>42571</c:v>
                </c:pt>
                <c:pt idx="20">
                  <c:v>42581</c:v>
                </c:pt>
              </c:numCache>
            </c:numRef>
          </c:xVal>
          <c:yVal>
            <c:numRef>
              <c:f>'P4-09'!$F$8:$F$28</c:f>
              <c:numCache>
                <c:formatCode>0.0</c:formatCode>
                <c:ptCount val="21"/>
                <c:pt idx="0">
                  <c:v>743.10741965382863</c:v>
                </c:pt>
                <c:pt idx="1">
                  <c:v>748.41626636041815</c:v>
                </c:pt>
                <c:pt idx="2">
                  <c:v>738.10068057061892</c:v>
                </c:pt>
                <c:pt idx="3">
                  <c:v>737.68235541834827</c:v>
                </c:pt>
                <c:pt idx="4">
                  <c:v>737.60574854079277</c:v>
                </c:pt>
                <c:pt idx="5">
                  <c:v>737.28912243713205</c:v>
                </c:pt>
                <c:pt idx="6">
                  <c:v>737.62678353401793</c:v>
                </c:pt>
                <c:pt idx="7">
                  <c:v>737.53460848087138</c:v>
                </c:pt>
                <c:pt idx="8">
                  <c:v>737.60718257785754</c:v>
                </c:pt>
                <c:pt idx="9">
                  <c:v>737.42356666211106</c:v>
                </c:pt>
                <c:pt idx="10">
                  <c:v>737.58447430671288</c:v>
                </c:pt>
                <c:pt idx="11">
                  <c:v>737.44343600932871</c:v>
                </c:pt>
                <c:pt idx="12">
                  <c:v>737.36418900975843</c:v>
                </c:pt>
                <c:pt idx="13">
                  <c:v>737.38107252977352</c:v>
                </c:pt>
                <c:pt idx="14">
                  <c:v>736.64396061460525</c:v>
                </c:pt>
                <c:pt idx="15">
                  <c:v>736.5564181237296</c:v>
                </c:pt>
                <c:pt idx="16">
                  <c:v>738.0827017772541</c:v>
                </c:pt>
                <c:pt idx="17">
                  <c:v>737.21732952060665</c:v>
                </c:pt>
                <c:pt idx="18">
                  <c:v>736.95123405421725</c:v>
                </c:pt>
                <c:pt idx="19">
                  <c:v>736.80531889088331</c:v>
                </c:pt>
                <c:pt idx="20">
                  <c:v>736.89300809789347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6491728"/>
        <c:axId val="-156496080"/>
      </c:scatterChart>
      <c:valAx>
        <c:axId val="-156491728"/>
        <c:scaling>
          <c:orientation val="minMax"/>
          <c:min val="42217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prstDash val="sys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lang="zh-CN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>
                    <a:solidFill>
                      <a:sysClr val="windowText" lastClr="000000"/>
                    </a:solidFill>
                  </a:rPr>
                  <a:t>日期</a:t>
                </a:r>
              </a:p>
            </c:rich>
          </c:tx>
          <c:layout>
            <c:manualLayout>
              <c:xMode val="edge"/>
              <c:yMode val="edge"/>
              <c:x val="0.86036004087275109"/>
              <c:y val="0.87094853209574352"/>
            </c:manualLayout>
          </c:layout>
          <c:overlay val="0"/>
          <c:spPr>
            <a:noFill/>
            <a:ln w="25400">
              <a:noFill/>
            </a:ln>
          </c:spPr>
        </c:title>
        <c:numFmt formatCode="yyyy/m/d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-156496080"/>
        <c:crosses val="autoZero"/>
        <c:crossBetween val="midCat"/>
        <c:majorUnit val="62"/>
      </c:valAx>
      <c:valAx>
        <c:axId val="-15649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prstDash val="sysDash"/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 algn="ctr">
                  <a:defRPr lang="zh-CN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>
                    <a:solidFill>
                      <a:sysClr val="windowText" lastClr="000000"/>
                    </a:solidFill>
                  </a:rPr>
                  <a:t>水位</a:t>
                </a:r>
                <a:r>
                  <a:rPr lang="en-US" altLang="zh-CN">
                    <a:solidFill>
                      <a:sysClr val="windowText" lastClr="000000"/>
                    </a:solidFill>
                  </a:rPr>
                  <a:t>(m)</a:t>
                </a:r>
                <a:endParaRPr lang="zh-CN" altLang="en-US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4.0500490873755332E-2"/>
              <c:y val="2.5936973110149412E-2"/>
            </c:manualLayout>
          </c:layout>
          <c:overlay val="0"/>
          <c:spPr>
            <a:noFill/>
            <a:ln w="25400">
              <a:noFill/>
            </a:ln>
          </c:spPr>
        </c:title>
        <c:numFmt formatCode="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56491728"/>
        <c:crosses val="autoZero"/>
        <c:crossBetween val="midCat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5"/>
          <c:y val="0.89403973509933776"/>
          <c:w val="0.58587786259541985"/>
          <c:h val="7.2847682119205434E-2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horzOverflow="overflow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000000000000433" l="0.70000000000000062" r="0.70000000000000062" t="0.75000000000000433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57261167596769"/>
          <c:y val="0.11255411255411256"/>
          <c:w val="0.76806686542822922"/>
          <c:h val="0.65769097044688263"/>
        </c:manualLayout>
      </c:layout>
      <c:scatterChart>
        <c:scatterStyle val="smoothMarker"/>
        <c:varyColors val="0"/>
        <c:ser>
          <c:idx val="0"/>
          <c:order val="0"/>
          <c:tx>
            <c:v>P2-1</c:v>
          </c:tx>
          <c:spPr>
            <a:ln w="158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'P2-01'!$A$10:$A$29</c:f>
              <c:numCache>
                <c:formatCode>m/d/yyyy</c:formatCode>
                <c:ptCount val="20"/>
                <c:pt idx="0">
                  <c:v>42890</c:v>
                </c:pt>
                <c:pt idx="1">
                  <c:v>42891</c:v>
                </c:pt>
                <c:pt idx="2">
                  <c:v>42892</c:v>
                </c:pt>
                <c:pt idx="3">
                  <c:v>42893</c:v>
                </c:pt>
                <c:pt idx="4">
                  <c:v>42894</c:v>
                </c:pt>
                <c:pt idx="5">
                  <c:v>42896</c:v>
                </c:pt>
                <c:pt idx="6">
                  <c:v>42906</c:v>
                </c:pt>
                <c:pt idx="7">
                  <c:v>42916</c:v>
                </c:pt>
                <c:pt idx="8">
                  <c:v>42926</c:v>
                </c:pt>
                <c:pt idx="9">
                  <c:v>42936</c:v>
                </c:pt>
                <c:pt idx="10">
                  <c:v>42946</c:v>
                </c:pt>
                <c:pt idx="11">
                  <c:v>42957</c:v>
                </c:pt>
                <c:pt idx="12">
                  <c:v>42967</c:v>
                </c:pt>
                <c:pt idx="13">
                  <c:v>42977</c:v>
                </c:pt>
                <c:pt idx="14">
                  <c:v>42988</c:v>
                </c:pt>
                <c:pt idx="15">
                  <c:v>42998</c:v>
                </c:pt>
                <c:pt idx="16">
                  <c:v>43008</c:v>
                </c:pt>
                <c:pt idx="17">
                  <c:v>43018</c:v>
                </c:pt>
                <c:pt idx="18">
                  <c:v>43230</c:v>
                </c:pt>
                <c:pt idx="19">
                  <c:v>43240</c:v>
                </c:pt>
              </c:numCache>
            </c:numRef>
          </c:xVal>
          <c:yVal>
            <c:numRef>
              <c:f>'P2-01'!$E$10:$E$29</c:f>
              <c:numCache>
                <c:formatCode>0.000_ </c:formatCode>
                <c:ptCount val="20"/>
                <c:pt idx="0">
                  <c:v>6.145516634892035E-3</c:v>
                </c:pt>
                <c:pt idx="1">
                  <c:v>6.4663393130799524E-3</c:v>
                </c:pt>
                <c:pt idx="2">
                  <c:v>6.547617139644045E-3</c:v>
                </c:pt>
                <c:pt idx="3">
                  <c:v>6.5914120573252848E-3</c:v>
                </c:pt>
                <c:pt idx="4">
                  <c:v>6.9343150989376948E-3</c:v>
                </c:pt>
                <c:pt idx="5">
                  <c:v>6.7836433402814096E-3</c:v>
                </c:pt>
                <c:pt idx="6">
                  <c:v>6.8798227668046344E-3</c:v>
                </c:pt>
                <c:pt idx="7">
                  <c:v>6.8046550671119234E-3</c:v>
                </c:pt>
                <c:pt idx="8">
                  <c:v>5.3175704007757778E-3</c:v>
                </c:pt>
                <c:pt idx="9">
                  <c:v>6.4909594671119265E-3</c:v>
                </c:pt>
                <c:pt idx="10">
                  <c:v>6.1845887100160021E-3</c:v>
                </c:pt>
                <c:pt idx="11">
                  <c:v>6.8049818010145965E-3</c:v>
                </c:pt>
                <c:pt idx="12">
                  <c:v>6.08735709211378E-3</c:v>
                </c:pt>
                <c:pt idx="13">
                  <c:v>7.7302550074690862E-3</c:v>
                </c:pt>
                <c:pt idx="14">
                  <c:v>7.8281238113702099E-3</c:v>
                </c:pt>
                <c:pt idx="15">
                  <c:v>6.4981441037261674E-3</c:v>
                </c:pt>
                <c:pt idx="16">
                  <c:v>5.7958280269185085E-3</c:v>
                </c:pt>
                <c:pt idx="17">
                  <c:v>6.5959389585710411E-3</c:v>
                </c:pt>
                <c:pt idx="18">
                  <c:v>4.9583584024909567E-3</c:v>
                </c:pt>
                <c:pt idx="19">
                  <c:v>5.1835368734654656E-3</c:v>
                </c:pt>
              </c:numCache>
            </c:numRef>
          </c:yVal>
          <c:smooth val="1"/>
        </c:ser>
        <c:ser>
          <c:idx val="1"/>
          <c:order val="1"/>
          <c:tx>
            <c:v>P2-2</c:v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'P2-02 '!$A$9:$A$33</c:f>
              <c:numCache>
                <c:formatCode>m/d/yyyy</c:formatCode>
                <c:ptCount val="25"/>
                <c:pt idx="0">
                  <c:v>42588</c:v>
                </c:pt>
                <c:pt idx="1">
                  <c:v>42589</c:v>
                </c:pt>
                <c:pt idx="2">
                  <c:v>42590</c:v>
                </c:pt>
                <c:pt idx="3">
                  <c:v>42602</c:v>
                </c:pt>
                <c:pt idx="4">
                  <c:v>42612</c:v>
                </c:pt>
                <c:pt idx="5">
                  <c:v>42623</c:v>
                </c:pt>
                <c:pt idx="6">
                  <c:v>42633</c:v>
                </c:pt>
                <c:pt idx="7">
                  <c:v>42643</c:v>
                </c:pt>
                <c:pt idx="8">
                  <c:v>42883</c:v>
                </c:pt>
                <c:pt idx="9">
                  <c:v>42885</c:v>
                </c:pt>
                <c:pt idx="10">
                  <c:v>42896</c:v>
                </c:pt>
                <c:pt idx="11">
                  <c:v>42906</c:v>
                </c:pt>
                <c:pt idx="12">
                  <c:v>42916</c:v>
                </c:pt>
                <c:pt idx="13">
                  <c:v>42926</c:v>
                </c:pt>
                <c:pt idx="14">
                  <c:v>42936</c:v>
                </c:pt>
                <c:pt idx="15">
                  <c:v>42946</c:v>
                </c:pt>
                <c:pt idx="16">
                  <c:v>42957</c:v>
                </c:pt>
                <c:pt idx="17">
                  <c:v>42967</c:v>
                </c:pt>
                <c:pt idx="18">
                  <c:v>42977</c:v>
                </c:pt>
                <c:pt idx="19">
                  <c:v>42988</c:v>
                </c:pt>
                <c:pt idx="20">
                  <c:v>42998</c:v>
                </c:pt>
                <c:pt idx="21">
                  <c:v>43008</c:v>
                </c:pt>
                <c:pt idx="22">
                  <c:v>43018</c:v>
                </c:pt>
                <c:pt idx="23">
                  <c:v>43230</c:v>
                </c:pt>
                <c:pt idx="24">
                  <c:v>43240</c:v>
                </c:pt>
              </c:numCache>
            </c:numRef>
          </c:xVal>
          <c:yVal>
            <c:numRef>
              <c:f>'P2-02 '!$E$9:$E$33</c:f>
              <c:numCache>
                <c:formatCode>0.000_ </c:formatCode>
                <c:ptCount val="25"/>
                <c:pt idx="0">
                  <c:v>2.532186511233353E-4</c:v>
                </c:pt>
                <c:pt idx="1">
                  <c:v>-1.1805180595388758E-3</c:v>
                </c:pt>
                <c:pt idx="2">
                  <c:v>-2.9016511543227957E-3</c:v>
                </c:pt>
                <c:pt idx="3">
                  <c:v>-5.0194086488799736E-4</c:v>
                </c:pt>
                <c:pt idx="4">
                  <c:v>1.4395376768159066E-4</c:v>
                </c:pt>
                <c:pt idx="5">
                  <c:v>-7.6714859906393956E-4</c:v>
                </c:pt>
                <c:pt idx="6">
                  <c:v>-3.5844445913097572E-4</c:v>
                </c:pt>
                <c:pt idx="7">
                  <c:v>-1.49324037100294E-3</c:v>
                </c:pt>
                <c:pt idx="8">
                  <c:v>-3.1722298065455512E-3</c:v>
                </c:pt>
                <c:pt idx="9">
                  <c:v>-3.4148676739391981E-3</c:v>
                </c:pt>
                <c:pt idx="10">
                  <c:v>-2.5095180803134907E-3</c:v>
                </c:pt>
                <c:pt idx="11">
                  <c:v>-2.6024015545945897E-3</c:v>
                </c:pt>
                <c:pt idx="12">
                  <c:v>-2.5580478739391996E-3</c:v>
                </c:pt>
                <c:pt idx="13">
                  <c:v>-3.9184992961497668E-3</c:v>
                </c:pt>
                <c:pt idx="14">
                  <c:v>-3.164175663602789E-3</c:v>
                </c:pt>
                <c:pt idx="15">
                  <c:v>-2.9715315447663634E-3</c:v>
                </c:pt>
                <c:pt idx="16">
                  <c:v>-2.2269603383423264E-3</c:v>
                </c:pt>
                <c:pt idx="17">
                  <c:v>-2.8289944509850146E-3</c:v>
                </c:pt>
                <c:pt idx="18">
                  <c:v>-7.7554087951459127E-4</c:v>
                </c:pt>
                <c:pt idx="19">
                  <c:v>-5.9395711870323387E-4</c:v>
                </c:pt>
                <c:pt idx="20">
                  <c:v>-2.4662045733628429E-3</c:v>
                </c:pt>
                <c:pt idx="21">
                  <c:v>-1.6241519368712862E-3</c:v>
                </c:pt>
                <c:pt idx="22">
                  <c:v>-2.2499595268989404E-3</c:v>
                </c:pt>
                <c:pt idx="23">
                  <c:v>-3.082761179439307E-3</c:v>
                </c:pt>
                <c:pt idx="24">
                  <c:v>-2.8302657243887974E-3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6042160"/>
        <c:axId val="-186032912"/>
      </c:scatterChart>
      <c:valAx>
        <c:axId val="-186042160"/>
        <c:scaling>
          <c:orientation val="minMax"/>
          <c:max val="43313"/>
          <c:min val="42583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prstDash val="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>
                    <a:solidFill>
                      <a:sysClr val="windowText" lastClr="000000"/>
                    </a:solidFill>
                  </a:rPr>
                  <a:t>日期</a:t>
                </a:r>
              </a:p>
            </c:rich>
          </c:tx>
          <c:layout>
            <c:manualLayout>
              <c:xMode val="edge"/>
              <c:yMode val="edge"/>
              <c:x val="0.86079514817929603"/>
              <c:y val="0.84415584415584632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prstDash val="dash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-186032912"/>
        <c:crosses val="autoZero"/>
        <c:crossBetween val="midCat"/>
        <c:majorUnit val="186"/>
      </c:valAx>
      <c:valAx>
        <c:axId val="-18603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>
                    <a:solidFill>
                      <a:sysClr val="windowText" lastClr="000000"/>
                    </a:solidFill>
                  </a:rPr>
                  <a:t>渗压（</a:t>
                </a:r>
                <a:r>
                  <a:rPr lang="en-US" altLang="zh-CN">
                    <a:solidFill>
                      <a:sysClr val="windowText" lastClr="000000"/>
                    </a:solidFill>
                  </a:rPr>
                  <a:t>MPa</a:t>
                </a:r>
                <a:r>
                  <a:rPr lang="zh-CN" altLang="en-US">
                    <a:solidFill>
                      <a:sysClr val="windowText" lastClr="000000"/>
                    </a:solidFill>
                  </a:rPr>
                  <a:t>）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86042160"/>
        <c:crosses val="autoZero"/>
        <c:crossBetween val="midCat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7150798868588192"/>
          <c:y val="0.86201247571326256"/>
          <c:w val="0.29840797084830606"/>
          <c:h val="7.3052459351671983E-2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266" l="0.70000000000000062" r="0.70000000000000062" t="0.75000000000000266" header="0.30000000000000032" footer="0.30000000000000032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003937007874"/>
          <c:y val="0.12962962962962837"/>
          <c:w val="0.82564129483815174"/>
          <c:h val="0.66632691746865536"/>
        </c:manualLayout>
      </c:layout>
      <c:scatterChart>
        <c:scatterStyle val="smoothMarker"/>
        <c:varyColors val="0"/>
        <c:ser>
          <c:idx val="0"/>
          <c:order val="0"/>
          <c:tx>
            <c:v>P4-6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'Py-03'!$A$8:$A$29</c:f>
              <c:numCache>
                <c:formatCode>m/d/yyyy</c:formatCode>
                <c:ptCount val="22"/>
                <c:pt idx="0">
                  <c:v>42865</c:v>
                </c:pt>
                <c:pt idx="1">
                  <c:v>42866</c:v>
                </c:pt>
                <c:pt idx="2">
                  <c:v>42867</c:v>
                </c:pt>
                <c:pt idx="3">
                  <c:v>42868</c:v>
                </c:pt>
                <c:pt idx="4">
                  <c:v>42869</c:v>
                </c:pt>
                <c:pt idx="5">
                  <c:v>42870</c:v>
                </c:pt>
                <c:pt idx="6">
                  <c:v>42871</c:v>
                </c:pt>
                <c:pt idx="7">
                  <c:v>42875</c:v>
                </c:pt>
                <c:pt idx="8">
                  <c:v>42885</c:v>
                </c:pt>
                <c:pt idx="9">
                  <c:v>42896</c:v>
                </c:pt>
                <c:pt idx="10">
                  <c:v>42906</c:v>
                </c:pt>
                <c:pt idx="11">
                  <c:v>42916</c:v>
                </c:pt>
                <c:pt idx="12">
                  <c:v>42926</c:v>
                </c:pt>
                <c:pt idx="13">
                  <c:v>42936</c:v>
                </c:pt>
                <c:pt idx="14">
                  <c:v>42946</c:v>
                </c:pt>
                <c:pt idx="15">
                  <c:v>42957</c:v>
                </c:pt>
                <c:pt idx="16">
                  <c:v>42967</c:v>
                </c:pt>
                <c:pt idx="17">
                  <c:v>42977</c:v>
                </c:pt>
                <c:pt idx="18">
                  <c:v>42988</c:v>
                </c:pt>
                <c:pt idx="19">
                  <c:v>42998</c:v>
                </c:pt>
                <c:pt idx="20">
                  <c:v>43008</c:v>
                </c:pt>
                <c:pt idx="21">
                  <c:v>43018</c:v>
                </c:pt>
              </c:numCache>
            </c:numRef>
          </c:xVal>
          <c:yVal>
            <c:numRef>
              <c:f>'Py-03'!$F$8:$F$28</c:f>
              <c:numCache>
                <c:formatCode>0.0</c:formatCode>
                <c:ptCount val="21"/>
                <c:pt idx="0">
                  <c:v>740.38661552178087</c:v>
                </c:pt>
                <c:pt idx="1">
                  <c:v>740.40806444432383</c:v>
                </c:pt>
                <c:pt idx="2">
                  <c:v>740.41405820296052</c:v>
                </c:pt>
                <c:pt idx="3">
                  <c:v>740.49118788390365</c:v>
                </c:pt>
                <c:pt idx="4">
                  <c:v>740.59402942322197</c:v>
                </c:pt>
                <c:pt idx="5">
                  <c:v>740.51612901612634</c:v>
                </c:pt>
                <c:pt idx="6">
                  <c:v>740.4666165267206</c:v>
                </c:pt>
                <c:pt idx="7">
                  <c:v>740.57959571546724</c:v>
                </c:pt>
                <c:pt idx="8">
                  <c:v>740.46042902559111</c:v>
                </c:pt>
                <c:pt idx="9">
                  <c:v>740.52814092745882</c:v>
                </c:pt>
                <c:pt idx="10">
                  <c:v>740.51171576996433</c:v>
                </c:pt>
                <c:pt idx="11">
                  <c:v>740.48805727236993</c:v>
                </c:pt>
                <c:pt idx="12">
                  <c:v>740.40140842114022</c:v>
                </c:pt>
                <c:pt idx="13">
                  <c:v>740.52124535628843</c:v>
                </c:pt>
                <c:pt idx="14">
                  <c:v>740.48607485962043</c:v>
                </c:pt>
                <c:pt idx="15">
                  <c:v>740.53923713143911</c:v>
                </c:pt>
                <c:pt idx="16">
                  <c:v>740.59293586331694</c:v>
                </c:pt>
                <c:pt idx="17">
                  <c:v>740.49367601061897</c:v>
                </c:pt>
                <c:pt idx="18">
                  <c:v>740.59293586331694</c:v>
                </c:pt>
                <c:pt idx="19">
                  <c:v>740.46837528162825</c:v>
                </c:pt>
                <c:pt idx="20">
                  <c:v>740.47217704044976</c:v>
                </c:pt>
              </c:numCache>
            </c:numRef>
          </c:yVal>
          <c:smooth val="1"/>
        </c:ser>
        <c:ser>
          <c:idx val="1"/>
          <c:order val="1"/>
          <c:tx>
            <c:v>P4-7</c:v>
          </c:tx>
          <c:spPr>
            <a:ln w="19050" cap="rnd">
              <a:solidFill>
                <a:schemeClr val="tx1"/>
              </a:solidFill>
              <a:prstDash val="lgDashDotDot"/>
              <a:round/>
            </a:ln>
            <a:effectLst/>
          </c:spPr>
          <c:marker>
            <c:symbol val="none"/>
          </c:marker>
          <c:xVal>
            <c:numRef>
              <c:f>'P4-07'!$A$8:$A$28</c:f>
              <c:numCache>
                <c:formatCode>m/d/yyyy</c:formatCode>
                <c:ptCount val="21"/>
                <c:pt idx="0">
                  <c:v>42265</c:v>
                </c:pt>
                <c:pt idx="1">
                  <c:v>42266</c:v>
                </c:pt>
                <c:pt idx="2">
                  <c:v>42267</c:v>
                </c:pt>
                <c:pt idx="3">
                  <c:v>42268</c:v>
                </c:pt>
                <c:pt idx="4">
                  <c:v>42269</c:v>
                </c:pt>
                <c:pt idx="5">
                  <c:v>42270</c:v>
                </c:pt>
                <c:pt idx="6">
                  <c:v>42271</c:v>
                </c:pt>
                <c:pt idx="7">
                  <c:v>42272</c:v>
                </c:pt>
                <c:pt idx="8">
                  <c:v>42273</c:v>
                </c:pt>
                <c:pt idx="9">
                  <c:v>42280</c:v>
                </c:pt>
                <c:pt idx="10">
                  <c:v>42287</c:v>
                </c:pt>
                <c:pt idx="11">
                  <c:v>42294</c:v>
                </c:pt>
                <c:pt idx="12">
                  <c:v>42301</c:v>
                </c:pt>
                <c:pt idx="13">
                  <c:v>42308</c:v>
                </c:pt>
                <c:pt idx="14">
                  <c:v>42521</c:v>
                </c:pt>
                <c:pt idx="15">
                  <c:v>42531</c:v>
                </c:pt>
                <c:pt idx="16">
                  <c:v>42544</c:v>
                </c:pt>
                <c:pt idx="17">
                  <c:v>42551</c:v>
                </c:pt>
                <c:pt idx="18">
                  <c:v>42561</c:v>
                </c:pt>
                <c:pt idx="19">
                  <c:v>42571</c:v>
                </c:pt>
                <c:pt idx="20">
                  <c:v>42581</c:v>
                </c:pt>
              </c:numCache>
            </c:numRef>
          </c:xVal>
          <c:yVal>
            <c:numRef>
              <c:f>'P4-07'!$F$8:$F$28</c:f>
              <c:numCache>
                <c:formatCode>0.0</c:formatCode>
                <c:ptCount val="21"/>
                <c:pt idx="0">
                  <c:v>741.5115457578006</c:v>
                </c:pt>
                <c:pt idx="1">
                  <c:v>745.82648969508818</c:v>
                </c:pt>
                <c:pt idx="2">
                  <c:v>739.28966932256253</c:v>
                </c:pt>
                <c:pt idx="3">
                  <c:v>738.50180518783714</c:v>
                </c:pt>
                <c:pt idx="4">
                  <c:v>738.70598420541216</c:v>
                </c:pt>
                <c:pt idx="5">
                  <c:v>738.74640000713987</c:v>
                </c:pt>
                <c:pt idx="6">
                  <c:v>738.84190059037519</c:v>
                </c:pt>
                <c:pt idx="7">
                  <c:v>738.79926127761576</c:v>
                </c:pt>
                <c:pt idx="8">
                  <c:v>738.6495478430669</c:v>
                </c:pt>
                <c:pt idx="9">
                  <c:v>738.63617718614046</c:v>
                </c:pt>
                <c:pt idx="10">
                  <c:v>738.62803962372766</c:v>
                </c:pt>
                <c:pt idx="11">
                  <c:v>738.66804845518811</c:v>
                </c:pt>
                <c:pt idx="12">
                  <c:v>738.59988211415066</c:v>
                </c:pt>
                <c:pt idx="13">
                  <c:v>738.60082748844764</c:v>
                </c:pt>
                <c:pt idx="14">
                  <c:v>738.19913158324471</c:v>
                </c:pt>
                <c:pt idx="15">
                  <c:v>738.00905927965368</c:v>
                </c:pt>
                <c:pt idx="16">
                  <c:v>739.54974339392697</c:v>
                </c:pt>
                <c:pt idx="17">
                  <c:v>738.6319801570379</c:v>
                </c:pt>
                <c:pt idx="18">
                  <c:v>738.33756221755641</c:v>
                </c:pt>
                <c:pt idx="19">
                  <c:v>737.88039900109538</c:v>
                </c:pt>
                <c:pt idx="20">
                  <c:v>737.97478724445295</c:v>
                </c:pt>
              </c:numCache>
            </c:numRef>
          </c:yVal>
          <c:smooth val="1"/>
        </c:ser>
        <c:ser>
          <c:idx val="2"/>
          <c:order val="2"/>
          <c:tx>
            <c:v>P4-8</c:v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'P4-08'!$A$8:$A$28</c:f>
              <c:numCache>
                <c:formatCode>m/d/yyyy</c:formatCode>
                <c:ptCount val="21"/>
                <c:pt idx="0">
                  <c:v>42265</c:v>
                </c:pt>
                <c:pt idx="1">
                  <c:v>42266</c:v>
                </c:pt>
                <c:pt idx="2">
                  <c:v>42267</c:v>
                </c:pt>
                <c:pt idx="3">
                  <c:v>42268</c:v>
                </c:pt>
                <c:pt idx="4">
                  <c:v>42269</c:v>
                </c:pt>
                <c:pt idx="5">
                  <c:v>42270</c:v>
                </c:pt>
                <c:pt idx="6">
                  <c:v>42271</c:v>
                </c:pt>
                <c:pt idx="7">
                  <c:v>42272</c:v>
                </c:pt>
                <c:pt idx="8">
                  <c:v>42273</c:v>
                </c:pt>
                <c:pt idx="9">
                  <c:v>42280</c:v>
                </c:pt>
                <c:pt idx="10">
                  <c:v>42287</c:v>
                </c:pt>
                <c:pt idx="11">
                  <c:v>42294</c:v>
                </c:pt>
                <c:pt idx="12">
                  <c:v>42301</c:v>
                </c:pt>
                <c:pt idx="13">
                  <c:v>42308</c:v>
                </c:pt>
                <c:pt idx="14">
                  <c:v>42521</c:v>
                </c:pt>
                <c:pt idx="15">
                  <c:v>42531</c:v>
                </c:pt>
                <c:pt idx="16">
                  <c:v>42544</c:v>
                </c:pt>
                <c:pt idx="17">
                  <c:v>42551</c:v>
                </c:pt>
                <c:pt idx="18">
                  <c:v>42561</c:v>
                </c:pt>
                <c:pt idx="19">
                  <c:v>42571</c:v>
                </c:pt>
                <c:pt idx="20">
                  <c:v>42581</c:v>
                </c:pt>
              </c:numCache>
            </c:numRef>
          </c:xVal>
          <c:yVal>
            <c:numRef>
              <c:f>'P4-08'!$F$8:$F$28</c:f>
              <c:numCache>
                <c:formatCode>0.0</c:formatCode>
                <c:ptCount val="21"/>
                <c:pt idx="0">
                  <c:v>742.07647742765005</c:v>
                </c:pt>
                <c:pt idx="1">
                  <c:v>746.91045506816863</c:v>
                </c:pt>
                <c:pt idx="2">
                  <c:v>739.2446174402105</c:v>
                </c:pt>
                <c:pt idx="3">
                  <c:v>739.81722918366177</c:v>
                </c:pt>
                <c:pt idx="4">
                  <c:v>738.65602942992064</c:v>
                </c:pt>
                <c:pt idx="5">
                  <c:v>738.66091322351554</c:v>
                </c:pt>
                <c:pt idx="6">
                  <c:v>738.69583983007408</c:v>
                </c:pt>
                <c:pt idx="7">
                  <c:v>738.65484128951255</c:v>
                </c:pt>
                <c:pt idx="8">
                  <c:v>738.60516886730761</c:v>
                </c:pt>
                <c:pt idx="9">
                  <c:v>738.43642750754179</c:v>
                </c:pt>
                <c:pt idx="10">
                  <c:v>738.45376555033135</c:v>
                </c:pt>
                <c:pt idx="11">
                  <c:v>738.42625147292335</c:v>
                </c:pt>
                <c:pt idx="12">
                  <c:v>738.34278907523515</c:v>
                </c:pt>
                <c:pt idx="13">
                  <c:v>738.34916978650551</c:v>
                </c:pt>
                <c:pt idx="14">
                  <c:v>737.78583907734117</c:v>
                </c:pt>
                <c:pt idx="15">
                  <c:v>737.60729353989427</c:v>
                </c:pt>
                <c:pt idx="16">
                  <c:v>739.13634218290383</c:v>
                </c:pt>
                <c:pt idx="17">
                  <c:v>738.24269492347651</c:v>
                </c:pt>
                <c:pt idx="18">
                  <c:v>737.55800501138606</c:v>
                </c:pt>
                <c:pt idx="19">
                  <c:v>737.6355506931277</c:v>
                </c:pt>
                <c:pt idx="20">
                  <c:v>737.72423982337193</c:v>
                </c:pt>
              </c:numCache>
            </c:numRef>
          </c:yVal>
          <c:smooth val="1"/>
        </c:ser>
        <c:ser>
          <c:idx val="3"/>
          <c:order val="3"/>
          <c:tx>
            <c:v>P4-9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'P4-09'!$A$8:$A$28</c:f>
              <c:numCache>
                <c:formatCode>m/d/yyyy</c:formatCode>
                <c:ptCount val="21"/>
                <c:pt idx="0">
                  <c:v>42265</c:v>
                </c:pt>
                <c:pt idx="1">
                  <c:v>42266</c:v>
                </c:pt>
                <c:pt idx="2">
                  <c:v>42267</c:v>
                </c:pt>
                <c:pt idx="3">
                  <c:v>42268</c:v>
                </c:pt>
                <c:pt idx="4">
                  <c:v>42269</c:v>
                </c:pt>
                <c:pt idx="5">
                  <c:v>42270</c:v>
                </c:pt>
                <c:pt idx="6">
                  <c:v>42271</c:v>
                </c:pt>
                <c:pt idx="7">
                  <c:v>42272</c:v>
                </c:pt>
                <c:pt idx="8">
                  <c:v>42273</c:v>
                </c:pt>
                <c:pt idx="9">
                  <c:v>42280</c:v>
                </c:pt>
                <c:pt idx="10">
                  <c:v>42287</c:v>
                </c:pt>
                <c:pt idx="11">
                  <c:v>42294</c:v>
                </c:pt>
                <c:pt idx="12">
                  <c:v>42301</c:v>
                </c:pt>
                <c:pt idx="13">
                  <c:v>42308</c:v>
                </c:pt>
                <c:pt idx="14">
                  <c:v>42521</c:v>
                </c:pt>
                <c:pt idx="15">
                  <c:v>42531</c:v>
                </c:pt>
                <c:pt idx="16">
                  <c:v>42544</c:v>
                </c:pt>
                <c:pt idx="17">
                  <c:v>42551</c:v>
                </c:pt>
                <c:pt idx="18">
                  <c:v>42561</c:v>
                </c:pt>
                <c:pt idx="19">
                  <c:v>42571</c:v>
                </c:pt>
                <c:pt idx="20">
                  <c:v>42581</c:v>
                </c:pt>
              </c:numCache>
            </c:numRef>
          </c:xVal>
          <c:yVal>
            <c:numRef>
              <c:f>'P4-09'!$F$8:$F$28</c:f>
              <c:numCache>
                <c:formatCode>0.0</c:formatCode>
                <c:ptCount val="21"/>
                <c:pt idx="0">
                  <c:v>743.10741965382863</c:v>
                </c:pt>
                <c:pt idx="1">
                  <c:v>748.41626636041815</c:v>
                </c:pt>
                <c:pt idx="2">
                  <c:v>738.10068057061892</c:v>
                </c:pt>
                <c:pt idx="3">
                  <c:v>737.68235541834827</c:v>
                </c:pt>
                <c:pt idx="4">
                  <c:v>737.60574854079277</c:v>
                </c:pt>
                <c:pt idx="5">
                  <c:v>737.28912243713205</c:v>
                </c:pt>
                <c:pt idx="6">
                  <c:v>737.62678353401793</c:v>
                </c:pt>
                <c:pt idx="7">
                  <c:v>737.53460848087138</c:v>
                </c:pt>
                <c:pt idx="8">
                  <c:v>737.60718257785754</c:v>
                </c:pt>
                <c:pt idx="9">
                  <c:v>737.42356666211106</c:v>
                </c:pt>
                <c:pt idx="10">
                  <c:v>737.58447430671288</c:v>
                </c:pt>
                <c:pt idx="11">
                  <c:v>737.44343600932871</c:v>
                </c:pt>
                <c:pt idx="12">
                  <c:v>737.36418900975843</c:v>
                </c:pt>
                <c:pt idx="13">
                  <c:v>737.38107252977352</c:v>
                </c:pt>
                <c:pt idx="14">
                  <c:v>736.64396061460525</c:v>
                </c:pt>
                <c:pt idx="15">
                  <c:v>736.5564181237296</c:v>
                </c:pt>
                <c:pt idx="16">
                  <c:v>738.0827017772541</c:v>
                </c:pt>
                <c:pt idx="17">
                  <c:v>737.21732952060665</c:v>
                </c:pt>
                <c:pt idx="18">
                  <c:v>736.95123405421725</c:v>
                </c:pt>
                <c:pt idx="19">
                  <c:v>736.80531889088331</c:v>
                </c:pt>
                <c:pt idx="20">
                  <c:v>736.89300809789347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6484112"/>
        <c:axId val="-156488464"/>
      </c:scatterChart>
      <c:valAx>
        <c:axId val="-156484112"/>
        <c:scaling>
          <c:orientation val="minMax"/>
          <c:min val="42217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prstDash val="sys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lang="zh-CN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>
                    <a:solidFill>
                      <a:sysClr val="windowText" lastClr="000000"/>
                    </a:solidFill>
                  </a:rPr>
                  <a:t>日期</a:t>
                </a:r>
              </a:p>
            </c:rich>
          </c:tx>
          <c:layout>
            <c:manualLayout>
              <c:xMode val="edge"/>
              <c:yMode val="edge"/>
              <c:x val="0.86036004087275109"/>
              <c:y val="0.87094853209574352"/>
            </c:manualLayout>
          </c:layout>
          <c:overlay val="0"/>
          <c:spPr>
            <a:noFill/>
            <a:ln w="25400">
              <a:noFill/>
            </a:ln>
          </c:spPr>
        </c:title>
        <c:numFmt formatCode="yyyy/m/d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-156488464"/>
        <c:crosses val="autoZero"/>
        <c:crossBetween val="midCat"/>
        <c:majorUnit val="62"/>
      </c:valAx>
      <c:valAx>
        <c:axId val="-15648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prstDash val="sysDash"/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 algn="ctr">
                  <a:defRPr lang="zh-CN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>
                    <a:solidFill>
                      <a:sysClr val="windowText" lastClr="000000"/>
                    </a:solidFill>
                  </a:rPr>
                  <a:t>水位</a:t>
                </a:r>
                <a:r>
                  <a:rPr lang="en-US" altLang="zh-CN">
                    <a:solidFill>
                      <a:sysClr val="windowText" lastClr="000000"/>
                    </a:solidFill>
                  </a:rPr>
                  <a:t>(m)</a:t>
                </a:r>
                <a:endParaRPr lang="zh-CN" altLang="en-US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4.0500490873755332E-2"/>
              <c:y val="2.5936973110149412E-2"/>
            </c:manualLayout>
          </c:layout>
          <c:overlay val="0"/>
          <c:spPr>
            <a:noFill/>
            <a:ln w="25400">
              <a:noFill/>
            </a:ln>
          </c:spPr>
        </c:title>
        <c:numFmt formatCode="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56484112"/>
        <c:crosses val="autoZero"/>
        <c:crossBetween val="midCat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5"/>
          <c:y val="0.89403973509933776"/>
          <c:w val="0.58587786259542063"/>
          <c:h val="7.2847682119205823E-2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horzOverflow="overflow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000000000000433" l="0.70000000000000062" r="0.70000000000000062" t="0.75000000000000433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/>
            </a:pPr>
            <a:r>
              <a:rPr lang="zh-CN" altLang="en-US" sz="1200" b="0"/>
              <a:t>桩号</a:t>
            </a:r>
            <a:r>
              <a:rPr lang="en-US" altLang="zh-CN" sz="1200" b="0"/>
              <a:t>0+300</a:t>
            </a:r>
            <a:r>
              <a:rPr lang="zh-CN" altLang="en-US" sz="1200" b="0"/>
              <a:t>混凝土防渗墙后坝基渗压过程线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728496724169022"/>
          <c:y val="0.14287462411569415"/>
          <c:w val="0.80019594878884415"/>
          <c:h val="0.66632691746865536"/>
        </c:manualLayout>
      </c:layout>
      <c:scatterChart>
        <c:scatterStyle val="smoothMarker"/>
        <c:varyColors val="0"/>
        <c:ser>
          <c:idx val="0"/>
          <c:order val="0"/>
          <c:tx>
            <c:v>P2-6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'P2-06'!$A$10:$A$100</c:f>
              <c:numCache>
                <c:formatCode>m/d/yyyy</c:formatCode>
                <c:ptCount val="91"/>
                <c:pt idx="0">
                  <c:v>42232</c:v>
                </c:pt>
                <c:pt idx="1">
                  <c:v>42233</c:v>
                </c:pt>
                <c:pt idx="2">
                  <c:v>42234</c:v>
                </c:pt>
                <c:pt idx="3">
                  <c:v>42235</c:v>
                </c:pt>
                <c:pt idx="4">
                  <c:v>42236</c:v>
                </c:pt>
                <c:pt idx="5">
                  <c:v>42237</c:v>
                </c:pt>
                <c:pt idx="6">
                  <c:v>42238</c:v>
                </c:pt>
                <c:pt idx="7">
                  <c:v>42245</c:v>
                </c:pt>
                <c:pt idx="8">
                  <c:v>42252</c:v>
                </c:pt>
                <c:pt idx="9">
                  <c:v>42259</c:v>
                </c:pt>
                <c:pt idx="10">
                  <c:v>42266</c:v>
                </c:pt>
                <c:pt idx="11">
                  <c:v>42273</c:v>
                </c:pt>
                <c:pt idx="12">
                  <c:v>42280</c:v>
                </c:pt>
                <c:pt idx="13">
                  <c:v>42287</c:v>
                </c:pt>
                <c:pt idx="14">
                  <c:v>42294</c:v>
                </c:pt>
                <c:pt idx="15">
                  <c:v>42297</c:v>
                </c:pt>
                <c:pt idx="16">
                  <c:v>42301</c:v>
                </c:pt>
                <c:pt idx="17">
                  <c:v>42521</c:v>
                </c:pt>
                <c:pt idx="18">
                  <c:v>42531</c:v>
                </c:pt>
                <c:pt idx="19">
                  <c:v>42541</c:v>
                </c:pt>
                <c:pt idx="20">
                  <c:v>42551</c:v>
                </c:pt>
                <c:pt idx="21">
                  <c:v>42561</c:v>
                </c:pt>
                <c:pt idx="22">
                  <c:v>42571</c:v>
                </c:pt>
                <c:pt idx="23">
                  <c:v>42581</c:v>
                </c:pt>
                <c:pt idx="24">
                  <c:v>42592</c:v>
                </c:pt>
                <c:pt idx="25">
                  <c:v>42602</c:v>
                </c:pt>
                <c:pt idx="26">
                  <c:v>42612</c:v>
                </c:pt>
                <c:pt idx="27">
                  <c:v>42623</c:v>
                </c:pt>
                <c:pt idx="28">
                  <c:v>42633</c:v>
                </c:pt>
                <c:pt idx="29">
                  <c:v>42643</c:v>
                </c:pt>
                <c:pt idx="30">
                  <c:v>42883</c:v>
                </c:pt>
                <c:pt idx="31">
                  <c:v>42885</c:v>
                </c:pt>
                <c:pt idx="32">
                  <c:v>42896</c:v>
                </c:pt>
                <c:pt idx="33">
                  <c:v>42906</c:v>
                </c:pt>
                <c:pt idx="34">
                  <c:v>42916</c:v>
                </c:pt>
                <c:pt idx="35">
                  <c:v>42926</c:v>
                </c:pt>
                <c:pt idx="36">
                  <c:v>42936</c:v>
                </c:pt>
                <c:pt idx="37">
                  <c:v>42946</c:v>
                </c:pt>
                <c:pt idx="38">
                  <c:v>42957</c:v>
                </c:pt>
                <c:pt idx="39">
                  <c:v>42967</c:v>
                </c:pt>
                <c:pt idx="40">
                  <c:v>42977</c:v>
                </c:pt>
                <c:pt idx="41">
                  <c:v>42988</c:v>
                </c:pt>
                <c:pt idx="42">
                  <c:v>42998</c:v>
                </c:pt>
                <c:pt idx="43">
                  <c:v>43008</c:v>
                </c:pt>
                <c:pt idx="44">
                  <c:v>43018</c:v>
                </c:pt>
                <c:pt idx="45">
                  <c:v>43230</c:v>
                </c:pt>
                <c:pt idx="46">
                  <c:v>43240</c:v>
                </c:pt>
                <c:pt idx="47">
                  <c:v>43250</c:v>
                </c:pt>
                <c:pt idx="48">
                  <c:v>43261</c:v>
                </c:pt>
                <c:pt idx="49">
                  <c:v>43271</c:v>
                </c:pt>
                <c:pt idx="50">
                  <c:v>43281</c:v>
                </c:pt>
                <c:pt idx="51">
                  <c:v>43291</c:v>
                </c:pt>
                <c:pt idx="52">
                  <c:v>43301</c:v>
                </c:pt>
                <c:pt idx="53">
                  <c:v>43311</c:v>
                </c:pt>
                <c:pt idx="54">
                  <c:v>43322</c:v>
                </c:pt>
                <c:pt idx="55">
                  <c:v>43332</c:v>
                </c:pt>
                <c:pt idx="56">
                  <c:v>43342</c:v>
                </c:pt>
                <c:pt idx="57">
                  <c:v>43353</c:v>
                </c:pt>
                <c:pt idx="58">
                  <c:v>43363</c:v>
                </c:pt>
                <c:pt idx="59">
                  <c:v>43373</c:v>
                </c:pt>
                <c:pt idx="60">
                  <c:v>43383</c:v>
                </c:pt>
                <c:pt idx="61">
                  <c:v>43393</c:v>
                </c:pt>
                <c:pt idx="62">
                  <c:v>43605</c:v>
                </c:pt>
                <c:pt idx="63">
                  <c:v>43615</c:v>
                </c:pt>
                <c:pt idx="64">
                  <c:v>43626</c:v>
                </c:pt>
                <c:pt idx="65">
                  <c:v>43636</c:v>
                </c:pt>
                <c:pt idx="66">
                  <c:v>43646</c:v>
                </c:pt>
                <c:pt idx="67">
                  <c:v>43656</c:v>
                </c:pt>
                <c:pt idx="68">
                  <c:v>43666</c:v>
                </c:pt>
                <c:pt idx="69">
                  <c:v>43676</c:v>
                </c:pt>
                <c:pt idx="70">
                  <c:v>43687</c:v>
                </c:pt>
                <c:pt idx="71">
                  <c:v>43697</c:v>
                </c:pt>
                <c:pt idx="72">
                  <c:v>43707</c:v>
                </c:pt>
              </c:numCache>
            </c:numRef>
          </c:xVal>
          <c:yVal>
            <c:numRef>
              <c:f>'P2-06'!$F$10:$F$100</c:f>
              <c:numCache>
                <c:formatCode>0.0</c:formatCode>
                <c:ptCount val="91"/>
                <c:pt idx="0">
                  <c:v>740.42376012976683</c:v>
                </c:pt>
                <c:pt idx="1">
                  <c:v>740.30351258644248</c:v>
                </c:pt>
                <c:pt idx="2">
                  <c:v>740.33654956655255</c:v>
                </c:pt>
                <c:pt idx="3">
                  <c:v>740.3321359322008</c:v>
                </c:pt>
                <c:pt idx="4">
                  <c:v>740.35262985069903</c:v>
                </c:pt>
                <c:pt idx="5">
                  <c:v>740.36651809044577</c:v>
                </c:pt>
                <c:pt idx="6">
                  <c:v>740.39000704772025</c:v>
                </c:pt>
                <c:pt idx="7">
                  <c:v>740.68033987433159</c:v>
                </c:pt>
                <c:pt idx="8">
                  <c:v>737.71930939822676</c:v>
                </c:pt>
                <c:pt idx="9">
                  <c:v>737.64669918403331</c:v>
                </c:pt>
                <c:pt idx="10">
                  <c:v>737.52457539324587</c:v>
                </c:pt>
                <c:pt idx="11">
                  <c:v>737.66575174887771</c:v>
                </c:pt>
                <c:pt idx="12">
                  <c:v>737.43850870298593</c:v>
                </c:pt>
                <c:pt idx="13">
                  <c:v>737.6173463335607</c:v>
                </c:pt>
                <c:pt idx="14">
                  <c:v>733.87883451869209</c:v>
                </c:pt>
                <c:pt idx="15">
                  <c:v>733.84147362393071</c:v>
                </c:pt>
                <c:pt idx="16">
                  <c:v>733.83183869568654</c:v>
                </c:pt>
                <c:pt idx="17">
                  <c:v>735.92007864530819</c:v>
                </c:pt>
                <c:pt idx="18">
                  <c:v>736.35227505876844</c:v>
                </c:pt>
                <c:pt idx="19">
                  <c:v>737.9234106341197</c:v>
                </c:pt>
                <c:pt idx="20">
                  <c:v>737.16598025581038</c:v>
                </c:pt>
                <c:pt idx="21">
                  <c:v>736.72405097528997</c:v>
                </c:pt>
                <c:pt idx="22">
                  <c:v>736.87158795176356</c:v>
                </c:pt>
                <c:pt idx="23">
                  <c:v>737.10340552916853</c:v>
                </c:pt>
                <c:pt idx="24">
                  <c:v>736.99317521394391</c:v>
                </c:pt>
                <c:pt idx="25">
                  <c:v>737.09560760640625</c:v>
                </c:pt>
                <c:pt idx="26">
                  <c:v>737.24792437412373</c:v>
                </c:pt>
                <c:pt idx="27">
                  <c:v>737.36285757546398</c:v>
                </c:pt>
                <c:pt idx="28">
                  <c:v>737.65986713568509</c:v>
                </c:pt>
                <c:pt idx="29">
                  <c:v>737.38864196028635</c:v>
                </c:pt>
                <c:pt idx="30">
                  <c:v>737.07542451517645</c:v>
                </c:pt>
                <c:pt idx="31">
                  <c:v>737.01699131054261</c:v>
                </c:pt>
                <c:pt idx="32">
                  <c:v>736.96622039751423</c:v>
                </c:pt>
                <c:pt idx="33">
                  <c:v>736.94321595226052</c:v>
                </c:pt>
                <c:pt idx="34">
                  <c:v>737.09453541683638</c:v>
                </c:pt>
                <c:pt idx="35">
                  <c:v>736.86655936234149</c:v>
                </c:pt>
                <c:pt idx="36">
                  <c:v>736.8971945163994</c:v>
                </c:pt>
                <c:pt idx="37">
                  <c:v>736.73337119203768</c:v>
                </c:pt>
                <c:pt idx="38">
                  <c:v>736.89620669172052</c:v>
                </c:pt>
                <c:pt idx="39">
                  <c:v>736.90482282367873</c:v>
                </c:pt>
                <c:pt idx="40">
                  <c:v>737.13856803175679</c:v>
                </c:pt>
                <c:pt idx="41">
                  <c:v>737.08107947762289</c:v>
                </c:pt>
                <c:pt idx="42">
                  <c:v>736.82146454687461</c:v>
                </c:pt>
                <c:pt idx="43">
                  <c:v>736.90194470249662</c:v>
                </c:pt>
                <c:pt idx="44">
                  <c:v>736.84157235183682</c:v>
                </c:pt>
                <c:pt idx="45">
                  <c:v>736.73523257823683</c:v>
                </c:pt>
                <c:pt idx="46">
                  <c:v>736.72948485811003</c:v>
                </c:pt>
                <c:pt idx="47">
                  <c:v>736.7563076358955</c:v>
                </c:pt>
                <c:pt idx="48">
                  <c:v>736.76971600193497</c:v>
                </c:pt>
                <c:pt idx="49">
                  <c:v>737.83802767845987</c:v>
                </c:pt>
                <c:pt idx="50">
                  <c:v>737.67514109798196</c:v>
                </c:pt>
                <c:pt idx="51">
                  <c:v>737.61185550659479</c:v>
                </c:pt>
                <c:pt idx="52">
                  <c:v>737.1759510092453</c:v>
                </c:pt>
                <c:pt idx="53">
                  <c:v>737.30433428235062</c:v>
                </c:pt>
                <c:pt idx="54">
                  <c:v>737.62343157653947</c:v>
                </c:pt>
                <c:pt idx="55">
                  <c:v>737.43563061567636</c:v>
                </c:pt>
                <c:pt idx="56">
                  <c:v>737.47876093724233</c:v>
                </c:pt>
                <c:pt idx="57">
                  <c:v>737.51327868376313</c:v>
                </c:pt>
                <c:pt idx="58">
                  <c:v>737.85350510154376</c:v>
                </c:pt>
                <c:pt idx="59">
                  <c:v>737.55165680623134</c:v>
                </c:pt>
                <c:pt idx="60">
                  <c:v>737.54974011210686</c:v>
                </c:pt>
                <c:pt idx="61">
                  <c:v>737.47309685386801</c:v>
                </c:pt>
                <c:pt idx="62">
                  <c:v>737.09171413192018</c:v>
                </c:pt>
                <c:pt idx="63">
                  <c:v>737.05530056479517</c:v>
                </c:pt>
                <c:pt idx="64">
                  <c:v>737.10222957292387</c:v>
                </c:pt>
                <c:pt idx="65">
                  <c:v>737.13096091154455</c:v>
                </c:pt>
                <c:pt idx="66">
                  <c:v>737.06966579683387</c:v>
                </c:pt>
                <c:pt idx="67">
                  <c:v>737.20575893633156</c:v>
                </c:pt>
                <c:pt idx="68">
                  <c:v>737.33131048906796</c:v>
                </c:pt>
                <c:pt idx="69">
                  <c:v>737.32078096396106</c:v>
                </c:pt>
                <c:pt idx="70">
                  <c:v>737.47412080673519</c:v>
                </c:pt>
                <c:pt idx="71">
                  <c:v>737.9303864953115</c:v>
                </c:pt>
                <c:pt idx="72">
                  <c:v>738.13650202788801</c:v>
                </c:pt>
              </c:numCache>
            </c:numRef>
          </c:yVal>
          <c:smooth val="1"/>
        </c:ser>
        <c:ser>
          <c:idx val="1"/>
          <c:order val="1"/>
          <c:tx>
            <c:v>P2-7</c:v>
          </c:tx>
          <c:spPr>
            <a:ln w="19050" cap="rnd">
              <a:solidFill>
                <a:schemeClr val="tx1"/>
              </a:solidFill>
              <a:prstDash val="lgDashDotDot"/>
              <a:round/>
            </a:ln>
            <a:effectLst/>
          </c:spPr>
          <c:marker>
            <c:symbol val="none"/>
          </c:marker>
          <c:xVal>
            <c:numRef>
              <c:f>'P2-07'!$A$10:$A$100</c:f>
              <c:numCache>
                <c:formatCode>m/d/yyyy</c:formatCode>
                <c:ptCount val="91"/>
                <c:pt idx="0">
                  <c:v>42232</c:v>
                </c:pt>
                <c:pt idx="1">
                  <c:v>42233</c:v>
                </c:pt>
                <c:pt idx="2">
                  <c:v>42234</c:v>
                </c:pt>
                <c:pt idx="3">
                  <c:v>42235</c:v>
                </c:pt>
                <c:pt idx="4">
                  <c:v>42236</c:v>
                </c:pt>
                <c:pt idx="5">
                  <c:v>42237</c:v>
                </c:pt>
                <c:pt idx="6">
                  <c:v>42238</c:v>
                </c:pt>
                <c:pt idx="7">
                  <c:v>42245</c:v>
                </c:pt>
                <c:pt idx="8">
                  <c:v>42252</c:v>
                </c:pt>
                <c:pt idx="9">
                  <c:v>42259</c:v>
                </c:pt>
                <c:pt idx="10">
                  <c:v>42266</c:v>
                </c:pt>
                <c:pt idx="11">
                  <c:v>42273</c:v>
                </c:pt>
                <c:pt idx="12">
                  <c:v>42280</c:v>
                </c:pt>
                <c:pt idx="13">
                  <c:v>42287</c:v>
                </c:pt>
                <c:pt idx="14">
                  <c:v>42294</c:v>
                </c:pt>
                <c:pt idx="15">
                  <c:v>42297</c:v>
                </c:pt>
                <c:pt idx="16">
                  <c:v>42301</c:v>
                </c:pt>
                <c:pt idx="17">
                  <c:v>42521</c:v>
                </c:pt>
                <c:pt idx="18">
                  <c:v>42531</c:v>
                </c:pt>
                <c:pt idx="19">
                  <c:v>42541</c:v>
                </c:pt>
                <c:pt idx="20">
                  <c:v>42551</c:v>
                </c:pt>
                <c:pt idx="21">
                  <c:v>42561</c:v>
                </c:pt>
                <c:pt idx="22">
                  <c:v>42571</c:v>
                </c:pt>
                <c:pt idx="23">
                  <c:v>42581</c:v>
                </c:pt>
                <c:pt idx="24">
                  <c:v>42592</c:v>
                </c:pt>
                <c:pt idx="25">
                  <c:v>42602</c:v>
                </c:pt>
                <c:pt idx="26">
                  <c:v>42612</c:v>
                </c:pt>
                <c:pt idx="27">
                  <c:v>42623</c:v>
                </c:pt>
                <c:pt idx="28">
                  <c:v>42633</c:v>
                </c:pt>
                <c:pt idx="29">
                  <c:v>42643</c:v>
                </c:pt>
                <c:pt idx="30">
                  <c:v>42883</c:v>
                </c:pt>
                <c:pt idx="31">
                  <c:v>42885</c:v>
                </c:pt>
                <c:pt idx="32">
                  <c:v>42896</c:v>
                </c:pt>
                <c:pt idx="33">
                  <c:v>42906</c:v>
                </c:pt>
                <c:pt idx="34">
                  <c:v>42916</c:v>
                </c:pt>
                <c:pt idx="35">
                  <c:v>42926</c:v>
                </c:pt>
                <c:pt idx="36">
                  <c:v>42936</c:v>
                </c:pt>
                <c:pt idx="37">
                  <c:v>42946</c:v>
                </c:pt>
                <c:pt idx="38">
                  <c:v>42957</c:v>
                </c:pt>
                <c:pt idx="39">
                  <c:v>42967</c:v>
                </c:pt>
                <c:pt idx="40">
                  <c:v>42977</c:v>
                </c:pt>
                <c:pt idx="41">
                  <c:v>42988</c:v>
                </c:pt>
                <c:pt idx="42">
                  <c:v>42998</c:v>
                </c:pt>
                <c:pt idx="43">
                  <c:v>43008</c:v>
                </c:pt>
                <c:pt idx="44">
                  <c:v>43018</c:v>
                </c:pt>
                <c:pt idx="45">
                  <c:v>43230</c:v>
                </c:pt>
                <c:pt idx="46">
                  <c:v>43240</c:v>
                </c:pt>
                <c:pt idx="47">
                  <c:v>43250</c:v>
                </c:pt>
                <c:pt idx="48">
                  <c:v>43261</c:v>
                </c:pt>
                <c:pt idx="49">
                  <c:v>43271</c:v>
                </c:pt>
                <c:pt idx="50">
                  <c:v>43281</c:v>
                </c:pt>
                <c:pt idx="51">
                  <c:v>43291</c:v>
                </c:pt>
                <c:pt idx="52">
                  <c:v>43301</c:v>
                </c:pt>
                <c:pt idx="53">
                  <c:v>43311</c:v>
                </c:pt>
                <c:pt idx="54">
                  <c:v>43322</c:v>
                </c:pt>
                <c:pt idx="55">
                  <c:v>43332</c:v>
                </c:pt>
                <c:pt idx="56">
                  <c:v>43342</c:v>
                </c:pt>
                <c:pt idx="57">
                  <c:v>43353</c:v>
                </c:pt>
                <c:pt idx="58">
                  <c:v>43363</c:v>
                </c:pt>
                <c:pt idx="59">
                  <c:v>43373</c:v>
                </c:pt>
                <c:pt idx="60">
                  <c:v>43383</c:v>
                </c:pt>
                <c:pt idx="61">
                  <c:v>43393</c:v>
                </c:pt>
                <c:pt idx="62">
                  <c:v>43605</c:v>
                </c:pt>
                <c:pt idx="63">
                  <c:v>43615</c:v>
                </c:pt>
                <c:pt idx="64">
                  <c:v>43626</c:v>
                </c:pt>
                <c:pt idx="65">
                  <c:v>43636</c:v>
                </c:pt>
                <c:pt idx="66">
                  <c:v>43646</c:v>
                </c:pt>
                <c:pt idx="67">
                  <c:v>43656</c:v>
                </c:pt>
                <c:pt idx="68">
                  <c:v>43666</c:v>
                </c:pt>
                <c:pt idx="69">
                  <c:v>43676</c:v>
                </c:pt>
                <c:pt idx="70">
                  <c:v>43687</c:v>
                </c:pt>
                <c:pt idx="71">
                  <c:v>43697</c:v>
                </c:pt>
                <c:pt idx="72">
                  <c:v>43707</c:v>
                </c:pt>
              </c:numCache>
            </c:numRef>
          </c:xVal>
          <c:yVal>
            <c:numRef>
              <c:f>'P2-07'!$F$10:$F$100</c:f>
              <c:numCache>
                <c:formatCode>0.0</c:formatCode>
                <c:ptCount val="91"/>
                <c:pt idx="0">
                  <c:v>738.03764745631929</c:v>
                </c:pt>
                <c:pt idx="1">
                  <c:v>738.09719248744898</c:v>
                </c:pt>
                <c:pt idx="2">
                  <c:v>738.38805624221504</c:v>
                </c:pt>
                <c:pt idx="3">
                  <c:v>738.50597582145019</c:v>
                </c:pt>
                <c:pt idx="4">
                  <c:v>738.55931137056268</c:v>
                </c:pt>
                <c:pt idx="5">
                  <c:v>738.63734982938308</c:v>
                </c:pt>
                <c:pt idx="6">
                  <c:v>738.7305667675447</c:v>
                </c:pt>
                <c:pt idx="7">
                  <c:v>738.73914652797453</c:v>
                </c:pt>
                <c:pt idx="8">
                  <c:v>737.63181438419053</c:v>
                </c:pt>
                <c:pt idx="9">
                  <c:v>737.54766038245293</c:v>
                </c:pt>
                <c:pt idx="10">
                  <c:v>737.39946431325768</c:v>
                </c:pt>
                <c:pt idx="11">
                  <c:v>737.4060595787646</c:v>
                </c:pt>
                <c:pt idx="12">
                  <c:v>737.40638658114517</c:v>
                </c:pt>
                <c:pt idx="13">
                  <c:v>737.51177912719106</c:v>
                </c:pt>
                <c:pt idx="14">
                  <c:v>737.50973773608825</c:v>
                </c:pt>
                <c:pt idx="15">
                  <c:v>737.47550599512238</c:v>
                </c:pt>
                <c:pt idx="16">
                  <c:v>737.43591527583465</c:v>
                </c:pt>
                <c:pt idx="17">
                  <c:v>735.96618197906628</c:v>
                </c:pt>
                <c:pt idx="18">
                  <c:v>736.12130428709941</c:v>
                </c:pt>
                <c:pt idx="19">
                  <c:v>737.92199794748365</c:v>
                </c:pt>
                <c:pt idx="20">
                  <c:v>737.07494325494588</c:v>
                </c:pt>
                <c:pt idx="21">
                  <c:v>736.67300383174791</c:v>
                </c:pt>
                <c:pt idx="22">
                  <c:v>736.86772066180856</c:v>
                </c:pt>
                <c:pt idx="23">
                  <c:v>737.00170066739042</c:v>
                </c:pt>
                <c:pt idx="24">
                  <c:v>737.03921514716194</c:v>
                </c:pt>
                <c:pt idx="25">
                  <c:v>737.13418477075072</c:v>
                </c:pt>
                <c:pt idx="26">
                  <c:v>737.25387423593293</c:v>
                </c:pt>
                <c:pt idx="27">
                  <c:v>737.41136871753361</c:v>
                </c:pt>
                <c:pt idx="28">
                  <c:v>737.66175770047312</c:v>
                </c:pt>
                <c:pt idx="29">
                  <c:v>737.39258795793921</c:v>
                </c:pt>
                <c:pt idx="30">
                  <c:v>737.14938089182317</c:v>
                </c:pt>
                <c:pt idx="31">
                  <c:v>737.10293577590812</c:v>
                </c:pt>
                <c:pt idx="32">
                  <c:v>737.0311906888079</c:v>
                </c:pt>
                <c:pt idx="33">
                  <c:v>737.0311906888079</c:v>
                </c:pt>
                <c:pt idx="34">
                  <c:v>737.1773804518017</c:v>
                </c:pt>
                <c:pt idx="35">
                  <c:v>736.96659102463946</c:v>
                </c:pt>
                <c:pt idx="36">
                  <c:v>737.01095858126769</c:v>
                </c:pt>
                <c:pt idx="37">
                  <c:v>736.90348654197817</c:v>
                </c:pt>
                <c:pt idx="38">
                  <c:v>737.01216274911746</c:v>
                </c:pt>
                <c:pt idx="39">
                  <c:v>736.96750395568893</c:v>
                </c:pt>
                <c:pt idx="40">
                  <c:v>737.26399856306625</c:v>
                </c:pt>
                <c:pt idx="41">
                  <c:v>737.09940314003211</c:v>
                </c:pt>
                <c:pt idx="42">
                  <c:v>736.95412628364761</c:v>
                </c:pt>
                <c:pt idx="43">
                  <c:v>736.94490348298484</c:v>
                </c:pt>
                <c:pt idx="44">
                  <c:v>736.94639883541834</c:v>
                </c:pt>
                <c:pt idx="45">
                  <c:v>736.90086697424954</c:v>
                </c:pt>
                <c:pt idx="46">
                  <c:v>736.8579943770718</c:v>
                </c:pt>
                <c:pt idx="47">
                  <c:v>736.91515784990668</c:v>
                </c:pt>
                <c:pt idx="48">
                  <c:v>736.97024415705823</c:v>
                </c:pt>
                <c:pt idx="49">
                  <c:v>738.0477255359657</c:v>
                </c:pt>
                <c:pt idx="50">
                  <c:v>737.8470678500131</c:v>
                </c:pt>
                <c:pt idx="51">
                  <c:v>737.75292488150274</c:v>
                </c:pt>
                <c:pt idx="52">
                  <c:v>737.49036971735359</c:v>
                </c:pt>
                <c:pt idx="53">
                  <c:v>737.46091615010278</c:v>
                </c:pt>
                <c:pt idx="54">
                  <c:v>737.8184854109594</c:v>
                </c:pt>
                <c:pt idx="55">
                  <c:v>737.4919096988574</c:v>
                </c:pt>
                <c:pt idx="56">
                  <c:v>737.64018072472038</c:v>
                </c:pt>
                <c:pt idx="57">
                  <c:v>737.78010046947111</c:v>
                </c:pt>
                <c:pt idx="58">
                  <c:v>738.04241283382851</c:v>
                </c:pt>
                <c:pt idx="59">
                  <c:v>737.76165618039033</c:v>
                </c:pt>
                <c:pt idx="60">
                  <c:v>737.70806402336962</c:v>
                </c:pt>
                <c:pt idx="61">
                  <c:v>737.65954097528015</c:v>
                </c:pt>
                <c:pt idx="62">
                  <c:v>737.35261548368237</c:v>
                </c:pt>
                <c:pt idx="63">
                  <c:v>737.29366442204844</c:v>
                </c:pt>
                <c:pt idx="64">
                  <c:v>737.4127277146838</c:v>
                </c:pt>
                <c:pt idx="65">
                  <c:v>737.45796821390286</c:v>
                </c:pt>
                <c:pt idx="66">
                  <c:v>737.51633870074556</c:v>
                </c:pt>
                <c:pt idx="67">
                  <c:v>737.53898149420138</c:v>
                </c:pt>
                <c:pt idx="68">
                  <c:v>737.53661479523851</c:v>
                </c:pt>
                <c:pt idx="69">
                  <c:v>737.53960741505318</c:v>
                </c:pt>
                <c:pt idx="70">
                  <c:v>737.83615221657294</c:v>
                </c:pt>
                <c:pt idx="71">
                  <c:v>738.16813828140675</c:v>
                </c:pt>
                <c:pt idx="72">
                  <c:v>738.40573505335146</c:v>
                </c:pt>
              </c:numCache>
            </c:numRef>
          </c:yVal>
          <c:smooth val="1"/>
        </c:ser>
        <c:ser>
          <c:idx val="2"/>
          <c:order val="2"/>
          <c:tx>
            <c:v>P2-8</c:v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'P2-08'!$A$10:$A$100</c:f>
              <c:numCache>
                <c:formatCode>m/d/yyyy</c:formatCode>
                <c:ptCount val="91"/>
                <c:pt idx="0">
                  <c:v>42232</c:v>
                </c:pt>
                <c:pt idx="1">
                  <c:v>42233</c:v>
                </c:pt>
                <c:pt idx="2">
                  <c:v>42234</c:v>
                </c:pt>
                <c:pt idx="3">
                  <c:v>42235</c:v>
                </c:pt>
                <c:pt idx="4">
                  <c:v>42236</c:v>
                </c:pt>
                <c:pt idx="5">
                  <c:v>42237</c:v>
                </c:pt>
                <c:pt idx="6">
                  <c:v>42238</c:v>
                </c:pt>
                <c:pt idx="7">
                  <c:v>42245</c:v>
                </c:pt>
                <c:pt idx="8">
                  <c:v>42252</c:v>
                </c:pt>
                <c:pt idx="9">
                  <c:v>42259</c:v>
                </c:pt>
                <c:pt idx="10">
                  <c:v>42266</c:v>
                </c:pt>
                <c:pt idx="11">
                  <c:v>42273</c:v>
                </c:pt>
                <c:pt idx="12">
                  <c:v>42280</c:v>
                </c:pt>
                <c:pt idx="13">
                  <c:v>42287</c:v>
                </c:pt>
                <c:pt idx="14">
                  <c:v>42294</c:v>
                </c:pt>
                <c:pt idx="15">
                  <c:v>42297</c:v>
                </c:pt>
                <c:pt idx="16">
                  <c:v>42301</c:v>
                </c:pt>
                <c:pt idx="17">
                  <c:v>42521</c:v>
                </c:pt>
                <c:pt idx="18">
                  <c:v>42531</c:v>
                </c:pt>
                <c:pt idx="19">
                  <c:v>42541</c:v>
                </c:pt>
                <c:pt idx="20">
                  <c:v>42551</c:v>
                </c:pt>
                <c:pt idx="21">
                  <c:v>42561</c:v>
                </c:pt>
                <c:pt idx="22">
                  <c:v>42571</c:v>
                </c:pt>
                <c:pt idx="23">
                  <c:v>42581</c:v>
                </c:pt>
                <c:pt idx="24">
                  <c:v>42592</c:v>
                </c:pt>
                <c:pt idx="25">
                  <c:v>42602</c:v>
                </c:pt>
                <c:pt idx="26">
                  <c:v>42612</c:v>
                </c:pt>
                <c:pt idx="27">
                  <c:v>42623</c:v>
                </c:pt>
                <c:pt idx="28">
                  <c:v>42633</c:v>
                </c:pt>
                <c:pt idx="29">
                  <c:v>42643</c:v>
                </c:pt>
                <c:pt idx="30">
                  <c:v>42883</c:v>
                </c:pt>
                <c:pt idx="31">
                  <c:v>42885</c:v>
                </c:pt>
                <c:pt idx="32">
                  <c:v>42896</c:v>
                </c:pt>
                <c:pt idx="33">
                  <c:v>42906</c:v>
                </c:pt>
                <c:pt idx="34">
                  <c:v>42916</c:v>
                </c:pt>
                <c:pt idx="35">
                  <c:v>42926</c:v>
                </c:pt>
                <c:pt idx="36">
                  <c:v>42936</c:v>
                </c:pt>
                <c:pt idx="37">
                  <c:v>42946</c:v>
                </c:pt>
                <c:pt idx="38">
                  <c:v>42957</c:v>
                </c:pt>
                <c:pt idx="39">
                  <c:v>42967</c:v>
                </c:pt>
                <c:pt idx="40">
                  <c:v>42977</c:v>
                </c:pt>
                <c:pt idx="41">
                  <c:v>42988</c:v>
                </c:pt>
                <c:pt idx="42">
                  <c:v>42998</c:v>
                </c:pt>
                <c:pt idx="43">
                  <c:v>43008</c:v>
                </c:pt>
                <c:pt idx="44">
                  <c:v>43018</c:v>
                </c:pt>
                <c:pt idx="45">
                  <c:v>43230</c:v>
                </c:pt>
                <c:pt idx="46">
                  <c:v>43240</c:v>
                </c:pt>
                <c:pt idx="47">
                  <c:v>43250</c:v>
                </c:pt>
                <c:pt idx="48">
                  <c:v>43261</c:v>
                </c:pt>
                <c:pt idx="49">
                  <c:v>43271</c:v>
                </c:pt>
                <c:pt idx="50">
                  <c:v>43281</c:v>
                </c:pt>
                <c:pt idx="51">
                  <c:v>43291</c:v>
                </c:pt>
                <c:pt idx="52">
                  <c:v>43301</c:v>
                </c:pt>
                <c:pt idx="53">
                  <c:v>43311</c:v>
                </c:pt>
                <c:pt idx="54">
                  <c:v>43322</c:v>
                </c:pt>
                <c:pt idx="55">
                  <c:v>43332</c:v>
                </c:pt>
                <c:pt idx="56">
                  <c:v>43342</c:v>
                </c:pt>
                <c:pt idx="57">
                  <c:v>43353</c:v>
                </c:pt>
                <c:pt idx="58">
                  <c:v>43363</c:v>
                </c:pt>
                <c:pt idx="59">
                  <c:v>43373</c:v>
                </c:pt>
                <c:pt idx="60">
                  <c:v>43383</c:v>
                </c:pt>
                <c:pt idx="61">
                  <c:v>43393</c:v>
                </c:pt>
                <c:pt idx="62">
                  <c:v>43605</c:v>
                </c:pt>
                <c:pt idx="63">
                  <c:v>43615</c:v>
                </c:pt>
                <c:pt idx="64">
                  <c:v>43626</c:v>
                </c:pt>
                <c:pt idx="65">
                  <c:v>43636</c:v>
                </c:pt>
                <c:pt idx="66">
                  <c:v>43646</c:v>
                </c:pt>
                <c:pt idx="67">
                  <c:v>43656</c:v>
                </c:pt>
                <c:pt idx="68">
                  <c:v>43666</c:v>
                </c:pt>
                <c:pt idx="69">
                  <c:v>43676</c:v>
                </c:pt>
                <c:pt idx="70">
                  <c:v>43687</c:v>
                </c:pt>
                <c:pt idx="71">
                  <c:v>43697</c:v>
                </c:pt>
                <c:pt idx="72">
                  <c:v>43707</c:v>
                </c:pt>
              </c:numCache>
            </c:numRef>
          </c:xVal>
          <c:yVal>
            <c:numRef>
              <c:f>'P2-08'!$F$10:$F$100</c:f>
              <c:numCache>
                <c:formatCode>0.0</c:formatCode>
                <c:ptCount val="91"/>
                <c:pt idx="0">
                  <c:v>738.25401225960854</c:v>
                </c:pt>
                <c:pt idx="1">
                  <c:v>738.47405261204426</c:v>
                </c:pt>
                <c:pt idx="2">
                  <c:v>738.69874792393136</c:v>
                </c:pt>
                <c:pt idx="3">
                  <c:v>738.76826290548183</c:v>
                </c:pt>
                <c:pt idx="4">
                  <c:v>738.79471040757608</c:v>
                </c:pt>
                <c:pt idx="5">
                  <c:v>738.83075961724774</c:v>
                </c:pt>
                <c:pt idx="6">
                  <c:v>738.83470840743132</c:v>
                </c:pt>
                <c:pt idx="7">
                  <c:v>738.5253781663647</c:v>
                </c:pt>
                <c:pt idx="8">
                  <c:v>738.10663381884763</c:v>
                </c:pt>
                <c:pt idx="9">
                  <c:v>738.02661187474553</c:v>
                </c:pt>
                <c:pt idx="10">
                  <c:v>737.88117796753613</c:v>
                </c:pt>
                <c:pt idx="11">
                  <c:v>737.85463748108282</c:v>
                </c:pt>
                <c:pt idx="12">
                  <c:v>737.84266276403991</c:v>
                </c:pt>
                <c:pt idx="13">
                  <c:v>737.97192755319952</c:v>
                </c:pt>
                <c:pt idx="14">
                  <c:v>737.95616658353185</c:v>
                </c:pt>
                <c:pt idx="15">
                  <c:v>737.92185489991414</c:v>
                </c:pt>
                <c:pt idx="16">
                  <c:v>737.9142745314814</c:v>
                </c:pt>
                <c:pt idx="17">
                  <c:v>736.31401935016333</c:v>
                </c:pt>
                <c:pt idx="18">
                  <c:v>736.46462181824916</c:v>
                </c:pt>
                <c:pt idx="19">
                  <c:v>738.27060478367957</c:v>
                </c:pt>
                <c:pt idx="20">
                  <c:v>737.57634905285249</c:v>
                </c:pt>
                <c:pt idx="21">
                  <c:v>736.99204842165273</c:v>
                </c:pt>
                <c:pt idx="22">
                  <c:v>737.21986289463837</c:v>
                </c:pt>
                <c:pt idx="23">
                  <c:v>737.35252444613502</c:v>
                </c:pt>
                <c:pt idx="24">
                  <c:v>737.44050039007607</c:v>
                </c:pt>
                <c:pt idx="25">
                  <c:v>737.55002222209191</c:v>
                </c:pt>
                <c:pt idx="26">
                  <c:v>737.65575598928626</c:v>
                </c:pt>
                <c:pt idx="27">
                  <c:v>737.80458272138264</c:v>
                </c:pt>
                <c:pt idx="28">
                  <c:v>738.04677858079924</c:v>
                </c:pt>
                <c:pt idx="29">
                  <c:v>737.7918167878496</c:v>
                </c:pt>
                <c:pt idx="30">
                  <c:v>737.44867551422817</c:v>
                </c:pt>
                <c:pt idx="31">
                  <c:v>737.39122239756205</c:v>
                </c:pt>
                <c:pt idx="32">
                  <c:v>737.33576406618795</c:v>
                </c:pt>
                <c:pt idx="33">
                  <c:v>737.2908792570812</c:v>
                </c:pt>
                <c:pt idx="34">
                  <c:v>737.45086878895086</c:v>
                </c:pt>
                <c:pt idx="35">
                  <c:v>737.19771884834279</c:v>
                </c:pt>
                <c:pt idx="36">
                  <c:v>737.02057476906998</c:v>
                </c:pt>
                <c:pt idx="37">
                  <c:v>737.16021575061393</c:v>
                </c:pt>
                <c:pt idx="38">
                  <c:v>737.23203052675751</c:v>
                </c:pt>
                <c:pt idx="39">
                  <c:v>737.18734596159402</c:v>
                </c:pt>
                <c:pt idx="40">
                  <c:v>737.58272801028829</c:v>
                </c:pt>
                <c:pt idx="41">
                  <c:v>737.34055127431054</c:v>
                </c:pt>
                <c:pt idx="42">
                  <c:v>737.14425728592721</c:v>
                </c:pt>
                <c:pt idx="43">
                  <c:v>737.01977801600299</c:v>
                </c:pt>
                <c:pt idx="44">
                  <c:v>737.1370758526507</c:v>
                </c:pt>
                <c:pt idx="45">
                  <c:v>737.03294547687346</c:v>
                </c:pt>
                <c:pt idx="46">
                  <c:v>737.00980620303346</c:v>
                </c:pt>
                <c:pt idx="47">
                  <c:v>737.07084781673041</c:v>
                </c:pt>
                <c:pt idx="48">
                  <c:v>737.11373621949872</c:v>
                </c:pt>
                <c:pt idx="49">
                  <c:v>738.18939191649667</c:v>
                </c:pt>
                <c:pt idx="50">
                  <c:v>738.01503289567211</c:v>
                </c:pt>
                <c:pt idx="51">
                  <c:v>737.9649479688976</c:v>
                </c:pt>
                <c:pt idx="52">
                  <c:v>737.65813665718895</c:v>
                </c:pt>
                <c:pt idx="53">
                  <c:v>737.61105821254898</c:v>
                </c:pt>
                <c:pt idx="54">
                  <c:v>737.9216688402862</c:v>
                </c:pt>
                <c:pt idx="55">
                  <c:v>737.73673799786764</c:v>
                </c:pt>
                <c:pt idx="56">
                  <c:v>737.84266896349186</c:v>
                </c:pt>
                <c:pt idx="57">
                  <c:v>737.89812982212402</c:v>
                </c:pt>
                <c:pt idx="58">
                  <c:v>738.14949613844965</c:v>
                </c:pt>
                <c:pt idx="59">
                  <c:v>737.74512004969188</c:v>
                </c:pt>
                <c:pt idx="60">
                  <c:v>737.7199838171</c:v>
                </c:pt>
                <c:pt idx="61">
                  <c:v>737.65874044382917</c:v>
                </c:pt>
                <c:pt idx="62">
                  <c:v>737.30464492933265</c:v>
                </c:pt>
                <c:pt idx="63">
                  <c:v>737.3104293441653</c:v>
                </c:pt>
                <c:pt idx="64">
                  <c:v>737.34134946835786</c:v>
                </c:pt>
                <c:pt idx="65">
                  <c:v>737.34334414506736</c:v>
                </c:pt>
                <c:pt idx="66">
                  <c:v>737.34653644141133</c:v>
                </c:pt>
                <c:pt idx="67">
                  <c:v>737.43271573637173</c:v>
                </c:pt>
                <c:pt idx="68">
                  <c:v>737.58692302551128</c:v>
                </c:pt>
                <c:pt idx="69">
                  <c:v>737.64417855036208</c:v>
                </c:pt>
                <c:pt idx="70">
                  <c:v>737.91529290820745</c:v>
                </c:pt>
                <c:pt idx="71">
                  <c:v>738.19519292208122</c:v>
                </c:pt>
                <c:pt idx="72">
                  <c:v>738.45015844122054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6041072"/>
        <c:axId val="-186034000"/>
      </c:scatterChart>
      <c:valAx>
        <c:axId val="-186041072"/>
        <c:scaling>
          <c:orientation val="minMax"/>
          <c:min val="42217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prstDash val="sys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lang="zh-CN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>
                    <a:solidFill>
                      <a:sysClr val="windowText" lastClr="000000"/>
                    </a:solidFill>
                  </a:rPr>
                  <a:t>日期</a:t>
                </a:r>
              </a:p>
            </c:rich>
          </c:tx>
          <c:layout>
            <c:manualLayout>
              <c:xMode val="edge"/>
              <c:yMode val="edge"/>
              <c:x val="0.86036004087275109"/>
              <c:y val="0.87094853209574352"/>
            </c:manualLayout>
          </c:layout>
          <c:overlay val="0"/>
          <c:spPr>
            <a:noFill/>
            <a:ln w="25400">
              <a:noFill/>
            </a:ln>
          </c:spPr>
        </c:title>
        <c:numFmt formatCode="yyyy/m/d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-186034000"/>
        <c:crosses val="autoZero"/>
        <c:crossBetween val="midCat"/>
        <c:majorUnit val="248"/>
      </c:valAx>
      <c:valAx>
        <c:axId val="-18603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prstDash val="sys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>
                  <a:defRPr lang="zh-CN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>
                    <a:solidFill>
                      <a:sysClr val="windowText" lastClr="000000"/>
                    </a:solidFill>
                  </a:rPr>
                  <a:t>水位</a:t>
                </a:r>
                <a:r>
                  <a:rPr lang="en-US" altLang="zh-CN">
                    <a:solidFill>
                      <a:sysClr val="windowText" lastClr="000000"/>
                    </a:solidFill>
                  </a:rPr>
                  <a:t>(m)</a:t>
                </a:r>
                <a:endParaRPr lang="zh-CN" altLang="en-US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1.2510668990803626E-2"/>
              <c:y val="0.39679790026246886"/>
            </c:manualLayout>
          </c:layout>
          <c:overlay val="0"/>
          <c:spPr>
            <a:noFill/>
            <a:ln w="25400">
              <a:noFill/>
            </a:ln>
          </c:spPr>
        </c:title>
        <c:numFmt formatCode="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86041072"/>
        <c:crosses val="autoZero"/>
        <c:crossBetween val="midCat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wMode val="edge"/>
          <c:hMode val="edge"/>
          <c:x val="0.30178537797279326"/>
          <c:y val="0.89409674784029458"/>
          <c:w val="0.74170924245156822"/>
          <c:h val="0.96860058055656961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horzOverflow="overflow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000000000000433" l="0.70000000000000062" r="0.70000000000000062" t="0.75000000000000433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767825896762906"/>
          <c:y val="0.1388888888888889"/>
          <c:w val="0.79166907261592778"/>
          <c:h val="0.67095654709828423"/>
        </c:manualLayout>
      </c:layout>
      <c:scatterChart>
        <c:scatterStyle val="smoothMarker"/>
        <c:varyColors val="0"/>
        <c:ser>
          <c:idx val="0"/>
          <c:order val="0"/>
          <c:tx>
            <c:v>P2-9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'P2-09'!$A$8:$A$27</c:f>
              <c:numCache>
                <c:formatCode>m/d/yyyy</c:formatCode>
                <c:ptCount val="20"/>
                <c:pt idx="0">
                  <c:v>42529</c:v>
                </c:pt>
                <c:pt idx="1">
                  <c:v>42530</c:v>
                </c:pt>
                <c:pt idx="2">
                  <c:v>42530</c:v>
                </c:pt>
                <c:pt idx="3">
                  <c:v>42531</c:v>
                </c:pt>
                <c:pt idx="4">
                  <c:v>42532</c:v>
                </c:pt>
                <c:pt idx="5">
                  <c:v>42533</c:v>
                </c:pt>
                <c:pt idx="6">
                  <c:v>42534</c:v>
                </c:pt>
                <c:pt idx="7">
                  <c:v>42535</c:v>
                </c:pt>
                <c:pt idx="8">
                  <c:v>42536</c:v>
                </c:pt>
                <c:pt idx="9">
                  <c:v>42537</c:v>
                </c:pt>
                <c:pt idx="10">
                  <c:v>42538</c:v>
                </c:pt>
                <c:pt idx="11">
                  <c:v>42544</c:v>
                </c:pt>
                <c:pt idx="12">
                  <c:v>42551</c:v>
                </c:pt>
                <c:pt idx="13">
                  <c:v>42561</c:v>
                </c:pt>
                <c:pt idx="14">
                  <c:v>42571</c:v>
                </c:pt>
                <c:pt idx="15">
                  <c:v>42581</c:v>
                </c:pt>
                <c:pt idx="16">
                  <c:v>42592</c:v>
                </c:pt>
                <c:pt idx="17">
                  <c:v>42602</c:v>
                </c:pt>
                <c:pt idx="18">
                  <c:v>42612</c:v>
                </c:pt>
                <c:pt idx="19">
                  <c:v>42623</c:v>
                </c:pt>
              </c:numCache>
            </c:numRef>
          </c:xVal>
          <c:yVal>
            <c:numRef>
              <c:f>'P2-09'!$F$8:$F$27</c:f>
              <c:numCache>
                <c:formatCode>0.0</c:formatCode>
                <c:ptCount val="20"/>
                <c:pt idx="0">
                  <c:v>737.68722730328125</c:v>
                </c:pt>
                <c:pt idx="1">
                  <c:v>737.92692881047378</c:v>
                </c:pt>
                <c:pt idx="2">
                  <c:v>737.8367388700326</c:v>
                </c:pt>
                <c:pt idx="3">
                  <c:v>737.80461387574087</c:v>
                </c:pt>
                <c:pt idx="4">
                  <c:v>737.77974249423119</c:v>
                </c:pt>
                <c:pt idx="5">
                  <c:v>737.7730486861692</c:v>
                </c:pt>
                <c:pt idx="6">
                  <c:v>737.77011247953635</c:v>
                </c:pt>
                <c:pt idx="7">
                  <c:v>737.74809141847709</c:v>
                </c:pt>
                <c:pt idx="8">
                  <c:v>737.74139886662624</c:v>
                </c:pt>
                <c:pt idx="9">
                  <c:v>737.72818704063491</c:v>
                </c:pt>
                <c:pt idx="10">
                  <c:v>737.72589916764343</c:v>
                </c:pt>
                <c:pt idx="11">
                  <c:v>737.74153321891515</c:v>
                </c:pt>
                <c:pt idx="12">
                  <c:v>737.67066262727906</c:v>
                </c:pt>
                <c:pt idx="13">
                  <c:v>737.69081573771427</c:v>
                </c:pt>
                <c:pt idx="14">
                  <c:v>737.82508978609167</c:v>
                </c:pt>
                <c:pt idx="15">
                  <c:v>737.72123644234398</c:v>
                </c:pt>
                <c:pt idx="16">
                  <c:v>737.72541135131144</c:v>
                </c:pt>
                <c:pt idx="17">
                  <c:v>737.77870858315055</c:v>
                </c:pt>
                <c:pt idx="18">
                  <c:v>737.88429680695162</c:v>
                </c:pt>
                <c:pt idx="19">
                  <c:v>737.81610214002217</c:v>
                </c:pt>
              </c:numCache>
            </c:numRef>
          </c:yVal>
          <c:smooth val="1"/>
        </c:ser>
        <c:ser>
          <c:idx val="1"/>
          <c:order val="1"/>
          <c:tx>
            <c:v>P2-10</c:v>
          </c:tx>
          <c:spPr>
            <a:ln w="19050" cap="rnd">
              <a:solidFill>
                <a:schemeClr val="tx1"/>
              </a:solidFill>
              <a:prstDash val="lgDashDotDot"/>
              <a:round/>
            </a:ln>
            <a:effectLst/>
          </c:spPr>
          <c:marker>
            <c:symbol val="none"/>
          </c:marker>
          <c:xVal>
            <c:numRef>
              <c:f>'P2-10'!$A$9:$A$27</c:f>
              <c:numCache>
                <c:formatCode>m/d/yyyy</c:formatCode>
                <c:ptCount val="19"/>
                <c:pt idx="0">
                  <c:v>42530</c:v>
                </c:pt>
                <c:pt idx="1">
                  <c:v>42530</c:v>
                </c:pt>
                <c:pt idx="2">
                  <c:v>42531</c:v>
                </c:pt>
                <c:pt idx="3">
                  <c:v>42532</c:v>
                </c:pt>
                <c:pt idx="4">
                  <c:v>42533</c:v>
                </c:pt>
                <c:pt idx="5">
                  <c:v>42534</c:v>
                </c:pt>
                <c:pt idx="6">
                  <c:v>42535</c:v>
                </c:pt>
                <c:pt idx="7">
                  <c:v>42536</c:v>
                </c:pt>
                <c:pt idx="8">
                  <c:v>42537</c:v>
                </c:pt>
                <c:pt idx="9">
                  <c:v>42538</c:v>
                </c:pt>
                <c:pt idx="10">
                  <c:v>42544</c:v>
                </c:pt>
                <c:pt idx="11">
                  <c:v>42551</c:v>
                </c:pt>
                <c:pt idx="12">
                  <c:v>42561</c:v>
                </c:pt>
                <c:pt idx="13">
                  <c:v>42571</c:v>
                </c:pt>
                <c:pt idx="14">
                  <c:v>42581</c:v>
                </c:pt>
                <c:pt idx="15">
                  <c:v>42592</c:v>
                </c:pt>
                <c:pt idx="16">
                  <c:v>42602</c:v>
                </c:pt>
                <c:pt idx="17">
                  <c:v>42612</c:v>
                </c:pt>
                <c:pt idx="18">
                  <c:v>42623</c:v>
                </c:pt>
              </c:numCache>
            </c:numRef>
          </c:xVal>
          <c:yVal>
            <c:numRef>
              <c:f>'P2-10'!$F$9:$F$27</c:f>
              <c:numCache>
                <c:formatCode>0.0</c:formatCode>
                <c:ptCount val="19"/>
                <c:pt idx="0">
                  <c:v>733.98374806574861</c:v>
                </c:pt>
                <c:pt idx="1">
                  <c:v>735.22579253513481</c:v>
                </c:pt>
                <c:pt idx="2">
                  <c:v>735.21540959359629</c:v>
                </c:pt>
                <c:pt idx="3">
                  <c:v>735.21935478014495</c:v>
                </c:pt>
                <c:pt idx="4">
                  <c:v>735.22293129352488</c:v>
                </c:pt>
                <c:pt idx="5">
                  <c:v>735.26227577375528</c:v>
                </c:pt>
                <c:pt idx="6">
                  <c:v>735.27873046018317</c:v>
                </c:pt>
                <c:pt idx="7">
                  <c:v>735.25154494586502</c:v>
                </c:pt>
                <c:pt idx="8">
                  <c:v>735.22507722215687</c:v>
                </c:pt>
                <c:pt idx="9">
                  <c:v>735.25226032237197</c:v>
                </c:pt>
                <c:pt idx="10">
                  <c:v>737.07155213058218</c:v>
                </c:pt>
                <c:pt idx="11">
                  <c:v>736.0807054850244</c:v>
                </c:pt>
                <c:pt idx="12">
                  <c:v>735.82544067323454</c:v>
                </c:pt>
                <c:pt idx="13">
                  <c:v>735.92039058528576</c:v>
                </c:pt>
                <c:pt idx="14">
                  <c:v>736.03903185764682</c:v>
                </c:pt>
                <c:pt idx="15">
                  <c:v>735.9712312887707</c:v>
                </c:pt>
                <c:pt idx="16">
                  <c:v>735.96647399252402</c:v>
                </c:pt>
                <c:pt idx="17">
                  <c:v>736.09619731182545</c:v>
                </c:pt>
                <c:pt idx="18">
                  <c:v>736.24533488149166</c:v>
                </c:pt>
              </c:numCache>
            </c:numRef>
          </c:yVal>
          <c:smooth val="1"/>
        </c:ser>
        <c:ser>
          <c:idx val="2"/>
          <c:order val="2"/>
          <c:tx>
            <c:v>P2-11</c:v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'P2-11'!$A$9:$A$27</c:f>
              <c:numCache>
                <c:formatCode>m/d/yyyy</c:formatCode>
                <c:ptCount val="19"/>
                <c:pt idx="0">
                  <c:v>42530</c:v>
                </c:pt>
                <c:pt idx="1">
                  <c:v>42530</c:v>
                </c:pt>
                <c:pt idx="2">
                  <c:v>42531</c:v>
                </c:pt>
                <c:pt idx="3">
                  <c:v>42532</c:v>
                </c:pt>
                <c:pt idx="4">
                  <c:v>42533</c:v>
                </c:pt>
                <c:pt idx="5">
                  <c:v>42534</c:v>
                </c:pt>
                <c:pt idx="6">
                  <c:v>42535</c:v>
                </c:pt>
                <c:pt idx="7">
                  <c:v>42536</c:v>
                </c:pt>
                <c:pt idx="8">
                  <c:v>42537</c:v>
                </c:pt>
                <c:pt idx="9">
                  <c:v>42538</c:v>
                </c:pt>
                <c:pt idx="10">
                  <c:v>42544</c:v>
                </c:pt>
                <c:pt idx="11">
                  <c:v>42551</c:v>
                </c:pt>
                <c:pt idx="12">
                  <c:v>42561</c:v>
                </c:pt>
                <c:pt idx="13">
                  <c:v>42571</c:v>
                </c:pt>
                <c:pt idx="14">
                  <c:v>42581</c:v>
                </c:pt>
                <c:pt idx="15">
                  <c:v>42592</c:v>
                </c:pt>
                <c:pt idx="16">
                  <c:v>42602</c:v>
                </c:pt>
                <c:pt idx="17">
                  <c:v>42612</c:v>
                </c:pt>
                <c:pt idx="18">
                  <c:v>42623</c:v>
                </c:pt>
              </c:numCache>
            </c:numRef>
          </c:xVal>
          <c:yVal>
            <c:numRef>
              <c:f>'P2-11'!$F$9:$F$27</c:f>
              <c:numCache>
                <c:formatCode>0.0</c:formatCode>
                <c:ptCount val="19"/>
                <c:pt idx="0">
                  <c:v>735.15898809649525</c:v>
                </c:pt>
                <c:pt idx="1">
                  <c:v>734.91312286623918</c:v>
                </c:pt>
                <c:pt idx="2">
                  <c:v>734.8518138331674</c:v>
                </c:pt>
                <c:pt idx="3">
                  <c:v>734.85951747671061</c:v>
                </c:pt>
                <c:pt idx="4">
                  <c:v>734.83672672910143</c:v>
                </c:pt>
                <c:pt idx="5">
                  <c:v>734.92390802329055</c:v>
                </c:pt>
                <c:pt idx="6">
                  <c:v>734.95934509354583</c:v>
                </c:pt>
                <c:pt idx="7">
                  <c:v>734.90882101100954</c:v>
                </c:pt>
                <c:pt idx="8">
                  <c:v>734.85213405807394</c:v>
                </c:pt>
                <c:pt idx="9">
                  <c:v>734.87986734200945</c:v>
                </c:pt>
                <c:pt idx="10">
                  <c:v>736.6677007798985</c:v>
                </c:pt>
                <c:pt idx="11">
                  <c:v>735.71378589728727</c:v>
                </c:pt>
                <c:pt idx="12">
                  <c:v>735.43212210689819</c:v>
                </c:pt>
                <c:pt idx="13">
                  <c:v>735.52335861548249</c:v>
                </c:pt>
                <c:pt idx="14">
                  <c:v>735.63308867416436</c:v>
                </c:pt>
                <c:pt idx="15">
                  <c:v>735.58840137308698</c:v>
                </c:pt>
                <c:pt idx="16">
                  <c:v>735.57023426595686</c:v>
                </c:pt>
                <c:pt idx="17">
                  <c:v>735.70275633975336</c:v>
                </c:pt>
                <c:pt idx="18">
                  <c:v>735.85993717528936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6044336"/>
        <c:axId val="-186046512"/>
      </c:scatterChart>
      <c:scatterChart>
        <c:scatterStyle val="smoothMarker"/>
        <c:varyColors val="0"/>
        <c:ser>
          <c:idx val="3"/>
          <c:order val="3"/>
          <c:tx>
            <c:v>填筑高程</c:v>
          </c:tx>
          <c:spPr>
            <a:ln w="15875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'P2-09'!$A$9:$A$27</c:f>
              <c:numCache>
                <c:formatCode>m/d/yyyy</c:formatCode>
                <c:ptCount val="19"/>
                <c:pt idx="0">
                  <c:v>42530</c:v>
                </c:pt>
                <c:pt idx="1">
                  <c:v>42530</c:v>
                </c:pt>
                <c:pt idx="2">
                  <c:v>42531</c:v>
                </c:pt>
                <c:pt idx="3">
                  <c:v>42532</c:v>
                </c:pt>
                <c:pt idx="4">
                  <c:v>42533</c:v>
                </c:pt>
                <c:pt idx="5">
                  <c:v>42534</c:v>
                </c:pt>
                <c:pt idx="6">
                  <c:v>42535</c:v>
                </c:pt>
                <c:pt idx="7">
                  <c:v>42536</c:v>
                </c:pt>
                <c:pt idx="8">
                  <c:v>42537</c:v>
                </c:pt>
                <c:pt idx="9">
                  <c:v>42538</c:v>
                </c:pt>
                <c:pt idx="10">
                  <c:v>42544</c:v>
                </c:pt>
                <c:pt idx="11">
                  <c:v>42551</c:v>
                </c:pt>
                <c:pt idx="12">
                  <c:v>42561</c:v>
                </c:pt>
                <c:pt idx="13">
                  <c:v>42571</c:v>
                </c:pt>
                <c:pt idx="14">
                  <c:v>42581</c:v>
                </c:pt>
                <c:pt idx="15">
                  <c:v>42592</c:v>
                </c:pt>
                <c:pt idx="16">
                  <c:v>42602</c:v>
                </c:pt>
                <c:pt idx="17">
                  <c:v>42612</c:v>
                </c:pt>
                <c:pt idx="18">
                  <c:v>42623</c:v>
                </c:pt>
              </c:numCache>
            </c:numRef>
          </c:xVal>
          <c:yVal>
            <c:numRef>
              <c:f>'P2-09'!$H$9:$H$27</c:f>
              <c:numCache>
                <c:formatCode>General</c:formatCode>
                <c:ptCount val="19"/>
                <c:pt idx="0">
                  <c:v>741</c:v>
                </c:pt>
                <c:pt idx="1">
                  <c:v>741</c:v>
                </c:pt>
                <c:pt idx="2">
                  <c:v>741</c:v>
                </c:pt>
                <c:pt idx="3">
                  <c:v>741</c:v>
                </c:pt>
                <c:pt idx="4">
                  <c:v>741</c:v>
                </c:pt>
                <c:pt idx="5">
                  <c:v>741</c:v>
                </c:pt>
                <c:pt idx="6">
                  <c:v>741</c:v>
                </c:pt>
                <c:pt idx="7">
                  <c:v>741</c:v>
                </c:pt>
                <c:pt idx="8">
                  <c:v>741</c:v>
                </c:pt>
                <c:pt idx="9">
                  <c:v>741</c:v>
                </c:pt>
                <c:pt idx="10">
                  <c:v>741</c:v>
                </c:pt>
                <c:pt idx="11">
                  <c:v>741</c:v>
                </c:pt>
                <c:pt idx="12">
                  <c:v>741.5</c:v>
                </c:pt>
                <c:pt idx="13">
                  <c:v>742</c:v>
                </c:pt>
                <c:pt idx="14">
                  <c:v>742</c:v>
                </c:pt>
                <c:pt idx="15">
                  <c:v>743.95</c:v>
                </c:pt>
                <c:pt idx="16">
                  <c:v>747.2</c:v>
                </c:pt>
                <c:pt idx="17">
                  <c:v>747.7</c:v>
                </c:pt>
                <c:pt idx="18">
                  <c:v>747.7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6031824"/>
        <c:axId val="-186040528"/>
      </c:scatterChart>
      <c:valAx>
        <c:axId val="-186044336"/>
        <c:scaling>
          <c:orientation val="minMax"/>
          <c:min val="42522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prstDash val="sysDot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>
                    <a:solidFill>
                      <a:sysClr val="windowText" lastClr="000000"/>
                    </a:solidFill>
                  </a:rPr>
                  <a:t>日期</a:t>
                </a:r>
              </a:p>
            </c:rich>
          </c:tx>
          <c:layout>
            <c:manualLayout>
              <c:xMode val="edge"/>
              <c:yMode val="edge"/>
              <c:x val="0.88183902012248472"/>
              <c:y val="0.88946704578593772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-186046512"/>
        <c:crosses val="autoZero"/>
        <c:crossBetween val="midCat"/>
        <c:majorUnit val="31"/>
      </c:valAx>
      <c:valAx>
        <c:axId val="-18604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prstDash val="sysDot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>
                    <a:solidFill>
                      <a:sysClr val="windowText" lastClr="000000"/>
                    </a:solidFill>
                  </a:rPr>
                  <a:t>水位</a:t>
                </a:r>
                <a:r>
                  <a:rPr lang="en-US" altLang="zh-CN">
                    <a:solidFill>
                      <a:sysClr val="windowText" lastClr="000000"/>
                    </a:solidFill>
                  </a:rPr>
                  <a:t>(m)</a:t>
                </a:r>
                <a:endParaRPr lang="zh-CN" altLang="en-US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,##0.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86044336"/>
        <c:crosses val="autoZero"/>
        <c:crossBetween val="midCat"/>
        <c:majorUnit val="1.5478571631839169"/>
      </c:valAx>
      <c:valAx>
        <c:axId val="-186031824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one"/>
        <c:crossAx val="-186040528"/>
        <c:crosses val="autoZero"/>
        <c:crossBetween val="midCat"/>
      </c:valAx>
      <c:valAx>
        <c:axId val="-18604052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86031824"/>
        <c:crosses val="max"/>
        <c:crossBetween val="midCat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b"/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433" l="0.70000000000000062" r="0.70000000000000062" t="0.75000000000000433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767825896762906"/>
          <c:y val="0.1388888888888889"/>
          <c:w val="0.79166907261592778"/>
          <c:h val="0.67095654709828423"/>
        </c:manualLayout>
      </c:layout>
      <c:scatterChart>
        <c:scatterStyle val="smoothMarker"/>
        <c:varyColors val="0"/>
        <c:ser>
          <c:idx val="0"/>
          <c:order val="0"/>
          <c:tx>
            <c:v>P2-9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'P2-09'!$A$8:$A$27</c:f>
              <c:numCache>
                <c:formatCode>m/d/yyyy</c:formatCode>
                <c:ptCount val="20"/>
                <c:pt idx="0">
                  <c:v>42529</c:v>
                </c:pt>
                <c:pt idx="1">
                  <c:v>42530</c:v>
                </c:pt>
                <c:pt idx="2">
                  <c:v>42530</c:v>
                </c:pt>
                <c:pt idx="3">
                  <c:v>42531</c:v>
                </c:pt>
                <c:pt idx="4">
                  <c:v>42532</c:v>
                </c:pt>
                <c:pt idx="5">
                  <c:v>42533</c:v>
                </c:pt>
                <c:pt idx="6">
                  <c:v>42534</c:v>
                </c:pt>
                <c:pt idx="7">
                  <c:v>42535</c:v>
                </c:pt>
                <c:pt idx="8">
                  <c:v>42536</c:v>
                </c:pt>
                <c:pt idx="9">
                  <c:v>42537</c:v>
                </c:pt>
                <c:pt idx="10">
                  <c:v>42538</c:v>
                </c:pt>
                <c:pt idx="11">
                  <c:v>42544</c:v>
                </c:pt>
                <c:pt idx="12">
                  <c:v>42551</c:v>
                </c:pt>
                <c:pt idx="13">
                  <c:v>42561</c:v>
                </c:pt>
                <c:pt idx="14">
                  <c:v>42571</c:v>
                </c:pt>
                <c:pt idx="15">
                  <c:v>42581</c:v>
                </c:pt>
                <c:pt idx="16">
                  <c:v>42592</c:v>
                </c:pt>
                <c:pt idx="17">
                  <c:v>42602</c:v>
                </c:pt>
                <c:pt idx="18">
                  <c:v>42612</c:v>
                </c:pt>
                <c:pt idx="19">
                  <c:v>42623</c:v>
                </c:pt>
              </c:numCache>
            </c:numRef>
          </c:xVal>
          <c:yVal>
            <c:numRef>
              <c:f>'P2-09'!$F$8:$F$27</c:f>
              <c:numCache>
                <c:formatCode>0.0</c:formatCode>
                <c:ptCount val="20"/>
                <c:pt idx="0">
                  <c:v>737.68722730328125</c:v>
                </c:pt>
                <c:pt idx="1">
                  <c:v>737.92692881047378</c:v>
                </c:pt>
                <c:pt idx="2">
                  <c:v>737.8367388700326</c:v>
                </c:pt>
                <c:pt idx="3">
                  <c:v>737.80461387574087</c:v>
                </c:pt>
                <c:pt idx="4">
                  <c:v>737.77974249423119</c:v>
                </c:pt>
                <c:pt idx="5">
                  <c:v>737.7730486861692</c:v>
                </c:pt>
                <c:pt idx="6">
                  <c:v>737.77011247953635</c:v>
                </c:pt>
                <c:pt idx="7">
                  <c:v>737.74809141847709</c:v>
                </c:pt>
                <c:pt idx="8">
                  <c:v>737.74139886662624</c:v>
                </c:pt>
                <c:pt idx="9">
                  <c:v>737.72818704063491</c:v>
                </c:pt>
                <c:pt idx="10">
                  <c:v>737.72589916764343</c:v>
                </c:pt>
                <c:pt idx="11">
                  <c:v>737.74153321891515</c:v>
                </c:pt>
                <c:pt idx="12">
                  <c:v>737.67066262727906</c:v>
                </c:pt>
                <c:pt idx="13">
                  <c:v>737.69081573771427</c:v>
                </c:pt>
                <c:pt idx="14">
                  <c:v>737.82508978609167</c:v>
                </c:pt>
                <c:pt idx="15">
                  <c:v>737.72123644234398</c:v>
                </c:pt>
                <c:pt idx="16">
                  <c:v>737.72541135131144</c:v>
                </c:pt>
                <c:pt idx="17">
                  <c:v>737.77870858315055</c:v>
                </c:pt>
                <c:pt idx="18">
                  <c:v>737.88429680695162</c:v>
                </c:pt>
                <c:pt idx="19">
                  <c:v>737.81610214002217</c:v>
                </c:pt>
              </c:numCache>
            </c:numRef>
          </c:yVal>
          <c:smooth val="1"/>
        </c:ser>
        <c:ser>
          <c:idx val="1"/>
          <c:order val="1"/>
          <c:tx>
            <c:v>P2-10</c:v>
          </c:tx>
          <c:spPr>
            <a:ln w="19050" cap="rnd">
              <a:solidFill>
                <a:schemeClr val="tx1"/>
              </a:solidFill>
              <a:prstDash val="lgDashDotDot"/>
              <a:round/>
            </a:ln>
            <a:effectLst/>
          </c:spPr>
          <c:marker>
            <c:symbol val="none"/>
          </c:marker>
          <c:xVal>
            <c:numRef>
              <c:f>'P2-10'!$A$9:$A$27</c:f>
              <c:numCache>
                <c:formatCode>m/d/yyyy</c:formatCode>
                <c:ptCount val="19"/>
                <c:pt idx="0">
                  <c:v>42530</c:v>
                </c:pt>
                <c:pt idx="1">
                  <c:v>42530</c:v>
                </c:pt>
                <c:pt idx="2">
                  <c:v>42531</c:v>
                </c:pt>
                <c:pt idx="3">
                  <c:v>42532</c:v>
                </c:pt>
                <c:pt idx="4">
                  <c:v>42533</c:v>
                </c:pt>
                <c:pt idx="5">
                  <c:v>42534</c:v>
                </c:pt>
                <c:pt idx="6">
                  <c:v>42535</c:v>
                </c:pt>
                <c:pt idx="7">
                  <c:v>42536</c:v>
                </c:pt>
                <c:pt idx="8">
                  <c:v>42537</c:v>
                </c:pt>
                <c:pt idx="9">
                  <c:v>42538</c:v>
                </c:pt>
                <c:pt idx="10">
                  <c:v>42544</c:v>
                </c:pt>
                <c:pt idx="11">
                  <c:v>42551</c:v>
                </c:pt>
                <c:pt idx="12">
                  <c:v>42561</c:v>
                </c:pt>
                <c:pt idx="13">
                  <c:v>42571</c:v>
                </c:pt>
                <c:pt idx="14">
                  <c:v>42581</c:v>
                </c:pt>
                <c:pt idx="15">
                  <c:v>42592</c:v>
                </c:pt>
                <c:pt idx="16">
                  <c:v>42602</c:v>
                </c:pt>
                <c:pt idx="17">
                  <c:v>42612</c:v>
                </c:pt>
                <c:pt idx="18">
                  <c:v>42623</c:v>
                </c:pt>
              </c:numCache>
            </c:numRef>
          </c:xVal>
          <c:yVal>
            <c:numRef>
              <c:f>'P2-10'!$F$9:$F$27</c:f>
              <c:numCache>
                <c:formatCode>0.0</c:formatCode>
                <c:ptCount val="19"/>
                <c:pt idx="0">
                  <c:v>733.98374806574861</c:v>
                </c:pt>
                <c:pt idx="1">
                  <c:v>735.22579253513481</c:v>
                </c:pt>
                <c:pt idx="2">
                  <c:v>735.21540959359629</c:v>
                </c:pt>
                <c:pt idx="3">
                  <c:v>735.21935478014495</c:v>
                </c:pt>
                <c:pt idx="4">
                  <c:v>735.22293129352488</c:v>
                </c:pt>
                <c:pt idx="5">
                  <c:v>735.26227577375528</c:v>
                </c:pt>
                <c:pt idx="6">
                  <c:v>735.27873046018317</c:v>
                </c:pt>
                <c:pt idx="7">
                  <c:v>735.25154494586502</c:v>
                </c:pt>
                <c:pt idx="8">
                  <c:v>735.22507722215687</c:v>
                </c:pt>
                <c:pt idx="9">
                  <c:v>735.25226032237197</c:v>
                </c:pt>
                <c:pt idx="10">
                  <c:v>737.07155213058218</c:v>
                </c:pt>
                <c:pt idx="11">
                  <c:v>736.0807054850244</c:v>
                </c:pt>
                <c:pt idx="12">
                  <c:v>735.82544067323454</c:v>
                </c:pt>
                <c:pt idx="13">
                  <c:v>735.92039058528576</c:v>
                </c:pt>
                <c:pt idx="14">
                  <c:v>736.03903185764682</c:v>
                </c:pt>
                <c:pt idx="15">
                  <c:v>735.9712312887707</c:v>
                </c:pt>
                <c:pt idx="16">
                  <c:v>735.96647399252402</c:v>
                </c:pt>
                <c:pt idx="17">
                  <c:v>736.09619731182545</c:v>
                </c:pt>
                <c:pt idx="18">
                  <c:v>736.24533488149166</c:v>
                </c:pt>
              </c:numCache>
            </c:numRef>
          </c:yVal>
          <c:smooth val="1"/>
        </c:ser>
        <c:ser>
          <c:idx val="2"/>
          <c:order val="2"/>
          <c:tx>
            <c:v>P2-11</c:v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'P2-11'!$A$9:$A$27</c:f>
              <c:numCache>
                <c:formatCode>m/d/yyyy</c:formatCode>
                <c:ptCount val="19"/>
                <c:pt idx="0">
                  <c:v>42530</c:v>
                </c:pt>
                <c:pt idx="1">
                  <c:v>42530</c:v>
                </c:pt>
                <c:pt idx="2">
                  <c:v>42531</c:v>
                </c:pt>
                <c:pt idx="3">
                  <c:v>42532</c:v>
                </c:pt>
                <c:pt idx="4">
                  <c:v>42533</c:v>
                </c:pt>
                <c:pt idx="5">
                  <c:v>42534</c:v>
                </c:pt>
                <c:pt idx="6">
                  <c:v>42535</c:v>
                </c:pt>
                <c:pt idx="7">
                  <c:v>42536</c:v>
                </c:pt>
                <c:pt idx="8">
                  <c:v>42537</c:v>
                </c:pt>
                <c:pt idx="9">
                  <c:v>42538</c:v>
                </c:pt>
                <c:pt idx="10">
                  <c:v>42544</c:v>
                </c:pt>
                <c:pt idx="11">
                  <c:v>42551</c:v>
                </c:pt>
                <c:pt idx="12">
                  <c:v>42561</c:v>
                </c:pt>
                <c:pt idx="13">
                  <c:v>42571</c:v>
                </c:pt>
                <c:pt idx="14">
                  <c:v>42581</c:v>
                </c:pt>
                <c:pt idx="15">
                  <c:v>42592</c:v>
                </c:pt>
                <c:pt idx="16">
                  <c:v>42602</c:v>
                </c:pt>
                <c:pt idx="17">
                  <c:v>42612</c:v>
                </c:pt>
                <c:pt idx="18">
                  <c:v>42623</c:v>
                </c:pt>
              </c:numCache>
            </c:numRef>
          </c:xVal>
          <c:yVal>
            <c:numRef>
              <c:f>'P2-11'!$F$9:$F$27</c:f>
              <c:numCache>
                <c:formatCode>0.0</c:formatCode>
                <c:ptCount val="19"/>
                <c:pt idx="0">
                  <c:v>735.15898809649525</c:v>
                </c:pt>
                <c:pt idx="1">
                  <c:v>734.91312286623918</c:v>
                </c:pt>
                <c:pt idx="2">
                  <c:v>734.8518138331674</c:v>
                </c:pt>
                <c:pt idx="3">
                  <c:v>734.85951747671061</c:v>
                </c:pt>
                <c:pt idx="4">
                  <c:v>734.83672672910143</c:v>
                </c:pt>
                <c:pt idx="5">
                  <c:v>734.92390802329055</c:v>
                </c:pt>
                <c:pt idx="6">
                  <c:v>734.95934509354583</c:v>
                </c:pt>
                <c:pt idx="7">
                  <c:v>734.90882101100954</c:v>
                </c:pt>
                <c:pt idx="8">
                  <c:v>734.85213405807394</c:v>
                </c:pt>
                <c:pt idx="9">
                  <c:v>734.87986734200945</c:v>
                </c:pt>
                <c:pt idx="10">
                  <c:v>736.6677007798985</c:v>
                </c:pt>
                <c:pt idx="11">
                  <c:v>735.71378589728727</c:v>
                </c:pt>
                <c:pt idx="12">
                  <c:v>735.43212210689819</c:v>
                </c:pt>
                <c:pt idx="13">
                  <c:v>735.52335861548249</c:v>
                </c:pt>
                <c:pt idx="14">
                  <c:v>735.63308867416436</c:v>
                </c:pt>
                <c:pt idx="15">
                  <c:v>735.58840137308698</c:v>
                </c:pt>
                <c:pt idx="16">
                  <c:v>735.57023426595686</c:v>
                </c:pt>
                <c:pt idx="17">
                  <c:v>735.70275633975336</c:v>
                </c:pt>
                <c:pt idx="18">
                  <c:v>735.85993717528936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6036720"/>
        <c:axId val="-186039984"/>
      </c:scatterChart>
      <c:valAx>
        <c:axId val="-186036720"/>
        <c:scaling>
          <c:orientation val="minMax"/>
          <c:min val="42522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prstDash val="sysDot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>
                    <a:solidFill>
                      <a:sysClr val="windowText" lastClr="000000"/>
                    </a:solidFill>
                  </a:rPr>
                  <a:t>日期</a:t>
                </a:r>
              </a:p>
            </c:rich>
          </c:tx>
          <c:layout>
            <c:manualLayout>
              <c:xMode val="edge"/>
              <c:yMode val="edge"/>
              <c:x val="0.88183902012248472"/>
              <c:y val="0.88946704578593772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-186039984"/>
        <c:crosses val="autoZero"/>
        <c:crossBetween val="midCat"/>
        <c:majorUnit val="31"/>
      </c:valAx>
      <c:valAx>
        <c:axId val="-18603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prstDash val="sysDot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>
                    <a:solidFill>
                      <a:sysClr val="windowText" lastClr="000000"/>
                    </a:solidFill>
                  </a:rPr>
                  <a:t>水位</a:t>
                </a:r>
                <a:r>
                  <a:rPr lang="en-US" altLang="zh-CN">
                    <a:solidFill>
                      <a:sysClr val="windowText" lastClr="000000"/>
                    </a:solidFill>
                  </a:rPr>
                  <a:t>(m)</a:t>
                </a:r>
                <a:endParaRPr lang="zh-CN" altLang="en-US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,##0.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86036720"/>
        <c:crosses val="autoZero"/>
        <c:crossBetween val="midCat"/>
        <c:majorUnit val="1.5478571631839169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b"/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433" l="0.70000000000000062" r="0.70000000000000062" t="0.75000000000000433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/>
            </a:pPr>
            <a:r>
              <a:rPr lang="zh-CN" altLang="en-US" sz="1200" b="0"/>
              <a:t>桩号</a:t>
            </a:r>
            <a:r>
              <a:rPr lang="en-US" altLang="zh-CN" sz="1200" b="0"/>
              <a:t>0+500</a:t>
            </a:r>
            <a:r>
              <a:rPr lang="zh-CN" altLang="en-US" sz="1200" b="0"/>
              <a:t>混凝土防渗墙后坝基渗压过程线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82949650377673"/>
          <c:y val="0.12962962962962837"/>
          <c:w val="0.79765141952676011"/>
          <c:h val="0.66632691746865536"/>
        </c:manualLayout>
      </c:layout>
      <c:scatterChart>
        <c:scatterStyle val="smoothMarker"/>
        <c:varyColors val="0"/>
        <c:ser>
          <c:idx val="0"/>
          <c:order val="0"/>
          <c:tx>
            <c:v>P3-6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'P3-06'!$A$9:$A$360</c:f>
              <c:numCache>
                <c:formatCode>m/d/yyyy</c:formatCode>
                <c:ptCount val="352"/>
                <c:pt idx="0">
                  <c:v>42231</c:v>
                </c:pt>
                <c:pt idx="1">
                  <c:v>42232</c:v>
                </c:pt>
                <c:pt idx="2">
                  <c:v>42233</c:v>
                </c:pt>
                <c:pt idx="3">
                  <c:v>42234</c:v>
                </c:pt>
                <c:pt idx="4">
                  <c:v>42235</c:v>
                </c:pt>
                <c:pt idx="5">
                  <c:v>42236</c:v>
                </c:pt>
                <c:pt idx="6">
                  <c:v>42237</c:v>
                </c:pt>
                <c:pt idx="7">
                  <c:v>42238</c:v>
                </c:pt>
                <c:pt idx="8">
                  <c:v>42245</c:v>
                </c:pt>
                <c:pt idx="9">
                  <c:v>42252</c:v>
                </c:pt>
                <c:pt idx="10">
                  <c:v>42259</c:v>
                </c:pt>
                <c:pt idx="11">
                  <c:v>42266</c:v>
                </c:pt>
                <c:pt idx="12">
                  <c:v>42273</c:v>
                </c:pt>
                <c:pt idx="13">
                  <c:v>42280</c:v>
                </c:pt>
                <c:pt idx="14">
                  <c:v>42287</c:v>
                </c:pt>
                <c:pt idx="15">
                  <c:v>42294</c:v>
                </c:pt>
                <c:pt idx="16">
                  <c:v>42301</c:v>
                </c:pt>
                <c:pt idx="17">
                  <c:v>42308</c:v>
                </c:pt>
                <c:pt idx="18">
                  <c:v>42531</c:v>
                </c:pt>
                <c:pt idx="19">
                  <c:v>42544</c:v>
                </c:pt>
                <c:pt idx="20">
                  <c:v>42551</c:v>
                </c:pt>
                <c:pt idx="21">
                  <c:v>42561</c:v>
                </c:pt>
                <c:pt idx="22">
                  <c:v>42571</c:v>
                </c:pt>
                <c:pt idx="23">
                  <c:v>42581</c:v>
                </c:pt>
                <c:pt idx="24">
                  <c:v>42592</c:v>
                </c:pt>
                <c:pt idx="25">
                  <c:v>42602</c:v>
                </c:pt>
                <c:pt idx="26">
                  <c:v>42612</c:v>
                </c:pt>
                <c:pt idx="27">
                  <c:v>42623</c:v>
                </c:pt>
                <c:pt idx="28">
                  <c:v>42633</c:v>
                </c:pt>
                <c:pt idx="29">
                  <c:v>42643</c:v>
                </c:pt>
                <c:pt idx="30">
                  <c:v>42926</c:v>
                </c:pt>
                <c:pt idx="31">
                  <c:v>42936</c:v>
                </c:pt>
                <c:pt idx="32">
                  <c:v>42946</c:v>
                </c:pt>
                <c:pt idx="33">
                  <c:v>42957</c:v>
                </c:pt>
                <c:pt idx="34">
                  <c:v>42967</c:v>
                </c:pt>
                <c:pt idx="35">
                  <c:v>42977</c:v>
                </c:pt>
                <c:pt idx="36">
                  <c:v>42988</c:v>
                </c:pt>
                <c:pt idx="37">
                  <c:v>42998</c:v>
                </c:pt>
                <c:pt idx="38">
                  <c:v>43008</c:v>
                </c:pt>
                <c:pt idx="39">
                  <c:v>43018</c:v>
                </c:pt>
                <c:pt idx="40">
                  <c:v>43230</c:v>
                </c:pt>
                <c:pt idx="41">
                  <c:v>43240</c:v>
                </c:pt>
                <c:pt idx="42">
                  <c:v>43250</c:v>
                </c:pt>
                <c:pt idx="43">
                  <c:v>43261</c:v>
                </c:pt>
                <c:pt idx="44">
                  <c:v>43271</c:v>
                </c:pt>
                <c:pt idx="45">
                  <c:v>43281</c:v>
                </c:pt>
                <c:pt idx="46">
                  <c:v>43291</c:v>
                </c:pt>
                <c:pt idx="47">
                  <c:v>43301</c:v>
                </c:pt>
                <c:pt idx="48">
                  <c:v>43311</c:v>
                </c:pt>
                <c:pt idx="49">
                  <c:v>43322</c:v>
                </c:pt>
                <c:pt idx="50">
                  <c:v>43332</c:v>
                </c:pt>
                <c:pt idx="51">
                  <c:v>43342</c:v>
                </c:pt>
                <c:pt idx="52">
                  <c:v>43353</c:v>
                </c:pt>
                <c:pt idx="53">
                  <c:v>43363</c:v>
                </c:pt>
                <c:pt idx="54">
                  <c:v>43373</c:v>
                </c:pt>
                <c:pt idx="55">
                  <c:v>43383</c:v>
                </c:pt>
                <c:pt idx="56">
                  <c:v>43393</c:v>
                </c:pt>
                <c:pt idx="57">
                  <c:v>43605</c:v>
                </c:pt>
                <c:pt idx="58">
                  <c:v>43615</c:v>
                </c:pt>
                <c:pt idx="59">
                  <c:v>43626</c:v>
                </c:pt>
                <c:pt idx="60">
                  <c:v>43636</c:v>
                </c:pt>
                <c:pt idx="61">
                  <c:v>43646</c:v>
                </c:pt>
                <c:pt idx="62">
                  <c:v>43656</c:v>
                </c:pt>
                <c:pt idx="63">
                  <c:v>43666</c:v>
                </c:pt>
                <c:pt idx="64">
                  <c:v>43676</c:v>
                </c:pt>
                <c:pt idx="65">
                  <c:v>43687</c:v>
                </c:pt>
                <c:pt idx="66">
                  <c:v>43697</c:v>
                </c:pt>
                <c:pt idx="67">
                  <c:v>43707</c:v>
                </c:pt>
              </c:numCache>
            </c:numRef>
          </c:xVal>
          <c:yVal>
            <c:numRef>
              <c:f>'P3-06'!$F$9:$F$360</c:f>
              <c:numCache>
                <c:formatCode>0.0</c:formatCode>
                <c:ptCount val="352"/>
                <c:pt idx="0">
                  <c:v>738.76777487726167</c:v>
                </c:pt>
                <c:pt idx="1">
                  <c:v>737.34801985578213</c:v>
                </c:pt>
                <c:pt idx="2">
                  <c:v>737.46600144364834</c:v>
                </c:pt>
                <c:pt idx="3">
                  <c:v>737.62223068194726</c:v>
                </c:pt>
                <c:pt idx="4">
                  <c:v>737.81793872477499</c:v>
                </c:pt>
                <c:pt idx="5">
                  <c:v>737.90530808478911</c:v>
                </c:pt>
                <c:pt idx="6">
                  <c:v>738.00855347645734</c:v>
                </c:pt>
                <c:pt idx="7">
                  <c:v>738.15237561071956</c:v>
                </c:pt>
                <c:pt idx="8">
                  <c:v>737.75241027508878</c:v>
                </c:pt>
                <c:pt idx="9">
                  <c:v>737.71916924455559</c:v>
                </c:pt>
                <c:pt idx="10">
                  <c:v>737.60520669962182</c:v>
                </c:pt>
                <c:pt idx="11">
                  <c:v>737.55779895857063</c:v>
                </c:pt>
                <c:pt idx="12">
                  <c:v>737.63391138966904</c:v>
                </c:pt>
                <c:pt idx="13">
                  <c:v>737.59243148419398</c:v>
                </c:pt>
                <c:pt idx="14">
                  <c:v>737.51558649829474</c:v>
                </c:pt>
                <c:pt idx="15">
                  <c:v>737.4709117583285</c:v>
                </c:pt>
                <c:pt idx="16">
                  <c:v>737.43734540216724</c:v>
                </c:pt>
                <c:pt idx="17">
                  <c:v>737.40215269301552</c:v>
                </c:pt>
                <c:pt idx="18">
                  <c:v>736.61465601405575</c:v>
                </c:pt>
                <c:pt idx="19">
                  <c:v>738.25857201392682</c:v>
                </c:pt>
                <c:pt idx="20">
                  <c:v>737.3765807453924</c:v>
                </c:pt>
                <c:pt idx="21">
                  <c:v>737.12530179415921</c:v>
                </c:pt>
                <c:pt idx="22">
                  <c:v>737.04213205670453</c:v>
                </c:pt>
                <c:pt idx="23">
                  <c:v>737.13955827513462</c:v>
                </c:pt>
                <c:pt idx="24">
                  <c:v>737.08033953482186</c:v>
                </c:pt>
                <c:pt idx="25">
                  <c:v>737.06076268313768</c:v>
                </c:pt>
                <c:pt idx="26">
                  <c:v>737.21245034545143</c:v>
                </c:pt>
                <c:pt idx="27">
                  <c:v>737.36035393998475</c:v>
                </c:pt>
                <c:pt idx="28">
                  <c:v>737.63366850056002</c:v>
                </c:pt>
                <c:pt idx="29">
                  <c:v>737.21856748153016</c:v>
                </c:pt>
                <c:pt idx="30">
                  <c:v>736.53185270274003</c:v>
                </c:pt>
                <c:pt idx="31">
                  <c:v>736.78401503079579</c:v>
                </c:pt>
                <c:pt idx="32">
                  <c:v>736.84094312701518</c:v>
                </c:pt>
                <c:pt idx="33">
                  <c:v>736.79112340040967</c:v>
                </c:pt>
                <c:pt idx="34">
                  <c:v>736.77208833893553</c:v>
                </c:pt>
                <c:pt idx="35">
                  <c:v>736.93786313866462</c:v>
                </c:pt>
                <c:pt idx="36">
                  <c:v>736.99024761112855</c:v>
                </c:pt>
                <c:pt idx="37">
                  <c:v>736.73852179696303</c:v>
                </c:pt>
                <c:pt idx="38">
                  <c:v>736.71081086903985</c:v>
                </c:pt>
                <c:pt idx="39">
                  <c:v>736.76748381777486</c:v>
                </c:pt>
                <c:pt idx="40">
                  <c:v>736.72778862914652</c:v>
                </c:pt>
                <c:pt idx="41">
                  <c:v>736.71954461740552</c:v>
                </c:pt>
                <c:pt idx="42">
                  <c:v>736.7536002024857</c:v>
                </c:pt>
                <c:pt idx="43">
                  <c:v>736.86194862365983</c:v>
                </c:pt>
                <c:pt idx="44">
                  <c:v>737.9232900869107</c:v>
                </c:pt>
                <c:pt idx="45">
                  <c:v>737.64990817500791</c:v>
                </c:pt>
                <c:pt idx="46">
                  <c:v>737.33111794050092</c:v>
                </c:pt>
                <c:pt idx="47">
                  <c:v>737.2437235664047</c:v>
                </c:pt>
                <c:pt idx="48">
                  <c:v>737.28182701130731</c:v>
                </c:pt>
                <c:pt idx="49">
                  <c:v>737.62431772398293</c:v>
                </c:pt>
                <c:pt idx="50">
                  <c:v>737.45660382480628</c:v>
                </c:pt>
                <c:pt idx="51">
                  <c:v>737.55385154386306</c:v>
                </c:pt>
                <c:pt idx="52">
                  <c:v>737.65650781434999</c:v>
                </c:pt>
                <c:pt idx="53">
                  <c:v>737.83336165326659</c:v>
                </c:pt>
                <c:pt idx="54">
                  <c:v>737.69013829059554</c:v>
                </c:pt>
                <c:pt idx="55">
                  <c:v>737.68004969418382</c:v>
                </c:pt>
                <c:pt idx="56">
                  <c:v>737.67723131968035</c:v>
                </c:pt>
                <c:pt idx="57">
                  <c:v>737.61455411831776</c:v>
                </c:pt>
                <c:pt idx="58">
                  <c:v>737.66829571828998</c:v>
                </c:pt>
                <c:pt idx="59">
                  <c:v>737.68565432566743</c:v>
                </c:pt>
                <c:pt idx="60">
                  <c:v>737.72296588459949</c:v>
                </c:pt>
                <c:pt idx="61">
                  <c:v>737.66192123242934</c:v>
                </c:pt>
                <c:pt idx="62">
                  <c:v>737.58140404134997</c:v>
                </c:pt>
                <c:pt idx="63">
                  <c:v>737.5560371693573</c:v>
                </c:pt>
                <c:pt idx="64">
                  <c:v>737.45975830530881</c:v>
                </c:pt>
                <c:pt idx="65">
                  <c:v>737.5492139509829</c:v>
                </c:pt>
                <c:pt idx="66">
                  <c:v>738.05624118155276</c:v>
                </c:pt>
                <c:pt idx="67">
                  <c:v>738.31479527987619</c:v>
                </c:pt>
              </c:numCache>
            </c:numRef>
          </c:yVal>
          <c:smooth val="1"/>
        </c:ser>
        <c:ser>
          <c:idx val="1"/>
          <c:order val="1"/>
          <c:tx>
            <c:v>P3-7</c:v>
          </c:tx>
          <c:spPr>
            <a:ln w="19050" cap="rnd">
              <a:solidFill>
                <a:schemeClr val="tx1"/>
              </a:solidFill>
              <a:prstDash val="lgDashDotDot"/>
              <a:round/>
            </a:ln>
            <a:effectLst/>
          </c:spPr>
          <c:marker>
            <c:symbol val="none"/>
          </c:marker>
          <c:xVal>
            <c:numRef>
              <c:f>'P3-07'!$A$9:$A$360</c:f>
              <c:numCache>
                <c:formatCode>m/d/yyyy</c:formatCode>
                <c:ptCount val="352"/>
                <c:pt idx="0">
                  <c:v>42231</c:v>
                </c:pt>
                <c:pt idx="1">
                  <c:v>42232</c:v>
                </c:pt>
                <c:pt idx="2">
                  <c:v>42233</c:v>
                </c:pt>
                <c:pt idx="3">
                  <c:v>42234</c:v>
                </c:pt>
                <c:pt idx="4">
                  <c:v>42235</c:v>
                </c:pt>
                <c:pt idx="5">
                  <c:v>42236</c:v>
                </c:pt>
                <c:pt idx="6">
                  <c:v>42237</c:v>
                </c:pt>
                <c:pt idx="7">
                  <c:v>42238</c:v>
                </c:pt>
                <c:pt idx="8">
                  <c:v>42245</c:v>
                </c:pt>
                <c:pt idx="9">
                  <c:v>42252</c:v>
                </c:pt>
                <c:pt idx="10">
                  <c:v>42259</c:v>
                </c:pt>
                <c:pt idx="11">
                  <c:v>42266</c:v>
                </c:pt>
                <c:pt idx="12">
                  <c:v>42273</c:v>
                </c:pt>
                <c:pt idx="13">
                  <c:v>42280</c:v>
                </c:pt>
                <c:pt idx="14">
                  <c:v>42287</c:v>
                </c:pt>
                <c:pt idx="15">
                  <c:v>42294</c:v>
                </c:pt>
                <c:pt idx="16">
                  <c:v>42301</c:v>
                </c:pt>
                <c:pt idx="17">
                  <c:v>42308</c:v>
                </c:pt>
                <c:pt idx="18">
                  <c:v>42531</c:v>
                </c:pt>
                <c:pt idx="19">
                  <c:v>42544</c:v>
                </c:pt>
                <c:pt idx="20">
                  <c:v>42551</c:v>
                </c:pt>
                <c:pt idx="21">
                  <c:v>42561</c:v>
                </c:pt>
                <c:pt idx="22">
                  <c:v>42571</c:v>
                </c:pt>
                <c:pt idx="23">
                  <c:v>42581</c:v>
                </c:pt>
                <c:pt idx="24">
                  <c:v>42592</c:v>
                </c:pt>
                <c:pt idx="25">
                  <c:v>42602</c:v>
                </c:pt>
                <c:pt idx="26">
                  <c:v>42612</c:v>
                </c:pt>
                <c:pt idx="27">
                  <c:v>42623</c:v>
                </c:pt>
                <c:pt idx="28">
                  <c:v>42633</c:v>
                </c:pt>
                <c:pt idx="29">
                  <c:v>42643</c:v>
                </c:pt>
                <c:pt idx="30">
                  <c:v>42926</c:v>
                </c:pt>
                <c:pt idx="31">
                  <c:v>42936</c:v>
                </c:pt>
                <c:pt idx="32">
                  <c:v>42946</c:v>
                </c:pt>
                <c:pt idx="33">
                  <c:v>42957</c:v>
                </c:pt>
                <c:pt idx="34">
                  <c:v>42967</c:v>
                </c:pt>
                <c:pt idx="35">
                  <c:v>42977</c:v>
                </c:pt>
                <c:pt idx="36">
                  <c:v>42988</c:v>
                </c:pt>
                <c:pt idx="37">
                  <c:v>42998</c:v>
                </c:pt>
                <c:pt idx="38">
                  <c:v>43008</c:v>
                </c:pt>
                <c:pt idx="39">
                  <c:v>43018</c:v>
                </c:pt>
                <c:pt idx="40">
                  <c:v>43230</c:v>
                </c:pt>
                <c:pt idx="41">
                  <c:v>43240</c:v>
                </c:pt>
                <c:pt idx="42">
                  <c:v>43250</c:v>
                </c:pt>
                <c:pt idx="43">
                  <c:v>43261</c:v>
                </c:pt>
                <c:pt idx="44">
                  <c:v>43271</c:v>
                </c:pt>
                <c:pt idx="45">
                  <c:v>43281</c:v>
                </c:pt>
                <c:pt idx="46">
                  <c:v>43291</c:v>
                </c:pt>
                <c:pt idx="47">
                  <c:v>43301</c:v>
                </c:pt>
                <c:pt idx="48">
                  <c:v>43311</c:v>
                </c:pt>
                <c:pt idx="49">
                  <c:v>43322</c:v>
                </c:pt>
                <c:pt idx="50">
                  <c:v>43332</c:v>
                </c:pt>
                <c:pt idx="51">
                  <c:v>43342</c:v>
                </c:pt>
                <c:pt idx="52">
                  <c:v>43353</c:v>
                </c:pt>
                <c:pt idx="53">
                  <c:v>43363</c:v>
                </c:pt>
                <c:pt idx="54">
                  <c:v>43373</c:v>
                </c:pt>
                <c:pt idx="55">
                  <c:v>43383</c:v>
                </c:pt>
                <c:pt idx="56">
                  <c:v>43393</c:v>
                </c:pt>
                <c:pt idx="57">
                  <c:v>43605</c:v>
                </c:pt>
                <c:pt idx="58">
                  <c:v>43615</c:v>
                </c:pt>
                <c:pt idx="59">
                  <c:v>43626</c:v>
                </c:pt>
                <c:pt idx="60">
                  <c:v>43636</c:v>
                </c:pt>
                <c:pt idx="61">
                  <c:v>43646</c:v>
                </c:pt>
                <c:pt idx="62">
                  <c:v>43656</c:v>
                </c:pt>
                <c:pt idx="63">
                  <c:v>43666</c:v>
                </c:pt>
                <c:pt idx="64">
                  <c:v>43676</c:v>
                </c:pt>
                <c:pt idx="65">
                  <c:v>43687</c:v>
                </c:pt>
                <c:pt idx="66">
                  <c:v>43697</c:v>
                </c:pt>
                <c:pt idx="67">
                  <c:v>43707</c:v>
                </c:pt>
              </c:numCache>
            </c:numRef>
          </c:xVal>
          <c:yVal>
            <c:numRef>
              <c:f>'P3-07'!$F$9:$F$360</c:f>
              <c:numCache>
                <c:formatCode>0.0</c:formatCode>
                <c:ptCount val="352"/>
                <c:pt idx="0">
                  <c:v>738.22344650349851</c:v>
                </c:pt>
                <c:pt idx="1">
                  <c:v>737.50852942692472</c:v>
                </c:pt>
                <c:pt idx="2">
                  <c:v>737.68684658869006</c:v>
                </c:pt>
                <c:pt idx="3">
                  <c:v>737.90793798325194</c:v>
                </c:pt>
                <c:pt idx="4">
                  <c:v>738.14113578904937</c:v>
                </c:pt>
                <c:pt idx="5">
                  <c:v>738.13333878337176</c:v>
                </c:pt>
                <c:pt idx="6">
                  <c:v>738.15837501593398</c:v>
                </c:pt>
                <c:pt idx="7">
                  <c:v>738.28719861228728</c:v>
                </c:pt>
                <c:pt idx="8">
                  <c:v>737.97909266057638</c:v>
                </c:pt>
                <c:pt idx="9">
                  <c:v>737.83410203604535</c:v>
                </c:pt>
                <c:pt idx="10">
                  <c:v>737.70809383234428</c:v>
                </c:pt>
                <c:pt idx="11">
                  <c:v>737.63106106193356</c:v>
                </c:pt>
                <c:pt idx="12">
                  <c:v>737.60853307000309</c:v>
                </c:pt>
                <c:pt idx="13">
                  <c:v>737.56402383430895</c:v>
                </c:pt>
                <c:pt idx="14">
                  <c:v>737.45178928184964</c:v>
                </c:pt>
                <c:pt idx="15">
                  <c:v>737.54978904519032</c:v>
                </c:pt>
                <c:pt idx="16">
                  <c:v>737.4779182978848</c:v>
                </c:pt>
                <c:pt idx="17">
                  <c:v>737.49641918195243</c:v>
                </c:pt>
                <c:pt idx="18">
                  <c:v>736.79128299167257</c:v>
                </c:pt>
                <c:pt idx="19">
                  <c:v>738.47682216528983</c:v>
                </c:pt>
                <c:pt idx="20">
                  <c:v>737.51284481218113</c:v>
                </c:pt>
                <c:pt idx="21">
                  <c:v>737.24406284326403</c:v>
                </c:pt>
                <c:pt idx="22">
                  <c:v>737.19021577013211</c:v>
                </c:pt>
                <c:pt idx="23">
                  <c:v>737.28155003199379</c:v>
                </c:pt>
                <c:pt idx="24">
                  <c:v>737.21423973646392</c:v>
                </c:pt>
                <c:pt idx="25">
                  <c:v>737.16712349092472</c:v>
                </c:pt>
                <c:pt idx="26">
                  <c:v>737.30847460259702</c:v>
                </c:pt>
                <c:pt idx="27">
                  <c:v>737.50994792398126</c:v>
                </c:pt>
                <c:pt idx="28">
                  <c:v>737.72368395362741</c:v>
                </c:pt>
                <c:pt idx="29">
                  <c:v>737.2587413562311</c:v>
                </c:pt>
                <c:pt idx="30">
                  <c:v>736.80860782157913</c:v>
                </c:pt>
                <c:pt idx="31">
                  <c:v>736.86243324455518</c:v>
                </c:pt>
                <c:pt idx="32">
                  <c:v>736.7598294251768</c:v>
                </c:pt>
                <c:pt idx="33">
                  <c:v>736.8943925786964</c:v>
                </c:pt>
                <c:pt idx="34">
                  <c:v>736.81701797575749</c:v>
                </c:pt>
                <c:pt idx="35">
                  <c:v>737.14979828169726</c:v>
                </c:pt>
                <c:pt idx="36">
                  <c:v>737.33423792644965</c:v>
                </c:pt>
                <c:pt idx="37">
                  <c:v>736.85234089898267</c:v>
                </c:pt>
                <c:pt idx="38">
                  <c:v>736.86884302019439</c:v>
                </c:pt>
                <c:pt idx="39">
                  <c:v>736.85111286572146</c:v>
                </c:pt>
                <c:pt idx="40">
                  <c:v>736.76837184033047</c:v>
                </c:pt>
                <c:pt idx="41">
                  <c:v>736.71622797661246</c:v>
                </c:pt>
                <c:pt idx="42">
                  <c:v>736.85784116073046</c:v>
                </c:pt>
                <c:pt idx="43">
                  <c:v>736.95126802345578</c:v>
                </c:pt>
                <c:pt idx="44">
                  <c:v>738.0422727411493</c:v>
                </c:pt>
                <c:pt idx="45">
                  <c:v>737.79323137297069</c:v>
                </c:pt>
                <c:pt idx="46">
                  <c:v>737.40028470904872</c:v>
                </c:pt>
                <c:pt idx="47">
                  <c:v>737.39691997989814</c:v>
                </c:pt>
                <c:pt idx="48">
                  <c:v>737.36801640220608</c:v>
                </c:pt>
                <c:pt idx="49">
                  <c:v>737.70115138017354</c:v>
                </c:pt>
                <c:pt idx="50">
                  <c:v>737.48410440040402</c:v>
                </c:pt>
                <c:pt idx="51">
                  <c:v>737.68983693291693</c:v>
                </c:pt>
                <c:pt idx="52">
                  <c:v>737.8429587119947</c:v>
                </c:pt>
                <c:pt idx="53">
                  <c:v>737.88334387143209</c:v>
                </c:pt>
                <c:pt idx="54">
                  <c:v>735.8325012004251</c:v>
                </c:pt>
                <c:pt idx="55">
                  <c:v>735.77913649727566</c:v>
                </c:pt>
                <c:pt idx="56">
                  <c:v>735.66276273768597</c:v>
                </c:pt>
                <c:pt idx="57">
                  <c:v>735.31859775060457</c:v>
                </c:pt>
                <c:pt idx="58">
                  <c:v>735.41939481432462</c:v>
                </c:pt>
                <c:pt idx="59">
                  <c:v>735.4954130380296</c:v>
                </c:pt>
                <c:pt idx="60">
                  <c:v>735.48992732348995</c:v>
                </c:pt>
                <c:pt idx="61">
                  <c:v>735.7270093811245</c:v>
                </c:pt>
                <c:pt idx="62">
                  <c:v>736.74450424298777</c:v>
                </c:pt>
                <c:pt idx="63">
                  <c:v>737.26891284673172</c:v>
                </c:pt>
                <c:pt idx="64">
                  <c:v>737.50614298173741</c:v>
                </c:pt>
                <c:pt idx="65">
                  <c:v>737.57559234316193</c:v>
                </c:pt>
                <c:pt idx="66">
                  <c:v>737.72656627510639</c:v>
                </c:pt>
                <c:pt idx="67">
                  <c:v>738.44516555500195</c:v>
                </c:pt>
              </c:numCache>
            </c:numRef>
          </c:yVal>
          <c:smooth val="1"/>
        </c:ser>
        <c:ser>
          <c:idx val="2"/>
          <c:order val="2"/>
          <c:tx>
            <c:v>P3-8</c:v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'P3-08'!$A$9:$A$360</c:f>
              <c:numCache>
                <c:formatCode>m/d/yyyy</c:formatCode>
                <c:ptCount val="352"/>
                <c:pt idx="0">
                  <c:v>42231</c:v>
                </c:pt>
                <c:pt idx="1">
                  <c:v>42232</c:v>
                </c:pt>
                <c:pt idx="2">
                  <c:v>42233</c:v>
                </c:pt>
                <c:pt idx="3">
                  <c:v>42234</c:v>
                </c:pt>
                <c:pt idx="4">
                  <c:v>42235</c:v>
                </c:pt>
                <c:pt idx="5">
                  <c:v>42236</c:v>
                </c:pt>
                <c:pt idx="6">
                  <c:v>42237</c:v>
                </c:pt>
                <c:pt idx="7">
                  <c:v>42238</c:v>
                </c:pt>
                <c:pt idx="8">
                  <c:v>42245</c:v>
                </c:pt>
                <c:pt idx="9">
                  <c:v>42252</c:v>
                </c:pt>
                <c:pt idx="10">
                  <c:v>42259</c:v>
                </c:pt>
                <c:pt idx="11">
                  <c:v>42266</c:v>
                </c:pt>
                <c:pt idx="12">
                  <c:v>42273</c:v>
                </c:pt>
                <c:pt idx="13">
                  <c:v>42280</c:v>
                </c:pt>
                <c:pt idx="14">
                  <c:v>42287</c:v>
                </c:pt>
                <c:pt idx="15">
                  <c:v>42294</c:v>
                </c:pt>
                <c:pt idx="16">
                  <c:v>42301</c:v>
                </c:pt>
                <c:pt idx="17">
                  <c:v>42308</c:v>
                </c:pt>
                <c:pt idx="18">
                  <c:v>42531</c:v>
                </c:pt>
                <c:pt idx="19">
                  <c:v>42544</c:v>
                </c:pt>
                <c:pt idx="20">
                  <c:v>42551</c:v>
                </c:pt>
                <c:pt idx="21">
                  <c:v>42561</c:v>
                </c:pt>
                <c:pt idx="22">
                  <c:v>42571</c:v>
                </c:pt>
                <c:pt idx="23">
                  <c:v>42581</c:v>
                </c:pt>
                <c:pt idx="24">
                  <c:v>42592</c:v>
                </c:pt>
                <c:pt idx="25">
                  <c:v>42602</c:v>
                </c:pt>
                <c:pt idx="26">
                  <c:v>42612</c:v>
                </c:pt>
                <c:pt idx="27">
                  <c:v>42623</c:v>
                </c:pt>
                <c:pt idx="28">
                  <c:v>42633</c:v>
                </c:pt>
                <c:pt idx="29">
                  <c:v>42643</c:v>
                </c:pt>
                <c:pt idx="30">
                  <c:v>42926</c:v>
                </c:pt>
                <c:pt idx="31">
                  <c:v>42936</c:v>
                </c:pt>
                <c:pt idx="32">
                  <c:v>42946</c:v>
                </c:pt>
                <c:pt idx="33">
                  <c:v>42957</c:v>
                </c:pt>
                <c:pt idx="34">
                  <c:v>42967</c:v>
                </c:pt>
                <c:pt idx="35">
                  <c:v>42977</c:v>
                </c:pt>
                <c:pt idx="36">
                  <c:v>42988</c:v>
                </c:pt>
                <c:pt idx="37">
                  <c:v>42998</c:v>
                </c:pt>
                <c:pt idx="38">
                  <c:v>43008</c:v>
                </c:pt>
                <c:pt idx="39">
                  <c:v>43018</c:v>
                </c:pt>
                <c:pt idx="40">
                  <c:v>43230</c:v>
                </c:pt>
                <c:pt idx="41">
                  <c:v>43240</c:v>
                </c:pt>
                <c:pt idx="42">
                  <c:v>43250</c:v>
                </c:pt>
                <c:pt idx="43">
                  <c:v>43261</c:v>
                </c:pt>
                <c:pt idx="44">
                  <c:v>43271</c:v>
                </c:pt>
                <c:pt idx="45">
                  <c:v>43281</c:v>
                </c:pt>
                <c:pt idx="46">
                  <c:v>43291</c:v>
                </c:pt>
                <c:pt idx="47">
                  <c:v>43301</c:v>
                </c:pt>
                <c:pt idx="48">
                  <c:v>43311</c:v>
                </c:pt>
                <c:pt idx="49">
                  <c:v>43322</c:v>
                </c:pt>
                <c:pt idx="50">
                  <c:v>43332</c:v>
                </c:pt>
                <c:pt idx="51">
                  <c:v>43342</c:v>
                </c:pt>
                <c:pt idx="52">
                  <c:v>43353</c:v>
                </c:pt>
                <c:pt idx="53">
                  <c:v>43363</c:v>
                </c:pt>
                <c:pt idx="54">
                  <c:v>43373</c:v>
                </c:pt>
                <c:pt idx="55">
                  <c:v>43383</c:v>
                </c:pt>
                <c:pt idx="56">
                  <c:v>43393</c:v>
                </c:pt>
                <c:pt idx="57">
                  <c:v>43605</c:v>
                </c:pt>
                <c:pt idx="58">
                  <c:v>43615</c:v>
                </c:pt>
                <c:pt idx="59">
                  <c:v>43626</c:v>
                </c:pt>
                <c:pt idx="60">
                  <c:v>43636</c:v>
                </c:pt>
                <c:pt idx="61">
                  <c:v>43646</c:v>
                </c:pt>
                <c:pt idx="62">
                  <c:v>43656</c:v>
                </c:pt>
                <c:pt idx="63">
                  <c:v>43666</c:v>
                </c:pt>
                <c:pt idx="64">
                  <c:v>43676</c:v>
                </c:pt>
                <c:pt idx="65">
                  <c:v>43687</c:v>
                </c:pt>
                <c:pt idx="66">
                  <c:v>43697</c:v>
                </c:pt>
                <c:pt idx="67">
                  <c:v>43707</c:v>
                </c:pt>
              </c:numCache>
            </c:numRef>
          </c:xVal>
          <c:yVal>
            <c:numRef>
              <c:f>'P3-08'!$F$9:$F$360</c:f>
              <c:numCache>
                <c:formatCode>0.0</c:formatCode>
                <c:ptCount val="352"/>
                <c:pt idx="0">
                  <c:v>739.02950674432111</c:v>
                </c:pt>
                <c:pt idx="1">
                  <c:v>738.74178335202168</c:v>
                </c:pt>
                <c:pt idx="2">
                  <c:v>738.94486459027007</c:v>
                </c:pt>
                <c:pt idx="3">
                  <c:v>738.95426110180176</c:v>
                </c:pt>
                <c:pt idx="4">
                  <c:v>739.04771203012331</c:v>
                </c:pt>
                <c:pt idx="5">
                  <c:v>739.11599403996036</c:v>
                </c:pt>
                <c:pt idx="6">
                  <c:v>739.10501156306543</c:v>
                </c:pt>
                <c:pt idx="7">
                  <c:v>739.2315536416786</c:v>
                </c:pt>
                <c:pt idx="8">
                  <c:v>738.85029769636856</c:v>
                </c:pt>
                <c:pt idx="9">
                  <c:v>738.63210602138736</c:v>
                </c:pt>
                <c:pt idx="10">
                  <c:v>738.47350176071996</c:v>
                </c:pt>
                <c:pt idx="11">
                  <c:v>738.31438231296693</c:v>
                </c:pt>
                <c:pt idx="12">
                  <c:v>738.28810708726087</c:v>
                </c:pt>
                <c:pt idx="13">
                  <c:v>738.29514428409448</c:v>
                </c:pt>
                <c:pt idx="14">
                  <c:v>738.32978305645247</c:v>
                </c:pt>
                <c:pt idx="15">
                  <c:v>738.3775754126151</c:v>
                </c:pt>
                <c:pt idx="16">
                  <c:v>738.29923257023847</c:v>
                </c:pt>
                <c:pt idx="17">
                  <c:v>738.34385729782639</c:v>
                </c:pt>
                <c:pt idx="18">
                  <c:v>737.31552344787417</c:v>
                </c:pt>
                <c:pt idx="19">
                  <c:v>738.86520075774365</c:v>
                </c:pt>
                <c:pt idx="20">
                  <c:v>738.06158307785608</c:v>
                </c:pt>
                <c:pt idx="21">
                  <c:v>737.76328426770067</c:v>
                </c:pt>
                <c:pt idx="22">
                  <c:v>737.78406751683997</c:v>
                </c:pt>
                <c:pt idx="23">
                  <c:v>737.88238227415025</c:v>
                </c:pt>
                <c:pt idx="24">
                  <c:v>737.82828656865092</c:v>
                </c:pt>
                <c:pt idx="25">
                  <c:v>737.90102791335767</c:v>
                </c:pt>
                <c:pt idx="26">
                  <c:v>738.01666197415727</c:v>
                </c:pt>
                <c:pt idx="27">
                  <c:v>738.18771791080235</c:v>
                </c:pt>
                <c:pt idx="28">
                  <c:v>738.46136357359683</c:v>
                </c:pt>
                <c:pt idx="29">
                  <c:v>738.09898352083837</c:v>
                </c:pt>
                <c:pt idx="30">
                  <c:v>737.66640509967124</c:v>
                </c:pt>
                <c:pt idx="31">
                  <c:v>737.72396468507009</c:v>
                </c:pt>
                <c:pt idx="32">
                  <c:v>737.61138874914855</c:v>
                </c:pt>
                <c:pt idx="33">
                  <c:v>737.66854268970064</c:v>
                </c:pt>
                <c:pt idx="34">
                  <c:v>737.61658456225439</c:v>
                </c:pt>
                <c:pt idx="35">
                  <c:v>738.01379088567126</c:v>
                </c:pt>
                <c:pt idx="36">
                  <c:v>738.02724072825231</c:v>
                </c:pt>
                <c:pt idx="37">
                  <c:v>737.7022608036209</c:v>
                </c:pt>
                <c:pt idx="38">
                  <c:v>737.69146352824907</c:v>
                </c:pt>
                <c:pt idx="39">
                  <c:v>737.67414415279859</c:v>
                </c:pt>
                <c:pt idx="40">
                  <c:v>737.5796988546598</c:v>
                </c:pt>
                <c:pt idx="41">
                  <c:v>737.59956144823684</c:v>
                </c:pt>
                <c:pt idx="42">
                  <c:v>737.63980166628642</c:v>
                </c:pt>
                <c:pt idx="43">
                  <c:v>737.662831882045</c:v>
                </c:pt>
                <c:pt idx="44">
                  <c:v>738.76688629108753</c:v>
                </c:pt>
                <c:pt idx="45">
                  <c:v>738.56690246909443</c:v>
                </c:pt>
                <c:pt idx="46">
                  <c:v>738.30048102906699</c:v>
                </c:pt>
                <c:pt idx="47">
                  <c:v>738.11995399093598</c:v>
                </c:pt>
                <c:pt idx="48">
                  <c:v>738.15683956596467</c:v>
                </c:pt>
                <c:pt idx="49">
                  <c:v>738.45300050615026</c:v>
                </c:pt>
                <c:pt idx="50">
                  <c:v>738.23090711913653</c:v>
                </c:pt>
                <c:pt idx="51">
                  <c:v>738.36253419617537</c:v>
                </c:pt>
                <c:pt idx="52">
                  <c:v>738.52533604893654</c:v>
                </c:pt>
                <c:pt idx="53">
                  <c:v>738.64483949555984</c:v>
                </c:pt>
                <c:pt idx="54">
                  <c:v>738.38250601321715</c:v>
                </c:pt>
                <c:pt idx="55">
                  <c:v>738.29509787615029</c:v>
                </c:pt>
                <c:pt idx="56">
                  <c:v>738.26137971297396</c:v>
                </c:pt>
                <c:pt idx="57">
                  <c:v>737.99517657631839</c:v>
                </c:pt>
                <c:pt idx="58">
                  <c:v>737.97174085433664</c:v>
                </c:pt>
                <c:pt idx="59">
                  <c:v>737.984270087612</c:v>
                </c:pt>
                <c:pt idx="60">
                  <c:v>737.94443556360704</c:v>
                </c:pt>
                <c:pt idx="61">
                  <c:v>738.03184371763507</c:v>
                </c:pt>
                <c:pt idx="62">
                  <c:v>738.10366444858414</c:v>
                </c:pt>
                <c:pt idx="63">
                  <c:v>738.10712832011268</c:v>
                </c:pt>
                <c:pt idx="64">
                  <c:v>738.18414485793494</c:v>
                </c:pt>
                <c:pt idx="65">
                  <c:v>738.28245948880237</c:v>
                </c:pt>
                <c:pt idx="66">
                  <c:v>738.53399572014951</c:v>
                </c:pt>
                <c:pt idx="67">
                  <c:v>738.97217484532734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6031280"/>
        <c:axId val="-186032368"/>
      </c:scatterChart>
      <c:valAx>
        <c:axId val="-186031280"/>
        <c:scaling>
          <c:orientation val="minMax"/>
          <c:min val="42217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prstDash val="sys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lang="zh-CN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>
                    <a:solidFill>
                      <a:sysClr val="windowText" lastClr="000000"/>
                    </a:solidFill>
                  </a:rPr>
                  <a:t>日期</a:t>
                </a:r>
              </a:p>
            </c:rich>
          </c:tx>
          <c:layout>
            <c:manualLayout>
              <c:xMode val="edge"/>
              <c:yMode val="edge"/>
              <c:x val="0.86036004087275109"/>
              <c:y val="0.87094853209574352"/>
            </c:manualLayout>
          </c:layout>
          <c:overlay val="0"/>
          <c:spPr>
            <a:noFill/>
            <a:ln w="25400">
              <a:noFill/>
            </a:ln>
          </c:spPr>
        </c:title>
        <c:numFmt formatCode="yyyy/m/d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-186032368"/>
        <c:crosses val="autoZero"/>
        <c:crossBetween val="midCat"/>
        <c:majorUnit val="248"/>
      </c:valAx>
      <c:valAx>
        <c:axId val="-18603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prstDash val="sys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>
                  <a:defRPr lang="zh-CN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>
                    <a:solidFill>
                      <a:sysClr val="windowText" lastClr="000000"/>
                    </a:solidFill>
                  </a:rPr>
                  <a:t>水位</a:t>
                </a:r>
                <a:r>
                  <a:rPr lang="en-US" altLang="zh-CN">
                    <a:solidFill>
                      <a:sysClr val="windowText" lastClr="000000"/>
                    </a:solidFill>
                  </a:rPr>
                  <a:t>(m)</a:t>
                </a:r>
                <a:endParaRPr lang="zh-CN" altLang="en-US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2.523331530123632E-2"/>
              <c:y val="0.40562792233752237"/>
            </c:manualLayout>
          </c:layout>
          <c:overlay val="0"/>
          <c:spPr>
            <a:noFill/>
            <a:ln w="25400">
              <a:noFill/>
            </a:ln>
          </c:spPr>
        </c:title>
        <c:numFmt formatCode="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86031280"/>
        <c:crosses val="autoZero"/>
        <c:crossBetween val="midCat"/>
        <c:majorUnit val="1.5523883852630809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wMode val="edge"/>
          <c:hMode val="edge"/>
          <c:x val="0.31959708280739718"/>
          <c:y val="0.89409674784029458"/>
          <c:w val="0.7595209472861697"/>
          <c:h val="0.96860058055656961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horzOverflow="overflow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000000000000433" l="0.70000000000000062" r="0.70000000000000062" t="0.75000000000000433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003937007874"/>
          <c:y val="0.12962962962962837"/>
          <c:w val="0.82564129483815174"/>
          <c:h val="0.66632691746865536"/>
        </c:manualLayout>
      </c:layout>
      <c:scatterChart>
        <c:scatterStyle val="smoothMarker"/>
        <c:varyColors val="0"/>
        <c:ser>
          <c:idx val="0"/>
          <c:order val="0"/>
          <c:tx>
            <c:v>P4-6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'P4-01'!$A$8:$A$29</c:f>
              <c:numCache>
                <c:formatCode>m/d/yyyy</c:formatCode>
                <c:ptCount val="22"/>
                <c:pt idx="0">
                  <c:v>42916</c:v>
                </c:pt>
                <c:pt idx="1">
                  <c:v>42917</c:v>
                </c:pt>
                <c:pt idx="2">
                  <c:v>42918</c:v>
                </c:pt>
                <c:pt idx="3">
                  <c:v>42919</c:v>
                </c:pt>
                <c:pt idx="4">
                  <c:v>42920</c:v>
                </c:pt>
                <c:pt idx="5">
                  <c:v>42921</c:v>
                </c:pt>
                <c:pt idx="6">
                  <c:v>42922</c:v>
                </c:pt>
                <c:pt idx="7">
                  <c:v>42923</c:v>
                </c:pt>
                <c:pt idx="8">
                  <c:v>42924</c:v>
                </c:pt>
                <c:pt idx="9">
                  <c:v>42925</c:v>
                </c:pt>
                <c:pt idx="10">
                  <c:v>42926</c:v>
                </c:pt>
                <c:pt idx="11">
                  <c:v>42936</c:v>
                </c:pt>
                <c:pt idx="12">
                  <c:v>42946</c:v>
                </c:pt>
                <c:pt idx="13">
                  <c:v>42957</c:v>
                </c:pt>
                <c:pt idx="14">
                  <c:v>42967</c:v>
                </c:pt>
                <c:pt idx="15">
                  <c:v>42977</c:v>
                </c:pt>
                <c:pt idx="16">
                  <c:v>42988</c:v>
                </c:pt>
                <c:pt idx="17">
                  <c:v>42998</c:v>
                </c:pt>
                <c:pt idx="18">
                  <c:v>43008</c:v>
                </c:pt>
                <c:pt idx="19">
                  <c:v>43018</c:v>
                </c:pt>
                <c:pt idx="20">
                  <c:v>43230</c:v>
                </c:pt>
                <c:pt idx="21">
                  <c:v>43240</c:v>
                </c:pt>
              </c:numCache>
            </c:numRef>
          </c:xVal>
          <c:yVal>
            <c:numRef>
              <c:f>'P4-01'!$F$8:$F$28</c:f>
              <c:numCache>
                <c:formatCode>0.0</c:formatCode>
                <c:ptCount val="21"/>
                <c:pt idx="0">
                  <c:v>749.9879924407021</c:v>
                </c:pt>
                <c:pt idx="1">
                  <c:v>749.8900315107245</c:v>
                </c:pt>
                <c:pt idx="2">
                  <c:v>749.88734982096514</c:v>
                </c:pt>
                <c:pt idx="3">
                  <c:v>749.87122138253744</c:v>
                </c:pt>
                <c:pt idx="4">
                  <c:v>749.89392933281431</c:v>
                </c:pt>
                <c:pt idx="5">
                  <c:v>749.88191056157609</c:v>
                </c:pt>
                <c:pt idx="6">
                  <c:v>749.87338428672967</c:v>
                </c:pt>
                <c:pt idx="7">
                  <c:v>749.86632869299399</c:v>
                </c:pt>
                <c:pt idx="8">
                  <c:v>749.86093315458402</c:v>
                </c:pt>
                <c:pt idx="9">
                  <c:v>749.80749994188875</c:v>
                </c:pt>
                <c:pt idx="10">
                  <c:v>749.78402626391789</c:v>
                </c:pt>
                <c:pt idx="11">
                  <c:v>749.9434466015191</c:v>
                </c:pt>
                <c:pt idx="12">
                  <c:v>749.9269551021049</c:v>
                </c:pt>
                <c:pt idx="13">
                  <c:v>750.00703765033666</c:v>
                </c:pt>
                <c:pt idx="14">
                  <c:v>749.93723554632254</c:v>
                </c:pt>
                <c:pt idx="15">
                  <c:v>750.05435995354856</c:v>
                </c:pt>
                <c:pt idx="16">
                  <c:v>750.04146539727026</c:v>
                </c:pt>
                <c:pt idx="17">
                  <c:v>749.9554693298785</c:v>
                </c:pt>
                <c:pt idx="18">
                  <c:v>749.85677085863415</c:v>
                </c:pt>
                <c:pt idx="19">
                  <c:v>749.9877094500132</c:v>
                </c:pt>
                <c:pt idx="20">
                  <c:v>749.72129580433375</c:v>
                </c:pt>
              </c:numCache>
            </c:numRef>
          </c:yVal>
          <c:smooth val="1"/>
        </c:ser>
        <c:ser>
          <c:idx val="1"/>
          <c:order val="1"/>
          <c:tx>
            <c:v>P4-7</c:v>
          </c:tx>
          <c:spPr>
            <a:ln w="19050" cap="rnd">
              <a:solidFill>
                <a:schemeClr val="tx1"/>
              </a:solidFill>
              <a:prstDash val="lgDashDotDot"/>
              <a:round/>
            </a:ln>
            <a:effectLst/>
          </c:spPr>
          <c:marker>
            <c:symbol val="none"/>
          </c:marker>
          <c:xVal>
            <c:numRef>
              <c:f>'P4-07'!$A$8:$A$28</c:f>
              <c:numCache>
                <c:formatCode>m/d/yyyy</c:formatCode>
                <c:ptCount val="21"/>
                <c:pt idx="0">
                  <c:v>42265</c:v>
                </c:pt>
                <c:pt idx="1">
                  <c:v>42266</c:v>
                </c:pt>
                <c:pt idx="2">
                  <c:v>42267</c:v>
                </c:pt>
                <c:pt idx="3">
                  <c:v>42268</c:v>
                </c:pt>
                <c:pt idx="4">
                  <c:v>42269</c:v>
                </c:pt>
                <c:pt idx="5">
                  <c:v>42270</c:v>
                </c:pt>
                <c:pt idx="6">
                  <c:v>42271</c:v>
                </c:pt>
                <c:pt idx="7">
                  <c:v>42272</c:v>
                </c:pt>
                <c:pt idx="8">
                  <c:v>42273</c:v>
                </c:pt>
                <c:pt idx="9">
                  <c:v>42280</c:v>
                </c:pt>
                <c:pt idx="10">
                  <c:v>42287</c:v>
                </c:pt>
                <c:pt idx="11">
                  <c:v>42294</c:v>
                </c:pt>
                <c:pt idx="12">
                  <c:v>42301</c:v>
                </c:pt>
                <c:pt idx="13">
                  <c:v>42308</c:v>
                </c:pt>
                <c:pt idx="14">
                  <c:v>42521</c:v>
                </c:pt>
                <c:pt idx="15">
                  <c:v>42531</c:v>
                </c:pt>
                <c:pt idx="16">
                  <c:v>42544</c:v>
                </c:pt>
                <c:pt idx="17">
                  <c:v>42551</c:v>
                </c:pt>
                <c:pt idx="18">
                  <c:v>42561</c:v>
                </c:pt>
                <c:pt idx="19">
                  <c:v>42571</c:v>
                </c:pt>
                <c:pt idx="20">
                  <c:v>42581</c:v>
                </c:pt>
              </c:numCache>
            </c:numRef>
          </c:xVal>
          <c:yVal>
            <c:numRef>
              <c:f>'P4-07'!$F$8:$F$28</c:f>
              <c:numCache>
                <c:formatCode>0.0</c:formatCode>
                <c:ptCount val="21"/>
                <c:pt idx="0">
                  <c:v>741.5115457578006</c:v>
                </c:pt>
                <c:pt idx="1">
                  <c:v>745.82648969508818</c:v>
                </c:pt>
                <c:pt idx="2">
                  <c:v>739.28966932256253</c:v>
                </c:pt>
                <c:pt idx="3">
                  <c:v>738.50180518783714</c:v>
                </c:pt>
                <c:pt idx="4">
                  <c:v>738.70598420541216</c:v>
                </c:pt>
                <c:pt idx="5">
                  <c:v>738.74640000713987</c:v>
                </c:pt>
                <c:pt idx="6">
                  <c:v>738.84190059037519</c:v>
                </c:pt>
                <c:pt idx="7">
                  <c:v>738.79926127761576</c:v>
                </c:pt>
                <c:pt idx="8">
                  <c:v>738.6495478430669</c:v>
                </c:pt>
                <c:pt idx="9">
                  <c:v>738.63617718614046</c:v>
                </c:pt>
                <c:pt idx="10">
                  <c:v>738.62803962372766</c:v>
                </c:pt>
                <c:pt idx="11">
                  <c:v>738.66804845518811</c:v>
                </c:pt>
                <c:pt idx="12">
                  <c:v>738.59988211415066</c:v>
                </c:pt>
                <c:pt idx="13">
                  <c:v>738.60082748844764</c:v>
                </c:pt>
                <c:pt idx="14">
                  <c:v>738.19913158324471</c:v>
                </c:pt>
                <c:pt idx="15">
                  <c:v>738.00905927965368</c:v>
                </c:pt>
                <c:pt idx="16">
                  <c:v>739.54974339392697</c:v>
                </c:pt>
                <c:pt idx="17">
                  <c:v>738.6319801570379</c:v>
                </c:pt>
                <c:pt idx="18">
                  <c:v>738.33756221755641</c:v>
                </c:pt>
                <c:pt idx="19">
                  <c:v>737.88039900109538</c:v>
                </c:pt>
                <c:pt idx="20">
                  <c:v>737.97478724445295</c:v>
                </c:pt>
              </c:numCache>
            </c:numRef>
          </c:yVal>
          <c:smooth val="1"/>
        </c:ser>
        <c:ser>
          <c:idx val="2"/>
          <c:order val="2"/>
          <c:tx>
            <c:v>P4-8</c:v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'P4-08'!$A$8:$A$28</c:f>
              <c:numCache>
                <c:formatCode>m/d/yyyy</c:formatCode>
                <c:ptCount val="21"/>
                <c:pt idx="0">
                  <c:v>42265</c:v>
                </c:pt>
                <c:pt idx="1">
                  <c:v>42266</c:v>
                </c:pt>
                <c:pt idx="2">
                  <c:v>42267</c:v>
                </c:pt>
                <c:pt idx="3">
                  <c:v>42268</c:v>
                </c:pt>
                <c:pt idx="4">
                  <c:v>42269</c:v>
                </c:pt>
                <c:pt idx="5">
                  <c:v>42270</c:v>
                </c:pt>
                <c:pt idx="6">
                  <c:v>42271</c:v>
                </c:pt>
                <c:pt idx="7">
                  <c:v>42272</c:v>
                </c:pt>
                <c:pt idx="8">
                  <c:v>42273</c:v>
                </c:pt>
                <c:pt idx="9">
                  <c:v>42280</c:v>
                </c:pt>
                <c:pt idx="10">
                  <c:v>42287</c:v>
                </c:pt>
                <c:pt idx="11">
                  <c:v>42294</c:v>
                </c:pt>
                <c:pt idx="12">
                  <c:v>42301</c:v>
                </c:pt>
                <c:pt idx="13">
                  <c:v>42308</c:v>
                </c:pt>
                <c:pt idx="14">
                  <c:v>42521</c:v>
                </c:pt>
                <c:pt idx="15">
                  <c:v>42531</c:v>
                </c:pt>
                <c:pt idx="16">
                  <c:v>42544</c:v>
                </c:pt>
                <c:pt idx="17">
                  <c:v>42551</c:v>
                </c:pt>
                <c:pt idx="18">
                  <c:v>42561</c:v>
                </c:pt>
                <c:pt idx="19">
                  <c:v>42571</c:v>
                </c:pt>
                <c:pt idx="20">
                  <c:v>42581</c:v>
                </c:pt>
              </c:numCache>
            </c:numRef>
          </c:xVal>
          <c:yVal>
            <c:numRef>
              <c:f>'P4-08'!$F$8:$F$28</c:f>
              <c:numCache>
                <c:formatCode>0.0</c:formatCode>
                <c:ptCount val="21"/>
                <c:pt idx="0">
                  <c:v>742.07647742765005</c:v>
                </c:pt>
                <c:pt idx="1">
                  <c:v>746.91045506816863</c:v>
                </c:pt>
                <c:pt idx="2">
                  <c:v>739.2446174402105</c:v>
                </c:pt>
                <c:pt idx="3">
                  <c:v>739.81722918366177</c:v>
                </c:pt>
                <c:pt idx="4">
                  <c:v>738.65602942992064</c:v>
                </c:pt>
                <c:pt idx="5">
                  <c:v>738.66091322351554</c:v>
                </c:pt>
                <c:pt idx="6">
                  <c:v>738.69583983007408</c:v>
                </c:pt>
                <c:pt idx="7">
                  <c:v>738.65484128951255</c:v>
                </c:pt>
                <c:pt idx="8">
                  <c:v>738.60516886730761</c:v>
                </c:pt>
                <c:pt idx="9">
                  <c:v>738.43642750754179</c:v>
                </c:pt>
                <c:pt idx="10">
                  <c:v>738.45376555033135</c:v>
                </c:pt>
                <c:pt idx="11">
                  <c:v>738.42625147292335</c:v>
                </c:pt>
                <c:pt idx="12">
                  <c:v>738.34278907523515</c:v>
                </c:pt>
                <c:pt idx="13">
                  <c:v>738.34916978650551</c:v>
                </c:pt>
                <c:pt idx="14">
                  <c:v>737.78583907734117</c:v>
                </c:pt>
                <c:pt idx="15">
                  <c:v>737.60729353989427</c:v>
                </c:pt>
                <c:pt idx="16">
                  <c:v>739.13634218290383</c:v>
                </c:pt>
                <c:pt idx="17">
                  <c:v>738.24269492347651</c:v>
                </c:pt>
                <c:pt idx="18">
                  <c:v>737.55800501138606</c:v>
                </c:pt>
                <c:pt idx="19">
                  <c:v>737.6355506931277</c:v>
                </c:pt>
                <c:pt idx="20">
                  <c:v>737.72423982337193</c:v>
                </c:pt>
              </c:numCache>
            </c:numRef>
          </c:yVal>
          <c:smooth val="1"/>
        </c:ser>
        <c:ser>
          <c:idx val="3"/>
          <c:order val="3"/>
          <c:tx>
            <c:v>P4-9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'P4-09'!$A$8:$A$28</c:f>
              <c:numCache>
                <c:formatCode>m/d/yyyy</c:formatCode>
                <c:ptCount val="21"/>
                <c:pt idx="0">
                  <c:v>42265</c:v>
                </c:pt>
                <c:pt idx="1">
                  <c:v>42266</c:v>
                </c:pt>
                <c:pt idx="2">
                  <c:v>42267</c:v>
                </c:pt>
                <c:pt idx="3">
                  <c:v>42268</c:v>
                </c:pt>
                <c:pt idx="4">
                  <c:v>42269</c:v>
                </c:pt>
                <c:pt idx="5">
                  <c:v>42270</c:v>
                </c:pt>
                <c:pt idx="6">
                  <c:v>42271</c:v>
                </c:pt>
                <c:pt idx="7">
                  <c:v>42272</c:v>
                </c:pt>
                <c:pt idx="8">
                  <c:v>42273</c:v>
                </c:pt>
                <c:pt idx="9">
                  <c:v>42280</c:v>
                </c:pt>
                <c:pt idx="10">
                  <c:v>42287</c:v>
                </c:pt>
                <c:pt idx="11">
                  <c:v>42294</c:v>
                </c:pt>
                <c:pt idx="12">
                  <c:v>42301</c:v>
                </c:pt>
                <c:pt idx="13">
                  <c:v>42308</c:v>
                </c:pt>
                <c:pt idx="14">
                  <c:v>42521</c:v>
                </c:pt>
                <c:pt idx="15">
                  <c:v>42531</c:v>
                </c:pt>
                <c:pt idx="16">
                  <c:v>42544</c:v>
                </c:pt>
                <c:pt idx="17">
                  <c:v>42551</c:v>
                </c:pt>
                <c:pt idx="18">
                  <c:v>42561</c:v>
                </c:pt>
                <c:pt idx="19">
                  <c:v>42571</c:v>
                </c:pt>
                <c:pt idx="20">
                  <c:v>42581</c:v>
                </c:pt>
              </c:numCache>
            </c:numRef>
          </c:xVal>
          <c:yVal>
            <c:numRef>
              <c:f>'P4-09'!$F$8:$F$28</c:f>
              <c:numCache>
                <c:formatCode>0.0</c:formatCode>
                <c:ptCount val="21"/>
                <c:pt idx="0">
                  <c:v>743.10741965382863</c:v>
                </c:pt>
                <c:pt idx="1">
                  <c:v>748.41626636041815</c:v>
                </c:pt>
                <c:pt idx="2">
                  <c:v>738.10068057061892</c:v>
                </c:pt>
                <c:pt idx="3">
                  <c:v>737.68235541834827</c:v>
                </c:pt>
                <c:pt idx="4">
                  <c:v>737.60574854079277</c:v>
                </c:pt>
                <c:pt idx="5">
                  <c:v>737.28912243713205</c:v>
                </c:pt>
                <c:pt idx="6">
                  <c:v>737.62678353401793</c:v>
                </c:pt>
                <c:pt idx="7">
                  <c:v>737.53460848087138</c:v>
                </c:pt>
                <c:pt idx="8">
                  <c:v>737.60718257785754</c:v>
                </c:pt>
                <c:pt idx="9">
                  <c:v>737.42356666211106</c:v>
                </c:pt>
                <c:pt idx="10">
                  <c:v>737.58447430671288</c:v>
                </c:pt>
                <c:pt idx="11">
                  <c:v>737.44343600932871</c:v>
                </c:pt>
                <c:pt idx="12">
                  <c:v>737.36418900975843</c:v>
                </c:pt>
                <c:pt idx="13">
                  <c:v>737.38107252977352</c:v>
                </c:pt>
                <c:pt idx="14">
                  <c:v>736.64396061460525</c:v>
                </c:pt>
                <c:pt idx="15">
                  <c:v>736.5564181237296</c:v>
                </c:pt>
                <c:pt idx="16">
                  <c:v>738.0827017772541</c:v>
                </c:pt>
                <c:pt idx="17">
                  <c:v>737.21732952060665</c:v>
                </c:pt>
                <c:pt idx="18">
                  <c:v>736.95123405421725</c:v>
                </c:pt>
                <c:pt idx="19">
                  <c:v>736.80531889088331</c:v>
                </c:pt>
                <c:pt idx="20">
                  <c:v>736.89300809789347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1642352"/>
        <c:axId val="-161646160"/>
      </c:scatterChart>
      <c:valAx>
        <c:axId val="-161642352"/>
        <c:scaling>
          <c:orientation val="minMax"/>
          <c:min val="42217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prstDash val="sys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lang="zh-CN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>
                    <a:solidFill>
                      <a:sysClr val="windowText" lastClr="000000"/>
                    </a:solidFill>
                  </a:rPr>
                  <a:t>日期</a:t>
                </a:r>
              </a:p>
            </c:rich>
          </c:tx>
          <c:layout>
            <c:manualLayout>
              <c:xMode val="edge"/>
              <c:yMode val="edge"/>
              <c:x val="0.86036004087275109"/>
              <c:y val="0.87094853209574352"/>
            </c:manualLayout>
          </c:layout>
          <c:overlay val="0"/>
          <c:spPr>
            <a:noFill/>
            <a:ln w="25400">
              <a:noFill/>
            </a:ln>
          </c:spPr>
        </c:title>
        <c:numFmt formatCode="yyyy/m/d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-161646160"/>
        <c:crosses val="autoZero"/>
        <c:crossBetween val="midCat"/>
        <c:majorUnit val="62"/>
      </c:valAx>
      <c:valAx>
        <c:axId val="-16164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prstDash val="sysDash"/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 algn="ctr">
                  <a:defRPr lang="zh-CN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>
                    <a:solidFill>
                      <a:sysClr val="windowText" lastClr="000000"/>
                    </a:solidFill>
                  </a:rPr>
                  <a:t>水位</a:t>
                </a:r>
                <a:r>
                  <a:rPr lang="en-US" altLang="zh-CN">
                    <a:solidFill>
                      <a:sysClr val="windowText" lastClr="000000"/>
                    </a:solidFill>
                  </a:rPr>
                  <a:t>(m)</a:t>
                </a:r>
                <a:endParaRPr lang="zh-CN" altLang="en-US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4.0500490873755332E-2"/>
              <c:y val="2.5936973110149412E-2"/>
            </c:manualLayout>
          </c:layout>
          <c:overlay val="0"/>
          <c:spPr>
            <a:noFill/>
            <a:ln w="25400">
              <a:noFill/>
            </a:ln>
          </c:spPr>
        </c:title>
        <c:numFmt formatCode="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61642352"/>
        <c:crosses val="autoZero"/>
        <c:crossBetween val="midCat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5"/>
          <c:y val="0.89403973509933776"/>
          <c:w val="0.58587786259541985"/>
          <c:h val="7.2847682119205434E-2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horzOverflow="overflow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000000000000433" l="0.70000000000000062" r="0.70000000000000062" t="0.75000000000000433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003937007874"/>
          <c:y val="0.12962962962962837"/>
          <c:w val="0.82564129483815174"/>
          <c:h val="0.66632691746865536"/>
        </c:manualLayout>
      </c:layout>
      <c:scatterChart>
        <c:scatterStyle val="smoothMarker"/>
        <c:varyColors val="0"/>
        <c:ser>
          <c:idx val="0"/>
          <c:order val="0"/>
          <c:tx>
            <c:v>P4-6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'P4-02'!$A$8:$A$29</c:f>
              <c:numCache>
                <c:formatCode>m/d/yyyy</c:formatCode>
                <c:ptCount val="22"/>
                <c:pt idx="0">
                  <c:v>42872</c:v>
                </c:pt>
                <c:pt idx="1">
                  <c:v>42873</c:v>
                </c:pt>
                <c:pt idx="2">
                  <c:v>42874</c:v>
                </c:pt>
                <c:pt idx="3">
                  <c:v>42875</c:v>
                </c:pt>
                <c:pt idx="4">
                  <c:v>42876</c:v>
                </c:pt>
                <c:pt idx="5">
                  <c:v>42877</c:v>
                </c:pt>
                <c:pt idx="6">
                  <c:v>42878</c:v>
                </c:pt>
                <c:pt idx="7">
                  <c:v>42885</c:v>
                </c:pt>
                <c:pt idx="8">
                  <c:v>42896</c:v>
                </c:pt>
                <c:pt idx="9">
                  <c:v>42906</c:v>
                </c:pt>
                <c:pt idx="10">
                  <c:v>42916</c:v>
                </c:pt>
                <c:pt idx="11">
                  <c:v>42926</c:v>
                </c:pt>
                <c:pt idx="12">
                  <c:v>42936</c:v>
                </c:pt>
                <c:pt idx="13">
                  <c:v>42946</c:v>
                </c:pt>
                <c:pt idx="14">
                  <c:v>42957</c:v>
                </c:pt>
                <c:pt idx="15">
                  <c:v>42967</c:v>
                </c:pt>
                <c:pt idx="16">
                  <c:v>42977</c:v>
                </c:pt>
                <c:pt idx="17">
                  <c:v>42988</c:v>
                </c:pt>
                <c:pt idx="18">
                  <c:v>42998</c:v>
                </c:pt>
                <c:pt idx="19">
                  <c:v>43008</c:v>
                </c:pt>
                <c:pt idx="20">
                  <c:v>43018</c:v>
                </c:pt>
                <c:pt idx="21">
                  <c:v>43230</c:v>
                </c:pt>
              </c:numCache>
            </c:numRef>
          </c:xVal>
          <c:yVal>
            <c:numRef>
              <c:f>'P4-02'!$F$8:$F$28</c:f>
              <c:numCache>
                <c:formatCode>0.0</c:formatCode>
                <c:ptCount val="21"/>
                <c:pt idx="0">
                  <c:v>743.89134919872208</c:v>
                </c:pt>
                <c:pt idx="1">
                  <c:v>743.86203224707515</c:v>
                </c:pt>
                <c:pt idx="2">
                  <c:v>743.95122445219647</c:v>
                </c:pt>
                <c:pt idx="3">
                  <c:v>744.1326154383496</c:v>
                </c:pt>
                <c:pt idx="4">
                  <c:v>744.18733714753193</c:v>
                </c:pt>
                <c:pt idx="5">
                  <c:v>744.06837774807502</c:v>
                </c:pt>
                <c:pt idx="6">
                  <c:v>744.05054028443283</c:v>
                </c:pt>
                <c:pt idx="7">
                  <c:v>743.97501481661948</c:v>
                </c:pt>
                <c:pt idx="8">
                  <c:v>744.04044263517233</c:v>
                </c:pt>
                <c:pt idx="9">
                  <c:v>744.03157574943373</c:v>
                </c:pt>
                <c:pt idx="10">
                  <c:v>743.95962565873958</c:v>
                </c:pt>
                <c:pt idx="11">
                  <c:v>743.82456183374211</c:v>
                </c:pt>
                <c:pt idx="12">
                  <c:v>743.93645762287247</c:v>
                </c:pt>
                <c:pt idx="13">
                  <c:v>743.9007582243778</c:v>
                </c:pt>
                <c:pt idx="14">
                  <c:v>744.03591252957449</c:v>
                </c:pt>
                <c:pt idx="15">
                  <c:v>743.96267162162269</c:v>
                </c:pt>
                <c:pt idx="16">
                  <c:v>744.10137381156994</c:v>
                </c:pt>
                <c:pt idx="17">
                  <c:v>744.08892300335742</c:v>
                </c:pt>
                <c:pt idx="18">
                  <c:v>743.90671677086675</c:v>
                </c:pt>
                <c:pt idx="19">
                  <c:v>743.81983064279325</c:v>
                </c:pt>
                <c:pt idx="20">
                  <c:v>743.96509568046986</c:v>
                </c:pt>
              </c:numCache>
            </c:numRef>
          </c:yVal>
          <c:smooth val="1"/>
        </c:ser>
        <c:ser>
          <c:idx val="1"/>
          <c:order val="1"/>
          <c:tx>
            <c:v>P4-7</c:v>
          </c:tx>
          <c:spPr>
            <a:ln w="19050" cap="rnd">
              <a:solidFill>
                <a:schemeClr val="tx1"/>
              </a:solidFill>
              <a:prstDash val="lgDashDotDot"/>
              <a:round/>
            </a:ln>
            <a:effectLst/>
          </c:spPr>
          <c:marker>
            <c:symbol val="none"/>
          </c:marker>
          <c:xVal>
            <c:numRef>
              <c:f>'P4-07'!$A$8:$A$28</c:f>
              <c:numCache>
                <c:formatCode>m/d/yyyy</c:formatCode>
                <c:ptCount val="21"/>
                <c:pt idx="0">
                  <c:v>42265</c:v>
                </c:pt>
                <c:pt idx="1">
                  <c:v>42266</c:v>
                </c:pt>
                <c:pt idx="2">
                  <c:v>42267</c:v>
                </c:pt>
                <c:pt idx="3">
                  <c:v>42268</c:v>
                </c:pt>
                <c:pt idx="4">
                  <c:v>42269</c:v>
                </c:pt>
                <c:pt idx="5">
                  <c:v>42270</c:v>
                </c:pt>
                <c:pt idx="6">
                  <c:v>42271</c:v>
                </c:pt>
                <c:pt idx="7">
                  <c:v>42272</c:v>
                </c:pt>
                <c:pt idx="8">
                  <c:v>42273</c:v>
                </c:pt>
                <c:pt idx="9">
                  <c:v>42280</c:v>
                </c:pt>
                <c:pt idx="10">
                  <c:v>42287</c:v>
                </c:pt>
                <c:pt idx="11">
                  <c:v>42294</c:v>
                </c:pt>
                <c:pt idx="12">
                  <c:v>42301</c:v>
                </c:pt>
                <c:pt idx="13">
                  <c:v>42308</c:v>
                </c:pt>
                <c:pt idx="14">
                  <c:v>42521</c:v>
                </c:pt>
                <c:pt idx="15">
                  <c:v>42531</c:v>
                </c:pt>
                <c:pt idx="16">
                  <c:v>42544</c:v>
                </c:pt>
                <c:pt idx="17">
                  <c:v>42551</c:v>
                </c:pt>
                <c:pt idx="18">
                  <c:v>42561</c:v>
                </c:pt>
                <c:pt idx="19">
                  <c:v>42571</c:v>
                </c:pt>
                <c:pt idx="20">
                  <c:v>42581</c:v>
                </c:pt>
              </c:numCache>
            </c:numRef>
          </c:xVal>
          <c:yVal>
            <c:numRef>
              <c:f>'P4-07'!$F$8:$F$28</c:f>
              <c:numCache>
                <c:formatCode>0.0</c:formatCode>
                <c:ptCount val="21"/>
                <c:pt idx="0">
                  <c:v>741.5115457578006</c:v>
                </c:pt>
                <c:pt idx="1">
                  <c:v>745.82648969508818</c:v>
                </c:pt>
                <c:pt idx="2">
                  <c:v>739.28966932256253</c:v>
                </c:pt>
                <c:pt idx="3">
                  <c:v>738.50180518783714</c:v>
                </c:pt>
                <c:pt idx="4">
                  <c:v>738.70598420541216</c:v>
                </c:pt>
                <c:pt idx="5">
                  <c:v>738.74640000713987</c:v>
                </c:pt>
                <c:pt idx="6">
                  <c:v>738.84190059037519</c:v>
                </c:pt>
                <c:pt idx="7">
                  <c:v>738.79926127761576</c:v>
                </c:pt>
                <c:pt idx="8">
                  <c:v>738.6495478430669</c:v>
                </c:pt>
                <c:pt idx="9">
                  <c:v>738.63617718614046</c:v>
                </c:pt>
                <c:pt idx="10">
                  <c:v>738.62803962372766</c:v>
                </c:pt>
                <c:pt idx="11">
                  <c:v>738.66804845518811</c:v>
                </c:pt>
                <c:pt idx="12">
                  <c:v>738.59988211415066</c:v>
                </c:pt>
                <c:pt idx="13">
                  <c:v>738.60082748844764</c:v>
                </c:pt>
                <c:pt idx="14">
                  <c:v>738.19913158324471</c:v>
                </c:pt>
                <c:pt idx="15">
                  <c:v>738.00905927965368</c:v>
                </c:pt>
                <c:pt idx="16">
                  <c:v>739.54974339392697</c:v>
                </c:pt>
                <c:pt idx="17">
                  <c:v>738.6319801570379</c:v>
                </c:pt>
                <c:pt idx="18">
                  <c:v>738.33756221755641</c:v>
                </c:pt>
                <c:pt idx="19">
                  <c:v>737.88039900109538</c:v>
                </c:pt>
                <c:pt idx="20">
                  <c:v>737.97478724445295</c:v>
                </c:pt>
              </c:numCache>
            </c:numRef>
          </c:yVal>
          <c:smooth val="1"/>
        </c:ser>
        <c:ser>
          <c:idx val="2"/>
          <c:order val="2"/>
          <c:tx>
            <c:v>P4-8</c:v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'P4-08'!$A$8:$A$28</c:f>
              <c:numCache>
                <c:formatCode>m/d/yyyy</c:formatCode>
                <c:ptCount val="21"/>
                <c:pt idx="0">
                  <c:v>42265</c:v>
                </c:pt>
                <c:pt idx="1">
                  <c:v>42266</c:v>
                </c:pt>
                <c:pt idx="2">
                  <c:v>42267</c:v>
                </c:pt>
                <c:pt idx="3">
                  <c:v>42268</c:v>
                </c:pt>
                <c:pt idx="4">
                  <c:v>42269</c:v>
                </c:pt>
                <c:pt idx="5">
                  <c:v>42270</c:v>
                </c:pt>
                <c:pt idx="6">
                  <c:v>42271</c:v>
                </c:pt>
                <c:pt idx="7">
                  <c:v>42272</c:v>
                </c:pt>
                <c:pt idx="8">
                  <c:v>42273</c:v>
                </c:pt>
                <c:pt idx="9">
                  <c:v>42280</c:v>
                </c:pt>
                <c:pt idx="10">
                  <c:v>42287</c:v>
                </c:pt>
                <c:pt idx="11">
                  <c:v>42294</c:v>
                </c:pt>
                <c:pt idx="12">
                  <c:v>42301</c:v>
                </c:pt>
                <c:pt idx="13">
                  <c:v>42308</c:v>
                </c:pt>
                <c:pt idx="14">
                  <c:v>42521</c:v>
                </c:pt>
                <c:pt idx="15">
                  <c:v>42531</c:v>
                </c:pt>
                <c:pt idx="16">
                  <c:v>42544</c:v>
                </c:pt>
                <c:pt idx="17">
                  <c:v>42551</c:v>
                </c:pt>
                <c:pt idx="18">
                  <c:v>42561</c:v>
                </c:pt>
                <c:pt idx="19">
                  <c:v>42571</c:v>
                </c:pt>
                <c:pt idx="20">
                  <c:v>42581</c:v>
                </c:pt>
              </c:numCache>
            </c:numRef>
          </c:xVal>
          <c:yVal>
            <c:numRef>
              <c:f>'P4-08'!$F$8:$F$28</c:f>
              <c:numCache>
                <c:formatCode>0.0</c:formatCode>
                <c:ptCount val="21"/>
                <c:pt idx="0">
                  <c:v>742.07647742765005</c:v>
                </c:pt>
                <c:pt idx="1">
                  <c:v>746.91045506816863</c:v>
                </c:pt>
                <c:pt idx="2">
                  <c:v>739.2446174402105</c:v>
                </c:pt>
                <c:pt idx="3">
                  <c:v>739.81722918366177</c:v>
                </c:pt>
                <c:pt idx="4">
                  <c:v>738.65602942992064</c:v>
                </c:pt>
                <c:pt idx="5">
                  <c:v>738.66091322351554</c:v>
                </c:pt>
                <c:pt idx="6">
                  <c:v>738.69583983007408</c:v>
                </c:pt>
                <c:pt idx="7">
                  <c:v>738.65484128951255</c:v>
                </c:pt>
                <c:pt idx="8">
                  <c:v>738.60516886730761</c:v>
                </c:pt>
                <c:pt idx="9">
                  <c:v>738.43642750754179</c:v>
                </c:pt>
                <c:pt idx="10">
                  <c:v>738.45376555033135</c:v>
                </c:pt>
                <c:pt idx="11">
                  <c:v>738.42625147292335</c:v>
                </c:pt>
                <c:pt idx="12">
                  <c:v>738.34278907523515</c:v>
                </c:pt>
                <c:pt idx="13">
                  <c:v>738.34916978650551</c:v>
                </c:pt>
                <c:pt idx="14">
                  <c:v>737.78583907734117</c:v>
                </c:pt>
                <c:pt idx="15">
                  <c:v>737.60729353989427</c:v>
                </c:pt>
                <c:pt idx="16">
                  <c:v>739.13634218290383</c:v>
                </c:pt>
                <c:pt idx="17">
                  <c:v>738.24269492347651</c:v>
                </c:pt>
                <c:pt idx="18">
                  <c:v>737.55800501138606</c:v>
                </c:pt>
                <c:pt idx="19">
                  <c:v>737.6355506931277</c:v>
                </c:pt>
                <c:pt idx="20">
                  <c:v>737.72423982337193</c:v>
                </c:pt>
              </c:numCache>
            </c:numRef>
          </c:yVal>
          <c:smooth val="1"/>
        </c:ser>
        <c:ser>
          <c:idx val="3"/>
          <c:order val="3"/>
          <c:tx>
            <c:v>P4-9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'P4-09'!$A$8:$A$28</c:f>
              <c:numCache>
                <c:formatCode>m/d/yyyy</c:formatCode>
                <c:ptCount val="21"/>
                <c:pt idx="0">
                  <c:v>42265</c:v>
                </c:pt>
                <c:pt idx="1">
                  <c:v>42266</c:v>
                </c:pt>
                <c:pt idx="2">
                  <c:v>42267</c:v>
                </c:pt>
                <c:pt idx="3">
                  <c:v>42268</c:v>
                </c:pt>
                <c:pt idx="4">
                  <c:v>42269</c:v>
                </c:pt>
                <c:pt idx="5">
                  <c:v>42270</c:v>
                </c:pt>
                <c:pt idx="6">
                  <c:v>42271</c:v>
                </c:pt>
                <c:pt idx="7">
                  <c:v>42272</c:v>
                </c:pt>
                <c:pt idx="8">
                  <c:v>42273</c:v>
                </c:pt>
                <c:pt idx="9">
                  <c:v>42280</c:v>
                </c:pt>
                <c:pt idx="10">
                  <c:v>42287</c:v>
                </c:pt>
                <c:pt idx="11">
                  <c:v>42294</c:v>
                </c:pt>
                <c:pt idx="12">
                  <c:v>42301</c:v>
                </c:pt>
                <c:pt idx="13">
                  <c:v>42308</c:v>
                </c:pt>
                <c:pt idx="14">
                  <c:v>42521</c:v>
                </c:pt>
                <c:pt idx="15">
                  <c:v>42531</c:v>
                </c:pt>
                <c:pt idx="16">
                  <c:v>42544</c:v>
                </c:pt>
                <c:pt idx="17">
                  <c:v>42551</c:v>
                </c:pt>
                <c:pt idx="18">
                  <c:v>42561</c:v>
                </c:pt>
                <c:pt idx="19">
                  <c:v>42571</c:v>
                </c:pt>
                <c:pt idx="20">
                  <c:v>42581</c:v>
                </c:pt>
              </c:numCache>
            </c:numRef>
          </c:xVal>
          <c:yVal>
            <c:numRef>
              <c:f>'P4-09'!$F$8:$F$28</c:f>
              <c:numCache>
                <c:formatCode>0.0</c:formatCode>
                <c:ptCount val="21"/>
                <c:pt idx="0">
                  <c:v>743.10741965382863</c:v>
                </c:pt>
                <c:pt idx="1">
                  <c:v>748.41626636041815</c:v>
                </c:pt>
                <c:pt idx="2">
                  <c:v>738.10068057061892</c:v>
                </c:pt>
                <c:pt idx="3">
                  <c:v>737.68235541834827</c:v>
                </c:pt>
                <c:pt idx="4">
                  <c:v>737.60574854079277</c:v>
                </c:pt>
                <c:pt idx="5">
                  <c:v>737.28912243713205</c:v>
                </c:pt>
                <c:pt idx="6">
                  <c:v>737.62678353401793</c:v>
                </c:pt>
                <c:pt idx="7">
                  <c:v>737.53460848087138</c:v>
                </c:pt>
                <c:pt idx="8">
                  <c:v>737.60718257785754</c:v>
                </c:pt>
                <c:pt idx="9">
                  <c:v>737.42356666211106</c:v>
                </c:pt>
                <c:pt idx="10">
                  <c:v>737.58447430671288</c:v>
                </c:pt>
                <c:pt idx="11">
                  <c:v>737.44343600932871</c:v>
                </c:pt>
                <c:pt idx="12">
                  <c:v>737.36418900975843</c:v>
                </c:pt>
                <c:pt idx="13">
                  <c:v>737.38107252977352</c:v>
                </c:pt>
                <c:pt idx="14">
                  <c:v>736.64396061460525</c:v>
                </c:pt>
                <c:pt idx="15">
                  <c:v>736.5564181237296</c:v>
                </c:pt>
                <c:pt idx="16">
                  <c:v>738.0827017772541</c:v>
                </c:pt>
                <c:pt idx="17">
                  <c:v>737.21732952060665</c:v>
                </c:pt>
                <c:pt idx="18">
                  <c:v>736.95123405421725</c:v>
                </c:pt>
                <c:pt idx="19">
                  <c:v>736.80531889088331</c:v>
                </c:pt>
                <c:pt idx="20">
                  <c:v>736.89300809789347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1648880"/>
        <c:axId val="-161638000"/>
      </c:scatterChart>
      <c:valAx>
        <c:axId val="-161648880"/>
        <c:scaling>
          <c:orientation val="minMax"/>
          <c:min val="42217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prstDash val="sys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lang="zh-CN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>
                    <a:solidFill>
                      <a:sysClr val="windowText" lastClr="000000"/>
                    </a:solidFill>
                  </a:rPr>
                  <a:t>日期</a:t>
                </a:r>
              </a:p>
            </c:rich>
          </c:tx>
          <c:layout>
            <c:manualLayout>
              <c:xMode val="edge"/>
              <c:yMode val="edge"/>
              <c:x val="0.86036004087275109"/>
              <c:y val="0.87094853209574352"/>
            </c:manualLayout>
          </c:layout>
          <c:overlay val="0"/>
          <c:spPr>
            <a:noFill/>
            <a:ln w="25400">
              <a:noFill/>
            </a:ln>
          </c:spPr>
        </c:title>
        <c:numFmt formatCode="yyyy/m/d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-161638000"/>
        <c:crosses val="autoZero"/>
        <c:crossBetween val="midCat"/>
        <c:majorUnit val="62"/>
      </c:valAx>
      <c:valAx>
        <c:axId val="-16163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prstDash val="sysDash"/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 algn="ctr">
                  <a:defRPr lang="zh-CN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>
                    <a:solidFill>
                      <a:sysClr val="windowText" lastClr="000000"/>
                    </a:solidFill>
                  </a:rPr>
                  <a:t>水位</a:t>
                </a:r>
                <a:r>
                  <a:rPr lang="en-US" altLang="zh-CN">
                    <a:solidFill>
                      <a:sysClr val="windowText" lastClr="000000"/>
                    </a:solidFill>
                  </a:rPr>
                  <a:t>(m)</a:t>
                </a:r>
                <a:endParaRPr lang="zh-CN" altLang="en-US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4.0500490873755332E-2"/>
              <c:y val="2.5936973110149412E-2"/>
            </c:manualLayout>
          </c:layout>
          <c:overlay val="0"/>
          <c:spPr>
            <a:noFill/>
            <a:ln w="25400">
              <a:noFill/>
            </a:ln>
          </c:spPr>
        </c:title>
        <c:numFmt formatCode="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61648880"/>
        <c:crosses val="autoZero"/>
        <c:crossBetween val="midCat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7671755725190839"/>
          <c:y val="0.89403973509933776"/>
          <c:w val="0.58587786259541985"/>
          <c:h val="7.2847682119205434E-2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horzOverflow="overflow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000000000000433" l="0.70000000000000062" r="0.70000000000000062" t="0.750000000000004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</xdr:colOff>
      <xdr:row>11</xdr:row>
      <xdr:rowOff>38100</xdr:rowOff>
    </xdr:from>
    <xdr:to>
      <xdr:col>14</xdr:col>
      <xdr:colOff>504825</xdr:colOff>
      <xdr:row>27</xdr:row>
      <xdr:rowOff>38100</xdr:rowOff>
    </xdr:to>
    <xdr:graphicFrame macro="">
      <xdr:nvGraphicFramePr>
        <xdr:cNvPr id="2049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419100</xdr:colOff>
      <xdr:row>9</xdr:row>
      <xdr:rowOff>123825</xdr:rowOff>
    </xdr:from>
    <xdr:to>
      <xdr:col>14</xdr:col>
      <xdr:colOff>609600</xdr:colOff>
      <xdr:row>26</xdr:row>
      <xdr:rowOff>85725</xdr:rowOff>
    </xdr:to>
    <xdr:graphicFrame macro="">
      <xdr:nvGraphicFramePr>
        <xdr:cNvPr id="21505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419100</xdr:colOff>
      <xdr:row>9</xdr:row>
      <xdr:rowOff>123825</xdr:rowOff>
    </xdr:from>
    <xdr:to>
      <xdr:col>14</xdr:col>
      <xdr:colOff>609600</xdr:colOff>
      <xdr:row>26</xdr:row>
      <xdr:rowOff>85725</xdr:rowOff>
    </xdr:to>
    <xdr:graphicFrame macro="">
      <xdr:nvGraphicFramePr>
        <xdr:cNvPr id="23553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419100</xdr:colOff>
      <xdr:row>9</xdr:row>
      <xdr:rowOff>123825</xdr:rowOff>
    </xdr:from>
    <xdr:to>
      <xdr:col>14</xdr:col>
      <xdr:colOff>609600</xdr:colOff>
      <xdr:row>26</xdr:row>
      <xdr:rowOff>85725</xdr:rowOff>
    </xdr:to>
    <xdr:graphicFrame macro="">
      <xdr:nvGraphicFramePr>
        <xdr:cNvPr id="25601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51</xdr:row>
      <xdr:rowOff>0</xdr:rowOff>
    </xdr:from>
    <xdr:to>
      <xdr:col>15</xdr:col>
      <xdr:colOff>457200</xdr:colOff>
      <xdr:row>67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504825</xdr:colOff>
      <xdr:row>5</xdr:row>
      <xdr:rowOff>161925</xdr:rowOff>
    </xdr:from>
    <xdr:to>
      <xdr:col>15</xdr:col>
      <xdr:colOff>238125</xdr:colOff>
      <xdr:row>22</xdr:row>
      <xdr:rowOff>47625</xdr:rowOff>
    </xdr:to>
    <xdr:graphicFrame macro="">
      <xdr:nvGraphicFramePr>
        <xdr:cNvPr id="27649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676275</xdr:colOff>
      <xdr:row>9</xdr:row>
      <xdr:rowOff>28575</xdr:rowOff>
    </xdr:from>
    <xdr:to>
      <xdr:col>15</xdr:col>
      <xdr:colOff>180975</xdr:colOff>
      <xdr:row>25</xdr:row>
      <xdr:rowOff>161925</xdr:rowOff>
    </xdr:to>
    <xdr:graphicFrame macro="">
      <xdr:nvGraphicFramePr>
        <xdr:cNvPr id="29697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600075</xdr:colOff>
      <xdr:row>9</xdr:row>
      <xdr:rowOff>114300</xdr:rowOff>
    </xdr:from>
    <xdr:to>
      <xdr:col>15</xdr:col>
      <xdr:colOff>76200</xdr:colOff>
      <xdr:row>25</xdr:row>
      <xdr:rowOff>114300</xdr:rowOff>
    </xdr:to>
    <xdr:graphicFrame macro="">
      <xdr:nvGraphicFramePr>
        <xdr:cNvPr id="31745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15</xdr:col>
      <xdr:colOff>457200</xdr:colOff>
      <xdr:row>48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523875</xdr:colOff>
      <xdr:row>7</xdr:row>
      <xdr:rowOff>28575</xdr:rowOff>
    </xdr:from>
    <xdr:to>
      <xdr:col>14</xdr:col>
      <xdr:colOff>295275</xdr:colOff>
      <xdr:row>22</xdr:row>
      <xdr:rowOff>95250</xdr:rowOff>
    </xdr:to>
    <xdr:graphicFrame macro="">
      <xdr:nvGraphicFramePr>
        <xdr:cNvPr id="33793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666750</xdr:colOff>
      <xdr:row>8</xdr:row>
      <xdr:rowOff>47625</xdr:rowOff>
    </xdr:from>
    <xdr:to>
      <xdr:col>14</xdr:col>
      <xdr:colOff>438150</xdr:colOff>
      <xdr:row>24</xdr:row>
      <xdr:rowOff>47625</xdr:rowOff>
    </xdr:to>
    <xdr:graphicFrame macro="">
      <xdr:nvGraphicFramePr>
        <xdr:cNvPr id="35841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10</xdr:row>
      <xdr:rowOff>0</xdr:rowOff>
    </xdr:from>
    <xdr:to>
      <xdr:col>14</xdr:col>
      <xdr:colOff>457200</xdr:colOff>
      <xdr:row>26</xdr:row>
      <xdr:rowOff>0</xdr:rowOff>
    </xdr:to>
    <xdr:graphicFrame macro="">
      <xdr:nvGraphicFramePr>
        <xdr:cNvPr id="37889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12</xdr:row>
      <xdr:rowOff>0</xdr:rowOff>
    </xdr:from>
    <xdr:to>
      <xdr:col>14</xdr:col>
      <xdr:colOff>457200</xdr:colOff>
      <xdr:row>28</xdr:row>
      <xdr:rowOff>0</xdr:rowOff>
    </xdr:to>
    <xdr:graphicFrame macro="">
      <xdr:nvGraphicFramePr>
        <xdr:cNvPr id="39937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390525</xdr:colOff>
      <xdr:row>7</xdr:row>
      <xdr:rowOff>114300</xdr:rowOff>
    </xdr:from>
    <xdr:to>
      <xdr:col>15</xdr:col>
      <xdr:colOff>161925</xdr:colOff>
      <xdr:row>23</xdr:row>
      <xdr:rowOff>114300</xdr:rowOff>
    </xdr:to>
    <xdr:graphicFrame macro="">
      <xdr:nvGraphicFramePr>
        <xdr:cNvPr id="4097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400050</xdr:colOff>
      <xdr:row>20</xdr:row>
      <xdr:rowOff>76200</xdr:rowOff>
    </xdr:from>
    <xdr:to>
      <xdr:col>15</xdr:col>
      <xdr:colOff>171450</xdr:colOff>
      <xdr:row>36</xdr:row>
      <xdr:rowOff>76200</xdr:rowOff>
    </xdr:to>
    <xdr:graphicFrame macro="">
      <xdr:nvGraphicFramePr>
        <xdr:cNvPr id="41986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447675</xdr:colOff>
      <xdr:row>4</xdr:row>
      <xdr:rowOff>9525</xdr:rowOff>
    </xdr:from>
    <xdr:to>
      <xdr:col>15</xdr:col>
      <xdr:colOff>219075</xdr:colOff>
      <xdr:row>20</xdr:row>
      <xdr:rowOff>9525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590550</xdr:colOff>
      <xdr:row>7</xdr:row>
      <xdr:rowOff>47625</xdr:rowOff>
    </xdr:from>
    <xdr:to>
      <xdr:col>15</xdr:col>
      <xdr:colOff>95250</xdr:colOff>
      <xdr:row>24</xdr:row>
      <xdr:rowOff>9525</xdr:rowOff>
    </xdr:to>
    <xdr:graphicFrame macro="">
      <xdr:nvGraphicFramePr>
        <xdr:cNvPr id="45057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47625</xdr:colOff>
      <xdr:row>40</xdr:row>
      <xdr:rowOff>0</xdr:rowOff>
    </xdr:from>
    <xdr:to>
      <xdr:col>15</xdr:col>
      <xdr:colOff>504825</xdr:colOff>
      <xdr:row>56</xdr:row>
      <xdr:rowOff>0</xdr:rowOff>
    </xdr:to>
    <xdr:graphicFrame macro="">
      <xdr:nvGraphicFramePr>
        <xdr:cNvPr id="7" name="图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600075</xdr:colOff>
      <xdr:row>6</xdr:row>
      <xdr:rowOff>38100</xdr:rowOff>
    </xdr:from>
    <xdr:to>
      <xdr:col>16</xdr:col>
      <xdr:colOff>104775</xdr:colOff>
      <xdr:row>23</xdr:row>
      <xdr:rowOff>0</xdr:rowOff>
    </xdr:to>
    <xdr:graphicFrame macro="">
      <xdr:nvGraphicFramePr>
        <xdr:cNvPr id="47105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419100</xdr:colOff>
      <xdr:row>9</xdr:row>
      <xdr:rowOff>123825</xdr:rowOff>
    </xdr:from>
    <xdr:to>
      <xdr:col>14</xdr:col>
      <xdr:colOff>609600</xdr:colOff>
      <xdr:row>26</xdr:row>
      <xdr:rowOff>85725</xdr:rowOff>
    </xdr:to>
    <xdr:graphicFrame macro="">
      <xdr:nvGraphicFramePr>
        <xdr:cNvPr id="49153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0.49902</cdr:x>
      <cdr:y>0.49807</cdr:y>
    </cdr:from>
    <cdr:to>
      <cdr:x>0.52796</cdr:x>
      <cdr:y>0.55778</cdr:y>
    </cdr:to>
    <cdr:sp macro="" textlink="">
      <cdr:nvSpPr>
        <cdr:cNvPr id="5017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498582" y="1440631"/>
          <a:ext cx="144709" cy="17233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18288" rIns="27432" bIns="18288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altLang="zh-CN" sz="1000" b="0" i="0" u="none" strike="noStrike" baseline="0">
              <a:solidFill>
                <a:srgbClr val="000000"/>
              </a:solidFill>
              <a:latin typeface="宋体"/>
              <a:ea typeface="宋体"/>
            </a:rPr>
            <a:t>0</a:t>
          </a:r>
        </a:p>
      </cdr:txBody>
    </cdr:sp>
  </cdr:relSizeAnchor>
</c:userShapes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419100</xdr:colOff>
      <xdr:row>9</xdr:row>
      <xdr:rowOff>123825</xdr:rowOff>
    </xdr:from>
    <xdr:to>
      <xdr:col>14</xdr:col>
      <xdr:colOff>609600</xdr:colOff>
      <xdr:row>26</xdr:row>
      <xdr:rowOff>85725</xdr:rowOff>
    </xdr:to>
    <xdr:graphicFrame macro="">
      <xdr:nvGraphicFramePr>
        <xdr:cNvPr id="51201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419100</xdr:colOff>
      <xdr:row>9</xdr:row>
      <xdr:rowOff>123825</xdr:rowOff>
    </xdr:from>
    <xdr:to>
      <xdr:col>14</xdr:col>
      <xdr:colOff>609600</xdr:colOff>
      <xdr:row>26</xdr:row>
      <xdr:rowOff>85725</xdr:rowOff>
    </xdr:to>
    <xdr:graphicFrame macro="">
      <xdr:nvGraphicFramePr>
        <xdr:cNvPr id="53249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</xdr:colOff>
      <xdr:row>5</xdr:row>
      <xdr:rowOff>161925</xdr:rowOff>
    </xdr:from>
    <xdr:to>
      <xdr:col>15</xdr:col>
      <xdr:colOff>142875</xdr:colOff>
      <xdr:row>23</xdr:row>
      <xdr:rowOff>9525</xdr:rowOff>
    </xdr:to>
    <xdr:graphicFrame macro="">
      <xdr:nvGraphicFramePr>
        <xdr:cNvPr id="6145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466725</xdr:colOff>
      <xdr:row>7</xdr:row>
      <xdr:rowOff>104775</xdr:rowOff>
    </xdr:from>
    <xdr:to>
      <xdr:col>14</xdr:col>
      <xdr:colOff>657225</xdr:colOff>
      <xdr:row>24</xdr:row>
      <xdr:rowOff>66675</xdr:rowOff>
    </xdr:to>
    <xdr:graphicFrame macro="">
      <xdr:nvGraphicFramePr>
        <xdr:cNvPr id="8193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28575</xdr:colOff>
      <xdr:row>7</xdr:row>
      <xdr:rowOff>114300</xdr:rowOff>
    </xdr:from>
    <xdr:to>
      <xdr:col>14</xdr:col>
      <xdr:colOff>485775</xdr:colOff>
      <xdr:row>23</xdr:row>
      <xdr:rowOff>114300</xdr:rowOff>
    </xdr:to>
    <xdr:graphicFrame macro="">
      <xdr:nvGraphicFramePr>
        <xdr:cNvPr id="10241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28575</xdr:colOff>
      <xdr:row>24</xdr:row>
      <xdr:rowOff>114300</xdr:rowOff>
    </xdr:from>
    <xdr:to>
      <xdr:col>14</xdr:col>
      <xdr:colOff>485775</xdr:colOff>
      <xdr:row>40</xdr:row>
      <xdr:rowOff>114300</xdr:rowOff>
    </xdr:to>
    <xdr:graphicFrame macro="">
      <xdr:nvGraphicFramePr>
        <xdr:cNvPr id="10242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142875</xdr:colOff>
      <xdr:row>8</xdr:row>
      <xdr:rowOff>19050</xdr:rowOff>
    </xdr:from>
    <xdr:to>
      <xdr:col>15</xdr:col>
      <xdr:colOff>333375</xdr:colOff>
      <xdr:row>24</xdr:row>
      <xdr:rowOff>152400</xdr:rowOff>
    </xdr:to>
    <xdr:graphicFrame macro="">
      <xdr:nvGraphicFramePr>
        <xdr:cNvPr id="13313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419100</xdr:colOff>
      <xdr:row>9</xdr:row>
      <xdr:rowOff>123825</xdr:rowOff>
    </xdr:from>
    <xdr:to>
      <xdr:col>14</xdr:col>
      <xdr:colOff>609600</xdr:colOff>
      <xdr:row>26</xdr:row>
      <xdr:rowOff>85725</xdr:rowOff>
    </xdr:to>
    <xdr:graphicFrame macro="">
      <xdr:nvGraphicFramePr>
        <xdr:cNvPr id="15361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419100</xdr:colOff>
      <xdr:row>9</xdr:row>
      <xdr:rowOff>123825</xdr:rowOff>
    </xdr:from>
    <xdr:to>
      <xdr:col>14</xdr:col>
      <xdr:colOff>609600</xdr:colOff>
      <xdr:row>26</xdr:row>
      <xdr:rowOff>85725</xdr:rowOff>
    </xdr:to>
    <xdr:graphicFrame macro="">
      <xdr:nvGraphicFramePr>
        <xdr:cNvPr id="17409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419100</xdr:colOff>
      <xdr:row>9</xdr:row>
      <xdr:rowOff>123825</xdr:rowOff>
    </xdr:from>
    <xdr:to>
      <xdr:col>14</xdr:col>
      <xdr:colOff>609600</xdr:colOff>
      <xdr:row>26</xdr:row>
      <xdr:rowOff>85725</xdr:rowOff>
    </xdr:to>
    <xdr:graphicFrame macro="">
      <xdr:nvGraphicFramePr>
        <xdr:cNvPr id="19457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0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9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7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7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9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6"/>
  <sheetViews>
    <sheetView topLeftCell="A40" workbookViewId="0">
      <selection activeCell="A53" sqref="A53:B55"/>
    </sheetView>
  </sheetViews>
  <sheetFormatPr defaultColWidth="9" defaultRowHeight="13.5"/>
  <cols>
    <col min="1" max="1" width="11.375" customWidth="1"/>
    <col min="2" max="2" width="13.125" style="17" customWidth="1"/>
    <col min="5" max="5" width="10.875" customWidth="1"/>
    <col min="8" max="8" width="9.5" customWidth="1"/>
  </cols>
  <sheetData>
    <row r="1" spans="1:8">
      <c r="A1" t="s">
        <v>0</v>
      </c>
      <c r="B1" s="18">
        <v>50415</v>
      </c>
      <c r="C1" t="s">
        <v>1</v>
      </c>
      <c r="D1" s="11">
        <v>747</v>
      </c>
    </row>
    <row r="2" spans="1:8">
      <c r="A2" t="s">
        <v>2</v>
      </c>
      <c r="B2" s="24">
        <v>7.4295E-10</v>
      </c>
    </row>
    <row r="3" spans="1:8">
      <c r="A3" t="s">
        <v>3</v>
      </c>
      <c r="B3" s="18">
        <v>-9.268E-5</v>
      </c>
    </row>
    <row r="4" spans="1:8">
      <c r="A4" t="s">
        <v>4</v>
      </c>
      <c r="B4" s="18">
        <v>0.77249736999999996</v>
      </c>
    </row>
    <row r="5" spans="1:8">
      <c r="A5" t="s">
        <v>5</v>
      </c>
      <c r="B5" s="18">
        <v>-8.0192499999999999E-4</v>
      </c>
    </row>
    <row r="6" spans="1:8">
      <c r="A6" t="s">
        <v>6</v>
      </c>
      <c r="B6" s="17" t="s">
        <v>7</v>
      </c>
      <c r="C6" t="s">
        <v>8</v>
      </c>
      <c r="D6" t="s">
        <v>9</v>
      </c>
      <c r="E6" t="s">
        <v>10</v>
      </c>
      <c r="F6" t="s">
        <v>11</v>
      </c>
      <c r="G6" t="s">
        <v>12</v>
      </c>
    </row>
    <row r="7" spans="1:8">
      <c r="A7" s="6">
        <v>42644</v>
      </c>
      <c r="B7" s="9">
        <v>0.33333333333333331</v>
      </c>
      <c r="C7" s="2">
        <v>8824.2000000000007</v>
      </c>
      <c r="D7" s="2">
        <v>10.7</v>
      </c>
      <c r="E7" s="3">
        <f>($B$2*C7^2+$B$3*C7+$B$4)-$B$5*D7</f>
        <v>2.1102031865237892E-2</v>
      </c>
      <c r="G7" t="s">
        <v>13</v>
      </c>
    </row>
    <row r="8" spans="1:8">
      <c r="A8" s="6">
        <v>42646</v>
      </c>
      <c r="B8" s="9">
        <v>0.33333333333333331</v>
      </c>
      <c r="C8" s="2">
        <v>8812.1</v>
      </c>
      <c r="D8" s="2">
        <v>7.6</v>
      </c>
      <c r="E8" s="3">
        <f>($B$2*C8^2+$B$3*C8+$B$4)-$B$5*D8-$E$7</f>
        <v>-1.5230844579284045E-3</v>
      </c>
      <c r="F8" s="4">
        <f>$D$1+102*E8</f>
        <v>746.8446453852913</v>
      </c>
      <c r="G8" s="5" t="s">
        <v>14</v>
      </c>
      <c r="H8" s="23"/>
    </row>
    <row r="9" spans="1:8">
      <c r="A9" s="6">
        <v>42647</v>
      </c>
      <c r="B9" s="9">
        <v>0.33333333333333331</v>
      </c>
      <c r="C9" s="2">
        <v>8868.4</v>
      </c>
      <c r="D9" s="2">
        <v>12</v>
      </c>
      <c r="E9" s="3">
        <f t="shared" ref="E9:E33" si="0">($B$2*C9^2+$B$3*C9+$B$4)-$B$5*D9-$E$7</f>
        <v>-2.4729570010860041E-3</v>
      </c>
      <c r="F9" s="4">
        <f t="shared" ref="F9:F33" si="1">$D$1+102*E9</f>
        <v>746.74775838588926</v>
      </c>
      <c r="H9" s="23"/>
    </row>
    <row r="10" spans="1:8">
      <c r="A10" s="6">
        <v>42648</v>
      </c>
      <c r="B10" s="9">
        <v>0.33333333333333331</v>
      </c>
      <c r="C10" s="2">
        <v>8869.1</v>
      </c>
      <c r="D10" s="2">
        <v>12.1</v>
      </c>
      <c r="E10" s="3">
        <f t="shared" si="0"/>
        <v>-2.4484158481485364E-3</v>
      </c>
      <c r="F10" s="4">
        <f t="shared" si="1"/>
        <v>746.75026158348885</v>
      </c>
      <c r="H10" s="23"/>
    </row>
    <row r="11" spans="1:8">
      <c r="A11" s="6">
        <v>42649</v>
      </c>
      <c r="B11" s="9">
        <v>0.33333333333333331</v>
      </c>
      <c r="C11" s="2">
        <v>8871.4</v>
      </c>
      <c r="D11" s="2">
        <v>12.4</v>
      </c>
      <c r="E11" s="3">
        <f t="shared" si="0"/>
        <v>-2.3906876478558929E-3</v>
      </c>
      <c r="F11" s="4">
        <f t="shared" si="1"/>
        <v>746.75614985991865</v>
      </c>
      <c r="H11" s="23"/>
    </row>
    <row r="12" spans="1:8">
      <c r="A12" s="6">
        <v>42650</v>
      </c>
      <c r="B12" s="9">
        <v>0.33333333333333331</v>
      </c>
      <c r="C12" s="2">
        <v>8873.6</v>
      </c>
      <c r="D12" s="2">
        <v>12.6</v>
      </c>
      <c r="E12" s="3">
        <f t="shared" si="0"/>
        <v>-2.4051946228059139E-3</v>
      </c>
      <c r="F12" s="4">
        <f t="shared" si="1"/>
        <v>746.75467014847379</v>
      </c>
      <c r="H12" s="23"/>
    </row>
    <row r="13" spans="1:8">
      <c r="A13" s="6">
        <v>42884</v>
      </c>
      <c r="B13" s="9">
        <v>0.33333333333333331</v>
      </c>
      <c r="C13" s="2">
        <v>8778.9</v>
      </c>
      <c r="D13" s="2">
        <v>4.0999999999999996</v>
      </c>
      <c r="E13" s="3">
        <f t="shared" si="0"/>
        <v>-1.6867445084683859E-3</v>
      </c>
      <c r="F13" s="4">
        <f t="shared" si="1"/>
        <v>746.82795206013623</v>
      </c>
      <c r="H13" s="23"/>
    </row>
    <row r="14" spans="1:8">
      <c r="A14" s="6">
        <v>42885</v>
      </c>
      <c r="B14" s="9">
        <v>0.33333333333333331</v>
      </c>
      <c r="C14" s="2">
        <v>8776</v>
      </c>
      <c r="D14" s="2">
        <v>4.0999999999999996</v>
      </c>
      <c r="E14" s="3">
        <f t="shared" si="0"/>
        <v>-1.4557955060380164E-3</v>
      </c>
      <c r="F14" s="4">
        <f t="shared" si="1"/>
        <v>746.85150885838414</v>
      </c>
      <c r="H14" s="23"/>
    </row>
    <row r="15" spans="1:8">
      <c r="A15" s="6">
        <v>42896</v>
      </c>
      <c r="B15" s="9">
        <v>0.33333333333333331</v>
      </c>
      <c r="C15" s="2">
        <v>8788.9</v>
      </c>
      <c r="D15" s="2">
        <v>5.9</v>
      </c>
      <c r="E15" s="3">
        <f t="shared" si="0"/>
        <v>-1.0395595383684529E-3</v>
      </c>
      <c r="F15" s="4">
        <f t="shared" si="1"/>
        <v>746.89396492708647</v>
      </c>
      <c r="H15" s="23"/>
    </row>
    <row r="16" spans="1:8">
      <c r="A16" s="6">
        <v>42906</v>
      </c>
      <c r="B16" s="9">
        <v>0.33333333333333331</v>
      </c>
      <c r="C16" s="2">
        <v>8809.7000000000007</v>
      </c>
      <c r="D16" s="2">
        <v>7.7</v>
      </c>
      <c r="E16" s="3">
        <f t="shared" si="0"/>
        <v>-1.2518810370724665E-3</v>
      </c>
      <c r="F16" s="4">
        <f t="shared" si="1"/>
        <v>746.87230813421866</v>
      </c>
      <c r="H16" s="23"/>
    </row>
    <row r="17" spans="1:8">
      <c r="A17" s="6">
        <v>42916</v>
      </c>
      <c r="B17" s="9">
        <v>0.33333333333333331</v>
      </c>
      <c r="C17" s="2">
        <v>8822.9</v>
      </c>
      <c r="D17" s="2">
        <v>8.6999999999999993</v>
      </c>
      <c r="E17" s="3">
        <f t="shared" si="0"/>
        <v>-1.5004101868283763E-3</v>
      </c>
      <c r="F17" s="4">
        <f t="shared" si="1"/>
        <v>746.84695816094347</v>
      </c>
      <c r="H17" s="23"/>
    </row>
    <row r="18" spans="1:8">
      <c r="A18" s="6">
        <v>42926</v>
      </c>
      <c r="B18" s="9">
        <v>0.33333333333333331</v>
      </c>
      <c r="C18" s="2">
        <v>8848.1</v>
      </c>
      <c r="D18" s="2">
        <v>9.1</v>
      </c>
      <c r="E18" s="3">
        <f t="shared" si="0"/>
        <v>-3.1843337166883659E-3</v>
      </c>
      <c r="F18" s="4">
        <f t="shared" si="1"/>
        <v>746.67519796089778</v>
      </c>
      <c r="H18" s="23"/>
    </row>
    <row r="19" spans="1:8">
      <c r="A19" s="7">
        <v>42936</v>
      </c>
      <c r="B19" s="9">
        <v>0.33333333333333331</v>
      </c>
      <c r="C19" s="2">
        <v>8836.5</v>
      </c>
      <c r="D19" s="2">
        <v>9.5</v>
      </c>
      <c r="E19" s="3">
        <f t="shared" si="0"/>
        <v>-1.9408854901003837E-3</v>
      </c>
      <c r="F19" s="4">
        <f t="shared" si="1"/>
        <v>746.80202968000981</v>
      </c>
      <c r="H19" s="23"/>
    </row>
    <row r="20" spans="1:8">
      <c r="A20" s="7">
        <v>42946</v>
      </c>
      <c r="B20" s="9">
        <v>0.33333333333333331</v>
      </c>
      <c r="C20" s="2">
        <v>8842.9</v>
      </c>
      <c r="D20" s="2">
        <v>9.8000000000000007</v>
      </c>
      <c r="E20" s="3">
        <f t="shared" si="0"/>
        <v>-2.2093965646284124E-3</v>
      </c>
      <c r="F20" s="4">
        <f t="shared" si="1"/>
        <v>746.77464155040786</v>
      </c>
      <c r="H20" s="23"/>
    </row>
    <row r="21" spans="1:8">
      <c r="A21" s="7">
        <v>42957</v>
      </c>
      <c r="B21" s="9">
        <v>0.33333333333333331</v>
      </c>
      <c r="C21" s="2">
        <v>8840.9</v>
      </c>
      <c r="D21" s="2">
        <v>10.3</v>
      </c>
      <c r="E21" s="3">
        <f t="shared" si="0"/>
        <v>-1.6493504230483957E-3</v>
      </c>
      <c r="F21" s="4">
        <f t="shared" si="1"/>
        <v>746.83176625684905</v>
      </c>
      <c r="H21" s="23"/>
    </row>
    <row r="22" spans="1:8">
      <c r="A22" s="7">
        <v>42967</v>
      </c>
      <c r="B22" s="9">
        <v>0.33333333333333331</v>
      </c>
      <c r="C22" s="2">
        <v>8837.1</v>
      </c>
      <c r="D22" s="2">
        <v>10.4</v>
      </c>
      <c r="E22" s="3">
        <f t="shared" si="0"/>
        <v>-1.2668826294284716E-3</v>
      </c>
      <c r="F22" s="4">
        <f t="shared" si="1"/>
        <v>746.87077797179825</v>
      </c>
      <c r="H22" s="23"/>
    </row>
    <row r="23" spans="1:8">
      <c r="A23" s="7">
        <v>42977</v>
      </c>
      <c r="B23" s="9">
        <v>0.33333333333333331</v>
      </c>
      <c r="C23" s="2">
        <v>8844.7000000000007</v>
      </c>
      <c r="D23" s="2">
        <v>11.6</v>
      </c>
      <c r="E23" s="3">
        <f t="shared" si="0"/>
        <v>-9.0910176027255221E-4</v>
      </c>
      <c r="F23" s="4">
        <f t="shared" si="1"/>
        <v>746.90727162045221</v>
      </c>
    </row>
    <row r="24" spans="1:8">
      <c r="A24" s="7">
        <v>42988</v>
      </c>
      <c r="B24" s="9">
        <v>0.33333333333333331</v>
      </c>
      <c r="C24" s="2">
        <v>8843.7999999999993</v>
      </c>
      <c r="D24" s="2">
        <v>11.2</v>
      </c>
      <c r="E24" s="3">
        <f t="shared" si="0"/>
        <v>-1.1582872642398219E-3</v>
      </c>
      <c r="F24" s="4">
        <f t="shared" si="1"/>
        <v>746.88185469904749</v>
      </c>
    </row>
    <row r="25" spans="1:8">
      <c r="A25" s="7">
        <v>42998</v>
      </c>
      <c r="B25" s="9">
        <v>0.33333333333333331</v>
      </c>
      <c r="C25" s="2">
        <v>8858.2999999999993</v>
      </c>
      <c r="D25" s="2">
        <v>11.5</v>
      </c>
      <c r="E25" s="3">
        <f t="shared" si="0"/>
        <v>-2.0708690239123438E-3</v>
      </c>
      <c r="F25" s="4">
        <f t="shared" si="1"/>
        <v>746.788771359561</v>
      </c>
    </row>
    <row r="26" spans="1:8">
      <c r="A26" s="7">
        <v>43008</v>
      </c>
      <c r="B26" s="9">
        <v>0.33333333333333331</v>
      </c>
      <c r="C26" s="2">
        <v>8859.1</v>
      </c>
      <c r="D26" s="2">
        <v>11.6</v>
      </c>
      <c r="E26" s="3">
        <f t="shared" si="0"/>
        <v>-2.0542900100484936E-3</v>
      </c>
      <c r="F26" s="4">
        <f t="shared" si="1"/>
        <v>746.79046241897504</v>
      </c>
    </row>
    <row r="27" spans="1:8">
      <c r="A27" s="7">
        <v>43018</v>
      </c>
      <c r="B27" s="9">
        <v>0.33333333333333331</v>
      </c>
      <c r="C27" s="2">
        <v>8858.9</v>
      </c>
      <c r="D27" s="2">
        <v>11.5</v>
      </c>
      <c r="E27" s="3">
        <f t="shared" si="0"/>
        <v>-2.11857922766839E-3</v>
      </c>
      <c r="F27" s="4">
        <f t="shared" si="1"/>
        <v>746.78390491877781</v>
      </c>
    </row>
    <row r="28" spans="1:8">
      <c r="A28" s="6">
        <v>43230</v>
      </c>
      <c r="B28" s="9">
        <v>0.33333333333333331</v>
      </c>
      <c r="C28" s="2">
        <v>8814.5</v>
      </c>
      <c r="D28" s="2">
        <v>7.4</v>
      </c>
      <c r="E28" s="3">
        <f t="shared" si="0"/>
        <v>-1.8744718200004382E-3</v>
      </c>
      <c r="F28" s="4">
        <f t="shared" si="1"/>
        <v>746.80880387435991</v>
      </c>
    </row>
    <row r="29" spans="1:8">
      <c r="A29" s="7">
        <v>43240</v>
      </c>
      <c r="B29" s="9">
        <v>0.33333333333333331</v>
      </c>
      <c r="C29" s="2">
        <v>8810.6</v>
      </c>
      <c r="D29" s="2">
        <v>7.3</v>
      </c>
      <c r="E29" s="3">
        <f t="shared" si="0"/>
        <v>-1.6442811353759336E-3</v>
      </c>
      <c r="F29" s="4">
        <f t="shared" si="1"/>
        <v>746.83228332419162</v>
      </c>
    </row>
    <row r="30" spans="1:8">
      <c r="A30" s="7">
        <v>43250</v>
      </c>
      <c r="B30" s="9">
        <v>0.33333333333333331</v>
      </c>
      <c r="C30" s="2">
        <v>8802.7999999999993</v>
      </c>
      <c r="D30" s="2">
        <v>7.2</v>
      </c>
      <c r="E30" s="8">
        <f t="shared" si="0"/>
        <v>-1.1036394645099305E-3</v>
      </c>
      <c r="F30" s="4">
        <f t="shared" si="1"/>
        <v>746.88742877461993</v>
      </c>
    </row>
    <row r="31" spans="1:8">
      <c r="A31" s="7">
        <v>43261</v>
      </c>
      <c r="B31" s="9">
        <v>0.33333333333333331</v>
      </c>
      <c r="C31" s="2">
        <v>8808.5</v>
      </c>
      <c r="D31" s="2">
        <v>6.8</v>
      </c>
      <c r="E31" s="3">
        <f t="shared" si="0"/>
        <v>-1.8781048671003657E-3</v>
      </c>
      <c r="F31" s="4">
        <f t="shared" si="1"/>
        <v>746.80843330355572</v>
      </c>
    </row>
    <row r="32" spans="1:8">
      <c r="A32" s="7">
        <v>43271</v>
      </c>
      <c r="B32" s="9">
        <v>0.33333333333333331</v>
      </c>
      <c r="C32" s="2">
        <v>8805.2999999999993</v>
      </c>
      <c r="D32" s="2">
        <v>6.4</v>
      </c>
      <c r="E32" s="3">
        <f t="shared" si="0"/>
        <v>-1.9441746197723792E-3</v>
      </c>
      <c r="F32" s="4">
        <f t="shared" si="1"/>
        <v>746.80169418878324</v>
      </c>
    </row>
    <row r="33" spans="1:6">
      <c r="A33" s="7">
        <v>43281</v>
      </c>
      <c r="B33" s="9">
        <v>0.33333333333333331</v>
      </c>
      <c r="C33" s="2">
        <v>8799.5</v>
      </c>
      <c r="D33" s="2">
        <v>6.2</v>
      </c>
      <c r="E33" s="3">
        <f t="shared" si="0"/>
        <v>-1.6428766395004402E-3</v>
      </c>
      <c r="F33" s="4">
        <f t="shared" si="1"/>
        <v>746.83242658277095</v>
      </c>
    </row>
    <row r="34" spans="1:6">
      <c r="A34" s="7">
        <v>43291</v>
      </c>
      <c r="B34" s="9">
        <v>0.33333333333333331</v>
      </c>
      <c r="C34" s="2">
        <v>8806.2000000000007</v>
      </c>
      <c r="D34" s="2">
        <v>7.5</v>
      </c>
      <c r="E34" s="3">
        <f t="shared" ref="E34:E53" si="2">($B$2*C34^2+$B$3*C34+$B$4)-$B$5*D34-$E$7</f>
        <v>-1.1336931022399993E-3</v>
      </c>
      <c r="F34" s="4">
        <f t="shared" ref="F34:F53" si="3">$D$1+102*E34</f>
        <v>746.88436330357149</v>
      </c>
    </row>
    <row r="35" spans="1:6">
      <c r="A35" s="7">
        <v>43301</v>
      </c>
      <c r="B35" s="9">
        <v>0.33333333333333331</v>
      </c>
      <c r="C35" s="2">
        <v>8793.7999999999993</v>
      </c>
      <c r="D35" s="2">
        <v>6.2</v>
      </c>
      <c r="E35" s="3">
        <f t="shared" si="2"/>
        <v>-1.1891050102398049E-3</v>
      </c>
      <c r="F35" s="4">
        <f t="shared" si="3"/>
        <v>746.87871128895551</v>
      </c>
    </row>
    <row r="36" spans="1:6">
      <c r="A36" s="7">
        <v>43311</v>
      </c>
      <c r="B36" s="9">
        <v>0.33333333333333331</v>
      </c>
      <c r="C36" s="2">
        <v>8793.1</v>
      </c>
      <c r="D36" s="2">
        <v>6.3</v>
      </c>
      <c r="E36" s="3">
        <f t="shared" si="2"/>
        <v>-1.0531828413885488E-3</v>
      </c>
      <c r="F36" s="4">
        <f t="shared" si="3"/>
        <v>746.89257535017839</v>
      </c>
    </row>
    <row r="37" spans="1:6">
      <c r="A37" s="7">
        <v>43322</v>
      </c>
      <c r="B37" s="9">
        <v>0.33333333333333331</v>
      </c>
      <c r="C37" s="2">
        <v>8791.2999999999993</v>
      </c>
      <c r="D37" s="2">
        <v>6.3</v>
      </c>
      <c r="E37" s="3">
        <f t="shared" si="2"/>
        <v>-9.0987463535240759E-4</v>
      </c>
      <c r="F37" s="4">
        <f t="shared" si="3"/>
        <v>746.90719278719405</v>
      </c>
    </row>
    <row r="38" spans="1:6">
      <c r="A38" s="7">
        <v>43332</v>
      </c>
      <c r="B38" s="9">
        <v>0.33333333333333331</v>
      </c>
      <c r="C38" s="2">
        <v>8800.2999999999993</v>
      </c>
      <c r="D38" s="2">
        <v>6.7</v>
      </c>
      <c r="E38" s="3">
        <f t="shared" si="2"/>
        <v>-1.3055975223723211E-3</v>
      </c>
      <c r="F38" s="4">
        <f t="shared" si="3"/>
        <v>746.866829052718</v>
      </c>
    </row>
    <row r="39" spans="1:6">
      <c r="A39" s="7">
        <v>43342</v>
      </c>
      <c r="B39" s="9">
        <v>0.33333333333333331</v>
      </c>
      <c r="C39" s="2">
        <v>8802.1</v>
      </c>
      <c r="D39" s="2">
        <v>6.7</v>
      </c>
      <c r="E39" s="3">
        <f t="shared" si="2"/>
        <v>-1.4488816568283998E-3</v>
      </c>
      <c r="F39" s="4">
        <f t="shared" si="3"/>
        <v>746.85221407100346</v>
      </c>
    </row>
    <row r="40" spans="1:6">
      <c r="A40" s="7">
        <v>43353</v>
      </c>
      <c r="B40" s="9">
        <v>0.33333333333333331</v>
      </c>
      <c r="C40" s="2">
        <v>8804.7000000000007</v>
      </c>
      <c r="D40" s="2">
        <v>6.5</v>
      </c>
      <c r="E40" s="3">
        <f t="shared" si="2"/>
        <v>-1.8162241294725004E-3</v>
      </c>
      <c r="F40" s="4">
        <f t="shared" si="3"/>
        <v>746.8147451387938</v>
      </c>
    </row>
    <row r="41" spans="1:6">
      <c r="A41" s="7">
        <v>43363</v>
      </c>
      <c r="B41" s="9">
        <v>0.33333333333333331</v>
      </c>
      <c r="C41" s="2">
        <v>8790.1</v>
      </c>
      <c r="D41" s="2">
        <v>6.7</v>
      </c>
      <c r="E41" s="3">
        <f t="shared" si="2"/>
        <v>-4.9356315670852705E-4</v>
      </c>
      <c r="F41" s="4">
        <f t="shared" si="3"/>
        <v>746.9496565580157</v>
      </c>
    </row>
    <row r="42" spans="1:6">
      <c r="A42" s="7">
        <v>43373</v>
      </c>
      <c r="B42" s="9">
        <v>0.33333333333333331</v>
      </c>
      <c r="C42" s="2">
        <v>8802.2999999999993</v>
      </c>
      <c r="D42" s="2">
        <v>6.6</v>
      </c>
      <c r="E42" s="3">
        <f t="shared" si="2"/>
        <v>-1.5449943190323744E-3</v>
      </c>
      <c r="F42" s="4">
        <f t="shared" si="3"/>
        <v>746.84241057945871</v>
      </c>
    </row>
    <row r="43" spans="1:6">
      <c r="A43" s="7">
        <v>43383</v>
      </c>
      <c r="B43" s="9">
        <v>0.33333333333333331</v>
      </c>
      <c r="C43" s="2">
        <v>8806.2000000000007</v>
      </c>
      <c r="D43" s="2">
        <v>6.4</v>
      </c>
      <c r="E43" s="3">
        <f t="shared" si="2"/>
        <v>-2.0158106022400007E-3</v>
      </c>
      <c r="F43" s="4">
        <f t="shared" si="3"/>
        <v>746.79438731857147</v>
      </c>
    </row>
    <row r="44" spans="1:6">
      <c r="A44" s="7">
        <v>43393</v>
      </c>
      <c r="B44" s="9">
        <v>0.33333333333333331</v>
      </c>
      <c r="C44" s="2">
        <v>8810.7000000000007</v>
      </c>
      <c r="D44" s="2">
        <v>6.2</v>
      </c>
      <c r="E44" s="3">
        <f t="shared" si="2"/>
        <v>-2.5343574608924502E-3</v>
      </c>
      <c r="F44" s="4">
        <f t="shared" si="3"/>
        <v>746.74149553898894</v>
      </c>
    </row>
    <row r="45" spans="1:6">
      <c r="A45" s="7">
        <v>43605</v>
      </c>
      <c r="B45" s="1">
        <v>0.33333333333333331</v>
      </c>
      <c r="C45" s="2">
        <v>8794.2000000000007</v>
      </c>
      <c r="D45" s="2">
        <v>5.3</v>
      </c>
      <c r="E45" s="3">
        <f t="shared" si="2"/>
        <v>-1.9426827083999336E-3</v>
      </c>
      <c r="F45" s="4">
        <f t="shared" si="3"/>
        <v>746.80184636374315</v>
      </c>
    </row>
    <row r="46" spans="1:6">
      <c r="A46" s="7">
        <v>43615</v>
      </c>
      <c r="B46" s="1">
        <v>0.33333333333333331</v>
      </c>
      <c r="C46" s="2">
        <v>8777.9</v>
      </c>
      <c r="D46" s="2">
        <v>4.9000000000000004</v>
      </c>
      <c r="E46" s="3">
        <f t="shared" si="2"/>
        <v>-9.65568333028341E-4</v>
      </c>
      <c r="F46" s="4">
        <f t="shared" si="3"/>
        <v>746.90151203003109</v>
      </c>
    </row>
    <row r="47" spans="1:6">
      <c r="A47" s="7">
        <v>43626</v>
      </c>
      <c r="B47" s="1">
        <v>0.33333333333333331</v>
      </c>
      <c r="C47" s="2">
        <v>8780.2999999999993</v>
      </c>
      <c r="D47" s="2">
        <v>5.2</v>
      </c>
      <c r="E47" s="3">
        <f t="shared" si="2"/>
        <v>-9.1611515777244648E-4</v>
      </c>
      <c r="F47" s="4">
        <f t="shared" si="3"/>
        <v>746.90655625390718</v>
      </c>
    </row>
    <row r="48" spans="1:6">
      <c r="A48" s="7">
        <v>43636</v>
      </c>
      <c r="B48" s="1">
        <v>0.33333333333333331</v>
      </c>
      <c r="C48" s="2">
        <v>8782.7000000000007</v>
      </c>
      <c r="D48" s="2">
        <v>5.4</v>
      </c>
      <c r="E48" s="3">
        <f t="shared" si="2"/>
        <v>-9.4684592373242907E-4</v>
      </c>
      <c r="F48" s="4">
        <f t="shared" si="3"/>
        <v>746.90342171577925</v>
      </c>
    </row>
    <row r="49" spans="1:6">
      <c r="A49" s="7">
        <v>43646</v>
      </c>
      <c r="B49" s="1">
        <v>0.33333333333333331</v>
      </c>
      <c r="C49" s="2">
        <v>8783.5</v>
      </c>
      <c r="D49" s="2">
        <v>5.2</v>
      </c>
      <c r="E49" s="3">
        <f t="shared" si="2"/>
        <v>-1.1709342771004556E-3</v>
      </c>
      <c r="F49" s="4">
        <f t="shared" si="3"/>
        <v>746.88056470373579</v>
      </c>
    </row>
    <row r="50" spans="1:6">
      <c r="A50" s="7">
        <v>43656</v>
      </c>
      <c r="B50" s="1">
        <v>0.33333333333333331</v>
      </c>
      <c r="C50" s="2">
        <v>8783.9</v>
      </c>
      <c r="D50" s="2">
        <v>5</v>
      </c>
      <c r="E50" s="3">
        <f t="shared" si="2"/>
        <v>-1.3631705971684574E-3</v>
      </c>
      <c r="F50" s="4">
        <f t="shared" si="3"/>
        <v>746.86095659908881</v>
      </c>
    </row>
    <row r="51" spans="1:6">
      <c r="A51" s="7">
        <v>43666</v>
      </c>
      <c r="B51" s="1">
        <v>0.33333333333333331</v>
      </c>
      <c r="C51" s="2">
        <v>8784.7999999999993</v>
      </c>
      <c r="D51" s="2">
        <v>5</v>
      </c>
      <c r="E51" s="3">
        <f t="shared" si="2"/>
        <v>-1.4348351980699239E-3</v>
      </c>
      <c r="F51" s="4">
        <f t="shared" si="3"/>
        <v>746.85364680979683</v>
      </c>
    </row>
    <row r="52" spans="1:6">
      <c r="A52" s="7">
        <v>43676</v>
      </c>
      <c r="B52" s="1">
        <v>0.33333333333333331</v>
      </c>
      <c r="C52" s="2">
        <v>8784.4</v>
      </c>
      <c r="D52" s="2">
        <v>4.9000000000000004</v>
      </c>
      <c r="E52" s="3">
        <f t="shared" si="2"/>
        <v>-1.4831769129258071E-3</v>
      </c>
      <c r="F52" s="4">
        <f t="shared" si="3"/>
        <v>746.84871595488153</v>
      </c>
    </row>
    <row r="53" spans="1:6">
      <c r="A53" s="7">
        <v>43687</v>
      </c>
      <c r="B53" s="9">
        <v>0.33333333333333331</v>
      </c>
      <c r="C53" s="2">
        <v>8780.4</v>
      </c>
      <c r="D53" s="2">
        <v>4.7</v>
      </c>
      <c r="E53" s="3">
        <f t="shared" si="2"/>
        <v>-1.3250409855659617E-3</v>
      </c>
      <c r="F53" s="4">
        <f t="shared" si="3"/>
        <v>746.86484581947229</v>
      </c>
    </row>
    <row r="54" spans="1:6">
      <c r="A54" s="7">
        <v>43697</v>
      </c>
      <c r="B54" s="1">
        <v>0.33333333333333331</v>
      </c>
      <c r="C54" s="2">
        <v>8775.1</v>
      </c>
      <c r="D54" s="2">
        <v>4.7</v>
      </c>
    </row>
    <row r="55" spans="1:6">
      <c r="A55" s="7">
        <v>43707</v>
      </c>
      <c r="B55" s="9">
        <v>0.33333333333333331</v>
      </c>
      <c r="C55" s="2">
        <v>8771</v>
      </c>
      <c r="D55" s="2">
        <v>4.5</v>
      </c>
    </row>
    <row r="56" spans="1:6">
      <c r="B56" s="9"/>
    </row>
    <row r="57" spans="1:6">
      <c r="B57" s="9"/>
    </row>
    <row r="58" spans="1:6">
      <c r="B58" s="9"/>
    </row>
    <row r="59" spans="1:6">
      <c r="B59" s="9"/>
    </row>
    <row r="60" spans="1:6">
      <c r="B60" s="9"/>
    </row>
    <row r="61" spans="1:6">
      <c r="B61" s="9"/>
    </row>
    <row r="62" spans="1:6">
      <c r="B62" s="9"/>
    </row>
    <row r="63" spans="1:6">
      <c r="B63" s="9"/>
    </row>
    <row r="64" spans="1:6">
      <c r="B64" s="9"/>
    </row>
    <row r="65" spans="2:2">
      <c r="B65" s="9"/>
    </row>
    <row r="66" spans="2:2">
      <c r="B66" s="9"/>
    </row>
    <row r="67" spans="2:2">
      <c r="B67" s="9"/>
    </row>
    <row r="68" spans="2:2">
      <c r="B68" s="9"/>
    </row>
    <row r="69" spans="2:2">
      <c r="B69" s="9"/>
    </row>
    <row r="70" spans="2:2">
      <c r="B70" s="9"/>
    </row>
    <row r="71" spans="2:2">
      <c r="B71" s="9"/>
    </row>
    <row r="72" spans="2:2">
      <c r="B72" s="9"/>
    </row>
    <row r="73" spans="2:2">
      <c r="B73" s="9"/>
    </row>
    <row r="74" spans="2:2">
      <c r="B74" s="9"/>
    </row>
    <row r="75" spans="2:2">
      <c r="B75" s="9"/>
    </row>
    <row r="76" spans="2:2">
      <c r="B76" s="9"/>
    </row>
    <row r="77" spans="2:2">
      <c r="B77" s="9"/>
    </row>
    <row r="78" spans="2:2">
      <c r="B78" s="9"/>
    </row>
    <row r="79" spans="2:2">
      <c r="B79" s="9"/>
    </row>
    <row r="80" spans="2:2">
      <c r="B80" s="9"/>
    </row>
    <row r="81" spans="2:2">
      <c r="B81" s="9"/>
    </row>
    <row r="82" spans="2:2">
      <c r="B82" s="9"/>
    </row>
    <row r="83" spans="2:2">
      <c r="B83" s="9"/>
    </row>
    <row r="84" spans="2:2">
      <c r="B84" s="9"/>
    </row>
    <row r="85" spans="2:2">
      <c r="B85" s="9"/>
    </row>
    <row r="86" spans="2:2">
      <c r="B86" s="9"/>
    </row>
    <row r="87" spans="2:2">
      <c r="B87" s="9"/>
    </row>
    <row r="88" spans="2:2">
      <c r="B88" s="9"/>
    </row>
    <row r="89" spans="2:2">
      <c r="B89" s="9"/>
    </row>
    <row r="90" spans="2:2">
      <c r="B90" s="9"/>
    </row>
    <row r="91" spans="2:2">
      <c r="B91" s="9"/>
    </row>
    <row r="92" spans="2:2">
      <c r="B92" s="9"/>
    </row>
    <row r="93" spans="2:2">
      <c r="B93" s="9"/>
    </row>
    <row r="94" spans="2:2">
      <c r="B94" s="9"/>
    </row>
    <row r="95" spans="2:2">
      <c r="B95" s="9"/>
    </row>
    <row r="96" spans="2:2">
      <c r="B96" s="9"/>
    </row>
    <row r="97" spans="2:2">
      <c r="B97" s="9"/>
    </row>
    <row r="98" spans="2:2">
      <c r="B98" s="9"/>
    </row>
    <row r="99" spans="2:2">
      <c r="B99" s="9"/>
    </row>
    <row r="100" spans="2:2">
      <c r="B100" s="9"/>
    </row>
    <row r="101" spans="2:2">
      <c r="B101" s="9"/>
    </row>
    <row r="102" spans="2:2">
      <c r="B102" s="9"/>
    </row>
    <row r="103" spans="2:2">
      <c r="B103" s="9"/>
    </row>
    <row r="104" spans="2:2">
      <c r="B104" s="9"/>
    </row>
    <row r="105" spans="2:2">
      <c r="B105" s="9"/>
    </row>
    <row r="106" spans="2:2">
      <c r="B106" s="9"/>
    </row>
    <row r="107" spans="2:2">
      <c r="B107" s="9"/>
    </row>
    <row r="108" spans="2:2">
      <c r="B108" s="9"/>
    </row>
    <row r="109" spans="2:2">
      <c r="B109" s="9"/>
    </row>
    <row r="110" spans="2:2">
      <c r="B110" s="9"/>
    </row>
    <row r="111" spans="2:2">
      <c r="B111" s="9"/>
    </row>
    <row r="112" spans="2:2">
      <c r="B112" s="9"/>
    </row>
    <row r="113" spans="2:2">
      <c r="B113" s="9"/>
    </row>
    <row r="114" spans="2:2">
      <c r="B114" s="9"/>
    </row>
    <row r="115" spans="2:2">
      <c r="B115" s="9"/>
    </row>
    <row r="116" spans="2:2">
      <c r="B116" s="9"/>
    </row>
    <row r="117" spans="2:2">
      <c r="B117" s="9"/>
    </row>
    <row r="118" spans="2:2">
      <c r="B118" s="9"/>
    </row>
    <row r="119" spans="2:2">
      <c r="B119" s="9"/>
    </row>
    <row r="120" spans="2:2">
      <c r="B120" s="9"/>
    </row>
    <row r="121" spans="2:2">
      <c r="B121" s="9"/>
    </row>
    <row r="122" spans="2:2">
      <c r="B122" s="9"/>
    </row>
    <row r="123" spans="2:2">
      <c r="B123" s="9"/>
    </row>
    <row r="124" spans="2:2">
      <c r="B124" s="9"/>
    </row>
    <row r="125" spans="2:2">
      <c r="B125" s="9"/>
    </row>
    <row r="126" spans="2:2">
      <c r="B126" s="9"/>
    </row>
    <row r="127" spans="2:2">
      <c r="B127" s="9"/>
    </row>
    <row r="128" spans="2:2">
      <c r="B128" s="9"/>
    </row>
    <row r="129" spans="2:2">
      <c r="B129" s="9"/>
    </row>
    <row r="130" spans="2:2">
      <c r="B130" s="9"/>
    </row>
    <row r="131" spans="2:2">
      <c r="B131" s="9"/>
    </row>
    <row r="132" spans="2:2">
      <c r="B132" s="9"/>
    </row>
    <row r="133" spans="2:2">
      <c r="B133" s="9"/>
    </row>
    <row r="134" spans="2:2">
      <c r="B134" s="9"/>
    </row>
    <row r="135" spans="2:2">
      <c r="B135" s="9"/>
    </row>
    <row r="136" spans="2:2">
      <c r="B136" s="9"/>
    </row>
    <row r="137" spans="2:2">
      <c r="B137" s="9"/>
    </row>
    <row r="138" spans="2:2">
      <c r="B138" s="9"/>
    </row>
    <row r="139" spans="2:2">
      <c r="B139" s="9"/>
    </row>
    <row r="140" spans="2:2">
      <c r="B140" s="9"/>
    </row>
    <row r="141" spans="2:2">
      <c r="B141" s="9"/>
    </row>
    <row r="142" spans="2:2">
      <c r="B142" s="9"/>
    </row>
    <row r="143" spans="2:2">
      <c r="B143" s="9"/>
    </row>
    <row r="144" spans="2:2">
      <c r="B144" s="9"/>
    </row>
    <row r="145" spans="2:2">
      <c r="B145" s="9"/>
    </row>
    <row r="146" spans="2:2">
      <c r="B146" s="9"/>
    </row>
    <row r="147" spans="2:2">
      <c r="B147" s="9"/>
    </row>
    <row r="148" spans="2:2">
      <c r="B148" s="9"/>
    </row>
    <row r="149" spans="2:2">
      <c r="B149" s="9"/>
    </row>
    <row r="150" spans="2:2">
      <c r="B150" s="9"/>
    </row>
    <row r="151" spans="2:2">
      <c r="B151" s="9"/>
    </row>
    <row r="152" spans="2:2">
      <c r="B152" s="9"/>
    </row>
    <row r="153" spans="2:2">
      <c r="B153" s="9"/>
    </row>
    <row r="154" spans="2:2">
      <c r="B154" s="9"/>
    </row>
    <row r="155" spans="2:2">
      <c r="B155" s="9"/>
    </row>
    <row r="156" spans="2:2">
      <c r="B156" s="9"/>
    </row>
    <row r="157" spans="2:2">
      <c r="B157" s="9"/>
    </row>
    <row r="158" spans="2:2">
      <c r="B158" s="9"/>
    </row>
    <row r="159" spans="2:2">
      <c r="B159" s="9"/>
    </row>
    <row r="160" spans="2:2">
      <c r="B160" s="9"/>
    </row>
    <row r="161" spans="2:2">
      <c r="B161" s="9"/>
    </row>
    <row r="162" spans="2:2">
      <c r="B162" s="9"/>
    </row>
    <row r="163" spans="2:2">
      <c r="B163" s="9"/>
    </row>
    <row r="164" spans="2:2">
      <c r="B164" s="9"/>
    </row>
    <row r="165" spans="2:2">
      <c r="B165" s="9"/>
    </row>
    <row r="166" spans="2:2">
      <c r="B166" s="9"/>
    </row>
    <row r="167" spans="2:2">
      <c r="B167" s="9"/>
    </row>
    <row r="168" spans="2:2">
      <c r="B168" s="9"/>
    </row>
    <row r="169" spans="2:2">
      <c r="B169" s="9"/>
    </row>
    <row r="170" spans="2:2">
      <c r="B170" s="9"/>
    </row>
    <row r="171" spans="2:2">
      <c r="B171" s="9"/>
    </row>
    <row r="172" spans="2:2">
      <c r="B172" s="9"/>
    </row>
    <row r="173" spans="2:2">
      <c r="B173" s="9"/>
    </row>
    <row r="174" spans="2:2">
      <c r="B174" s="9"/>
    </row>
    <row r="175" spans="2:2">
      <c r="B175" s="9"/>
    </row>
    <row r="176" spans="2:2">
      <c r="B176" s="9"/>
    </row>
  </sheetData>
  <phoneticPr fontId="5" type="noConversion"/>
  <pageMargins left="0.69930555555555596" right="0.69930555555555596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6"/>
  <sheetViews>
    <sheetView topLeftCell="A40" workbookViewId="0">
      <selection activeCell="A58" sqref="A58:B60"/>
    </sheetView>
  </sheetViews>
  <sheetFormatPr defaultColWidth="9" defaultRowHeight="13.5"/>
  <cols>
    <col min="1" max="1" width="11" customWidth="1"/>
    <col min="2" max="2" width="13.125" style="17" customWidth="1"/>
    <col min="5" max="5" width="10.875" customWidth="1"/>
    <col min="8" max="8" width="9.5" customWidth="1"/>
  </cols>
  <sheetData>
    <row r="1" spans="1:8">
      <c r="A1" t="s">
        <v>0</v>
      </c>
      <c r="B1" s="18">
        <v>11263</v>
      </c>
      <c r="C1" t="s">
        <v>1</v>
      </c>
      <c r="D1" s="11">
        <v>733.5</v>
      </c>
    </row>
    <row r="2" spans="1:8">
      <c r="A2" t="s">
        <v>2</v>
      </c>
      <c r="B2" s="24">
        <v>5.7728999999999998E-10</v>
      </c>
    </row>
    <row r="3" spans="1:8">
      <c r="A3" t="s">
        <v>3</v>
      </c>
      <c r="B3" s="18">
        <v>-1.6709400000000001E-4</v>
      </c>
    </row>
    <row r="4" spans="1:8">
      <c r="A4" t="s">
        <v>4</v>
      </c>
      <c r="B4" s="18">
        <v>1.5559167199999999</v>
      </c>
    </row>
    <row r="5" spans="1:8">
      <c r="A5" t="s">
        <v>5</v>
      </c>
      <c r="B5" s="18">
        <v>-3.0540020000000001E-3</v>
      </c>
    </row>
    <row r="6" spans="1:8">
      <c r="A6" t="s">
        <v>6</v>
      </c>
      <c r="B6" s="17" t="s">
        <v>7</v>
      </c>
      <c r="C6" t="s">
        <v>8</v>
      </c>
      <c r="D6" t="s">
        <v>9</v>
      </c>
      <c r="E6" t="s">
        <v>10</v>
      </c>
      <c r="F6" t="s">
        <v>11</v>
      </c>
      <c r="G6" t="s">
        <v>12</v>
      </c>
    </row>
    <row r="7" spans="1:8">
      <c r="A7" s="6">
        <v>42605</v>
      </c>
      <c r="B7" s="9">
        <v>0.35416666666666702</v>
      </c>
      <c r="C7" s="2">
        <v>9526.1</v>
      </c>
      <c r="D7" s="2">
        <v>15.8</v>
      </c>
      <c r="E7" s="3">
        <f>($B$2*C7^2+$B$3*C7+$B$4)-$B$5*D7</f>
        <v>6.4802892066720574E-2</v>
      </c>
      <c r="G7" t="s">
        <v>13</v>
      </c>
    </row>
    <row r="8" spans="1:8">
      <c r="A8" s="6">
        <v>42605</v>
      </c>
      <c r="B8" s="9">
        <v>0.5625</v>
      </c>
      <c r="C8" s="2">
        <v>9297.2999999999993</v>
      </c>
      <c r="D8" s="2">
        <v>19.899999999999999</v>
      </c>
      <c r="E8" s="3">
        <f t="shared" ref="E8:E33" si="0">($B$2*C8^2+$B$3*C8+$B$4)-$B$5*D8-$E$7</f>
        <v>4.8266246337923507E-2</v>
      </c>
      <c r="F8" s="4">
        <f>$D$1+102*E8</f>
        <v>738.42315712646814</v>
      </c>
      <c r="G8" s="5" t="s">
        <v>14</v>
      </c>
      <c r="H8" s="23"/>
    </row>
    <row r="9" spans="1:8">
      <c r="A9" s="6">
        <v>42606</v>
      </c>
      <c r="B9" s="9">
        <v>0.33333333333333298</v>
      </c>
      <c r="C9" s="2">
        <v>9246.2999999999993</v>
      </c>
      <c r="D9" s="2">
        <v>16.5</v>
      </c>
      <c r="E9" s="3">
        <f t="shared" si="0"/>
        <v>4.5858476760879424E-2</v>
      </c>
      <c r="F9" s="4">
        <f t="shared" ref="F9:F44" si="1">$D$1+102*E9</f>
        <v>738.17756462960972</v>
      </c>
      <c r="H9" s="23"/>
    </row>
    <row r="10" spans="1:8">
      <c r="A10" s="6">
        <v>42607</v>
      </c>
      <c r="B10" s="9">
        <v>0.33333333333333298</v>
      </c>
      <c r="C10" s="2">
        <v>9243.1</v>
      </c>
      <c r="D10" s="2">
        <v>16.399999999999999</v>
      </c>
      <c r="E10" s="3">
        <f t="shared" si="0"/>
        <v>4.6053621374555986E-2</v>
      </c>
      <c r="F10" s="4">
        <f t="shared" si="1"/>
        <v>738.19746938020467</v>
      </c>
      <c r="H10" s="23"/>
    </row>
    <row r="11" spans="1:8">
      <c r="A11" s="6">
        <v>42608</v>
      </c>
      <c r="B11" s="9">
        <v>0.33333333333333298</v>
      </c>
      <c r="C11" s="2">
        <v>9240.7000000000007</v>
      </c>
      <c r="D11" s="2">
        <v>16.399999999999999</v>
      </c>
      <c r="E11" s="3">
        <f t="shared" si="0"/>
        <v>4.642903774359125E-2</v>
      </c>
      <c r="F11" s="4">
        <f t="shared" si="1"/>
        <v>738.23576184984631</v>
      </c>
      <c r="H11" s="23"/>
    </row>
    <row r="12" spans="1:8">
      <c r="A12" s="6">
        <v>42609</v>
      </c>
      <c r="B12" s="9">
        <v>0.33333333333333298</v>
      </c>
      <c r="C12" s="2">
        <v>9240.1</v>
      </c>
      <c r="D12" s="2">
        <v>16.5</v>
      </c>
      <c r="E12" s="3">
        <f t="shared" si="0"/>
        <v>4.6828293074972188E-2</v>
      </c>
      <c r="F12" s="4">
        <f t="shared" si="1"/>
        <v>738.27648589364719</v>
      </c>
      <c r="H12" s="23"/>
    </row>
    <row r="13" spans="1:8">
      <c r="A13" s="6">
        <v>42610</v>
      </c>
      <c r="B13" s="9">
        <v>0.33333333333333298</v>
      </c>
      <c r="C13" s="2">
        <v>9239.6</v>
      </c>
      <c r="D13" s="2">
        <v>16.5</v>
      </c>
      <c r="E13" s="3">
        <f t="shared" si="0"/>
        <v>4.6906506001965581E-2</v>
      </c>
      <c r="F13" s="4">
        <f t="shared" si="1"/>
        <v>738.28446361220051</v>
      </c>
      <c r="H13" s="23"/>
    </row>
    <row r="14" spans="1:8">
      <c r="A14" s="6">
        <v>42611</v>
      </c>
      <c r="B14" s="9">
        <v>0.33333333333333298</v>
      </c>
      <c r="C14" s="2">
        <v>9238.7999999999993</v>
      </c>
      <c r="D14" s="2">
        <v>16.5</v>
      </c>
      <c r="E14" s="3">
        <f t="shared" si="0"/>
        <v>4.703164728553702E-2</v>
      </c>
      <c r="F14" s="4">
        <f t="shared" si="1"/>
        <v>738.29722802312483</v>
      </c>
      <c r="H14" s="23"/>
    </row>
    <row r="15" spans="1:8">
      <c r="A15" s="6">
        <v>42623</v>
      </c>
      <c r="B15" s="9">
        <v>0.33333333333333298</v>
      </c>
      <c r="C15" s="2">
        <v>9232.5</v>
      </c>
      <c r="D15" s="2">
        <v>16.899999999999999</v>
      </c>
      <c r="E15" s="3">
        <f t="shared" si="0"/>
        <v>4.923876151584175E-2</v>
      </c>
      <c r="F15" s="4">
        <f t="shared" si="1"/>
        <v>738.52235367461583</v>
      </c>
      <c r="H15" s="23"/>
    </row>
    <row r="16" spans="1:8">
      <c r="A16" s="6">
        <v>42633</v>
      </c>
      <c r="B16" s="9">
        <v>0.33333333333333331</v>
      </c>
      <c r="C16" s="2">
        <v>9217</v>
      </c>
      <c r="D16" s="2">
        <v>17</v>
      </c>
      <c r="E16" s="3">
        <f t="shared" si="0"/>
        <v>5.19690326820893E-2</v>
      </c>
      <c r="F16" s="4">
        <f t="shared" si="1"/>
        <v>738.80084133357309</v>
      </c>
      <c r="H16" s="23"/>
    </row>
    <row r="17" spans="1:8">
      <c r="A17" s="6">
        <v>42643</v>
      </c>
      <c r="B17" s="9">
        <v>0.33333333333333331</v>
      </c>
      <c r="C17" s="2">
        <v>9226.6</v>
      </c>
      <c r="D17" s="2">
        <v>17.100000000000001</v>
      </c>
      <c r="E17" s="3">
        <f t="shared" si="0"/>
        <v>5.0772544618191556E-2</v>
      </c>
      <c r="F17" s="4">
        <f t="shared" si="1"/>
        <v>738.67879955105559</v>
      </c>
      <c r="H17" s="23"/>
    </row>
    <row r="18" spans="1:8">
      <c r="A18" s="6">
        <v>42884</v>
      </c>
      <c r="B18" s="9">
        <v>0.33333333333333331</v>
      </c>
      <c r="C18" s="2">
        <v>9201.4</v>
      </c>
      <c r="D18" s="2">
        <v>14.8</v>
      </c>
      <c r="E18" s="3">
        <f t="shared" si="0"/>
        <v>4.7691023655167808E-2</v>
      </c>
      <c r="F18" s="4">
        <f t="shared" si="1"/>
        <v>738.3644844128271</v>
      </c>
      <c r="H18" s="23"/>
    </row>
    <row r="19" spans="1:8">
      <c r="A19" s="6">
        <v>42885</v>
      </c>
      <c r="B19" s="9">
        <v>0.33333333333333331</v>
      </c>
      <c r="C19" s="2">
        <v>9201.4</v>
      </c>
      <c r="D19" s="2">
        <v>14.8</v>
      </c>
      <c r="E19" s="3">
        <f t="shared" si="0"/>
        <v>4.7691023655167808E-2</v>
      </c>
      <c r="F19" s="4">
        <f t="shared" si="1"/>
        <v>738.3644844128271</v>
      </c>
      <c r="H19" s="23"/>
    </row>
    <row r="20" spans="1:8">
      <c r="A20" s="7">
        <v>42896</v>
      </c>
      <c r="B20" s="9">
        <v>0.33333333333333331</v>
      </c>
      <c r="C20" s="2">
        <v>9203.5</v>
      </c>
      <c r="D20" s="2">
        <v>14.7</v>
      </c>
      <c r="E20" s="3">
        <f t="shared" si="0"/>
        <v>4.7057038481081642E-2</v>
      </c>
      <c r="F20" s="4">
        <f t="shared" si="1"/>
        <v>738.29981792507033</v>
      </c>
      <c r="H20" s="23"/>
    </row>
    <row r="21" spans="1:8">
      <c r="A21" s="7">
        <v>42906</v>
      </c>
      <c r="B21" s="9">
        <v>0.33333333333333331</v>
      </c>
      <c r="C21" s="2">
        <v>9201</v>
      </c>
      <c r="D21" s="2">
        <v>14.6</v>
      </c>
      <c r="E21" s="3">
        <f t="shared" si="0"/>
        <v>4.7142811446569399E-2</v>
      </c>
      <c r="F21" s="4">
        <f t="shared" si="1"/>
        <v>738.30856676755013</v>
      </c>
      <c r="H21" s="23"/>
    </row>
    <row r="22" spans="1:8">
      <c r="A22" s="7">
        <v>42916</v>
      </c>
      <c r="B22" s="9">
        <v>0.33333333333333331</v>
      </c>
      <c r="C22" s="2">
        <v>9190.7999999999993</v>
      </c>
      <c r="D22" s="2">
        <v>12.8</v>
      </c>
      <c r="E22" s="3">
        <f t="shared" si="0"/>
        <v>4.3241669143904982E-2</v>
      </c>
      <c r="F22" s="4">
        <f t="shared" si="1"/>
        <v>737.91065025267835</v>
      </c>
      <c r="H22" s="23"/>
    </row>
    <row r="23" spans="1:8">
      <c r="A23" s="7">
        <v>42926</v>
      </c>
      <c r="B23" s="9">
        <v>0.33333333333333331</v>
      </c>
      <c r="C23" s="2">
        <v>9202.7999999999993</v>
      </c>
      <c r="D23" s="2">
        <v>14.4</v>
      </c>
      <c r="E23" s="3">
        <f t="shared" si="0"/>
        <v>4.6250365640032987E-2</v>
      </c>
      <c r="F23" s="4">
        <f t="shared" si="1"/>
        <v>738.21753729528336</v>
      </c>
    </row>
    <row r="24" spans="1:8">
      <c r="A24" s="7">
        <v>42936</v>
      </c>
      <c r="B24" s="9">
        <v>0.33333333333333331</v>
      </c>
      <c r="C24" s="2">
        <v>9198.2000000000007</v>
      </c>
      <c r="D24" s="2">
        <v>14.3</v>
      </c>
      <c r="E24" s="3">
        <f t="shared" si="0"/>
        <v>4.6664733358898952E-2</v>
      </c>
      <c r="F24" s="4">
        <f t="shared" si="1"/>
        <v>738.25980280260774</v>
      </c>
    </row>
    <row r="25" spans="1:8">
      <c r="A25" s="7">
        <v>42946</v>
      </c>
      <c r="B25" s="9">
        <v>0.33333333333333331</v>
      </c>
      <c r="C25" s="2">
        <v>9198</v>
      </c>
      <c r="D25" s="2">
        <v>14.3</v>
      </c>
      <c r="E25" s="3">
        <f t="shared" si="0"/>
        <v>4.6696028170439136E-2</v>
      </c>
      <c r="F25" s="4">
        <f t="shared" si="1"/>
        <v>738.26299487338474</v>
      </c>
    </row>
    <row r="26" spans="1:8">
      <c r="A26" s="7">
        <v>42957</v>
      </c>
      <c r="B26" s="9">
        <v>0.33333333333333331</v>
      </c>
      <c r="C26" s="2">
        <v>9192.5</v>
      </c>
      <c r="D26" s="2">
        <v>14.1</v>
      </c>
      <c r="E26" s="3">
        <f t="shared" si="0"/>
        <v>4.6945853185841574E-2</v>
      </c>
      <c r="F26" s="4">
        <f t="shared" si="1"/>
        <v>738.2884770249558</v>
      </c>
    </row>
    <row r="27" spans="1:8">
      <c r="A27" s="7">
        <v>42967</v>
      </c>
      <c r="B27" s="9">
        <v>0.33333333333333331</v>
      </c>
      <c r="C27" s="2">
        <v>9188.4</v>
      </c>
      <c r="D27" s="2">
        <v>14.1</v>
      </c>
      <c r="E27" s="3">
        <f t="shared" si="0"/>
        <v>4.7587433035821719E-2</v>
      </c>
      <c r="F27" s="4">
        <f t="shared" si="1"/>
        <v>738.35391816965387</v>
      </c>
    </row>
    <row r="28" spans="1:8">
      <c r="A28" s="6">
        <v>42977</v>
      </c>
      <c r="B28" s="9">
        <v>0.33333333333333331</v>
      </c>
      <c r="C28" s="2">
        <v>9188.1</v>
      </c>
      <c r="D28" s="2">
        <v>14.3</v>
      </c>
      <c r="E28" s="3">
        <f t="shared" si="0"/>
        <v>4.8245179064916072E-2</v>
      </c>
      <c r="F28" s="4">
        <f t="shared" si="1"/>
        <v>738.42100826462149</v>
      </c>
    </row>
    <row r="29" spans="1:8">
      <c r="A29" s="7">
        <v>42988</v>
      </c>
      <c r="B29" s="9">
        <v>0.33333333333333331</v>
      </c>
      <c r="C29" s="2">
        <v>9184.4</v>
      </c>
      <c r="D29" s="2">
        <v>13.8</v>
      </c>
      <c r="E29" s="3">
        <f t="shared" si="0"/>
        <v>4.7297182700973717E-2</v>
      </c>
      <c r="F29" s="4">
        <f t="shared" si="1"/>
        <v>738.32431263549927</v>
      </c>
    </row>
    <row r="30" spans="1:8">
      <c r="A30" s="7">
        <v>42998</v>
      </c>
      <c r="B30" s="9">
        <v>0.33333333333333331</v>
      </c>
      <c r="C30" s="2">
        <v>9189.7000000000007</v>
      </c>
      <c r="D30" s="2">
        <v>13.8</v>
      </c>
      <c r="E30" s="3">
        <f t="shared" si="0"/>
        <v>4.6467802577175088E-2</v>
      </c>
      <c r="F30" s="4">
        <f t="shared" si="1"/>
        <v>738.23971586287189</v>
      </c>
    </row>
    <row r="31" spans="1:8">
      <c r="A31" s="7">
        <v>43008</v>
      </c>
      <c r="B31" s="9">
        <v>0.33333333333333331</v>
      </c>
      <c r="C31" s="2">
        <v>9190.2999999999993</v>
      </c>
      <c r="D31" s="2">
        <v>14.2</v>
      </c>
      <c r="E31" s="3">
        <f t="shared" si="0"/>
        <v>4.7595513331295525E-2</v>
      </c>
      <c r="F31" s="4">
        <f t="shared" si="1"/>
        <v>738.35474235979211</v>
      </c>
    </row>
    <row r="32" spans="1:8">
      <c r="A32" s="7">
        <v>43018</v>
      </c>
      <c r="B32" s="9">
        <v>0.33333333333333331</v>
      </c>
      <c r="C32" s="2">
        <v>9187.9</v>
      </c>
      <c r="D32" s="2">
        <v>13.6</v>
      </c>
      <c r="E32" s="3">
        <f t="shared" si="0"/>
        <v>4.6138674808708424E-2</v>
      </c>
      <c r="F32" s="4">
        <f t="shared" si="1"/>
        <v>738.20614483048826</v>
      </c>
    </row>
    <row r="33" spans="1:6">
      <c r="A33" s="7">
        <v>43230</v>
      </c>
      <c r="B33" s="9">
        <v>0.33333333333333331</v>
      </c>
      <c r="C33" s="2">
        <v>9169.1</v>
      </c>
      <c r="D33" s="2">
        <v>12.2</v>
      </c>
      <c r="E33" s="3">
        <f t="shared" si="0"/>
        <v>4.4805209733144058E-2</v>
      </c>
      <c r="F33" s="4">
        <f t="shared" si="1"/>
        <v>738.0701313927807</v>
      </c>
    </row>
    <row r="34" spans="1:6">
      <c r="A34" s="7">
        <v>43240</v>
      </c>
      <c r="B34" s="9">
        <v>0.33333333333333331</v>
      </c>
      <c r="C34" s="2">
        <v>9171</v>
      </c>
      <c r="D34" s="2">
        <v>12.3</v>
      </c>
      <c r="E34" s="3">
        <f>($B$2*C34^2+$B$3*C34+$B$4)-$B$5*D34-$E$7</f>
        <v>4.4813247690169339E-2</v>
      </c>
      <c r="F34" s="4">
        <f t="shared" si="1"/>
        <v>738.07095126439731</v>
      </c>
    </row>
    <row r="35" spans="1:6">
      <c r="A35" s="7">
        <v>43250</v>
      </c>
      <c r="B35" s="9">
        <v>0.33333333333333331</v>
      </c>
      <c r="C35" s="2">
        <v>9166.2000000000007</v>
      </c>
      <c r="D35" s="2">
        <v>12.2</v>
      </c>
      <c r="E35" s="3">
        <f>($B$2*C35^2+$B$3*C35+$B$4)-$B$5*D35-$E$7</f>
        <v>4.5259086455666897E-2</v>
      </c>
      <c r="F35" s="4">
        <f t="shared" si="1"/>
        <v>738.11642681847798</v>
      </c>
    </row>
    <row r="36" spans="1:6">
      <c r="A36" s="7">
        <v>43261</v>
      </c>
      <c r="B36" s="9">
        <v>0.33333333333333331</v>
      </c>
      <c r="C36" s="2">
        <v>9163.5</v>
      </c>
      <c r="D36" s="2">
        <v>12.1</v>
      </c>
      <c r="E36" s="3">
        <f>($B$2*C36^2+$B$3*C36+$B$4)-$B$5*D36-$E$7</f>
        <v>4.5376269863881685E-2</v>
      </c>
      <c r="F36" s="4">
        <f t="shared" si="1"/>
        <v>738.12837952611596</v>
      </c>
    </row>
    <row r="37" spans="1:6">
      <c r="A37" s="7">
        <v>43271</v>
      </c>
      <c r="B37" s="9">
        <v>0.33333333333333331</v>
      </c>
      <c r="C37" s="2">
        <v>9105.2000000000007</v>
      </c>
      <c r="D37" s="2">
        <v>12.1</v>
      </c>
      <c r="E37" s="3">
        <f>($B$2*C37^2+$B$3*C37+$B$4)-$B$5*D37-$E$7</f>
        <v>5.4502998568800726E-2</v>
      </c>
      <c r="F37" s="4">
        <f t="shared" si="1"/>
        <v>739.05930585401768</v>
      </c>
    </row>
    <row r="38" spans="1:6">
      <c r="A38" s="7">
        <v>43281</v>
      </c>
      <c r="B38" s="9">
        <v>0.33333333333333331</v>
      </c>
      <c r="C38" s="2">
        <v>9098.7000000000007</v>
      </c>
      <c r="D38" s="2">
        <v>12</v>
      </c>
      <c r="E38" s="3">
        <f>($B$2*C38^2+$B$3*C38+$B$4)-$B$5*D38-$E$7</f>
        <v>5.5215401327499192E-2</v>
      </c>
      <c r="F38" s="4">
        <f t="shared" si="1"/>
        <v>739.13197093540487</v>
      </c>
    </row>
    <row r="39" spans="1:6">
      <c r="A39" s="7">
        <v>43291</v>
      </c>
      <c r="B39" s="9">
        <v>0.33333333333333331</v>
      </c>
      <c r="C39" s="2">
        <v>9115.7999999999993</v>
      </c>
      <c r="D39" s="2">
        <v>12.9</v>
      </c>
      <c r="E39" s="3">
        <f t="shared" ref="E39:E44" si="2">($B$2*C39^2+$B$3*C39+$B$4)-$B$5*D39-$E$7</f>
        <v>5.5286503060354791E-2</v>
      </c>
      <c r="F39" s="4">
        <f t="shared" si="1"/>
        <v>739.13922331215622</v>
      </c>
    </row>
    <row r="40" spans="1:6">
      <c r="A40" s="7">
        <v>43301</v>
      </c>
      <c r="B40" s="9">
        <v>0.33333333333333331</v>
      </c>
      <c r="C40" s="2">
        <v>9123.7999999999993</v>
      </c>
      <c r="D40" s="2">
        <v>12.2</v>
      </c>
      <c r="E40" s="3">
        <f t="shared" si="2"/>
        <v>5.1896185969827147E-2</v>
      </c>
      <c r="F40" s="4">
        <f t="shared" si="1"/>
        <v>738.79341096892233</v>
      </c>
    </row>
    <row r="41" spans="1:6">
      <c r="A41" s="7">
        <v>43311</v>
      </c>
      <c r="B41" s="9">
        <v>0.33333333333333331</v>
      </c>
      <c r="C41" s="2">
        <v>9123.5</v>
      </c>
      <c r="D41" s="2">
        <v>11.9</v>
      </c>
      <c r="E41" s="3">
        <f t="shared" si="2"/>
        <v>5.1026953374681855E-2</v>
      </c>
      <c r="F41" s="4">
        <f t="shared" si="1"/>
        <v>738.70474924421751</v>
      </c>
    </row>
    <row r="42" spans="1:6">
      <c r="A42" s="7">
        <v>43322</v>
      </c>
      <c r="B42" s="9">
        <v>0.33333333333333331</v>
      </c>
      <c r="C42" s="2">
        <v>9108.1</v>
      </c>
      <c r="D42" s="2">
        <v>11.9</v>
      </c>
      <c r="E42" s="3">
        <f t="shared" si="2"/>
        <v>5.3438117201076024E-2</v>
      </c>
      <c r="F42" s="4">
        <f t="shared" si="1"/>
        <v>738.9506879545097</v>
      </c>
    </row>
    <row r="43" spans="1:6">
      <c r="A43" s="7">
        <v>43332</v>
      </c>
      <c r="B43" s="9">
        <v>0.33333333333333331</v>
      </c>
      <c r="C43" s="2">
        <v>9115.9</v>
      </c>
      <c r="D43" s="2">
        <v>11.9</v>
      </c>
      <c r="E43" s="3">
        <f t="shared" si="2"/>
        <v>5.221684415816405E-2</v>
      </c>
      <c r="F43" s="4">
        <f t="shared" si="1"/>
        <v>738.82611810413277</v>
      </c>
    </row>
    <row r="44" spans="1:6">
      <c r="A44" s="7">
        <v>43342</v>
      </c>
      <c r="B44" s="9">
        <v>0.33333333333333331</v>
      </c>
      <c r="C44" s="2">
        <v>9114.2000000000007</v>
      </c>
      <c r="D44" s="2">
        <v>11.8</v>
      </c>
      <c r="E44" s="3">
        <f t="shared" si="2"/>
        <v>5.2177612865634826E-2</v>
      </c>
      <c r="F44" s="4">
        <f t="shared" si="1"/>
        <v>738.82211651229477</v>
      </c>
    </row>
    <row r="45" spans="1:6">
      <c r="A45" s="7">
        <v>43353</v>
      </c>
      <c r="B45" s="9">
        <v>0.33333333333333331</v>
      </c>
      <c r="C45" s="2">
        <v>9112.7999999999993</v>
      </c>
      <c r="D45" s="2">
        <v>11.7</v>
      </c>
      <c r="E45" s="3">
        <f t="shared" ref="E45:E48" si="3">($B$2*C45^2+$B$3*C45+$B$4)-$B$5*D45-$E$7</f>
        <v>5.2091413094873112E-2</v>
      </c>
      <c r="F45" s="4">
        <f t="shared" ref="F45:F48" si="4">$D$1+102*E45</f>
        <v>738.81332413567702</v>
      </c>
    </row>
    <row r="46" spans="1:6">
      <c r="A46" s="7">
        <v>43363</v>
      </c>
      <c r="B46" s="9">
        <v>0.33333333333333331</v>
      </c>
      <c r="C46" s="2">
        <v>9082.1</v>
      </c>
      <c r="D46" s="2">
        <v>11.6</v>
      </c>
      <c r="E46" s="3">
        <f t="shared" si="3"/>
        <v>5.6593334066567913E-2</v>
      </c>
      <c r="F46" s="4">
        <f t="shared" si="4"/>
        <v>739.2725200747899</v>
      </c>
    </row>
    <row r="47" spans="1:6">
      <c r="A47" s="7">
        <v>43373</v>
      </c>
      <c r="B47" s="9">
        <v>0.33333333333333331</v>
      </c>
      <c r="C47" s="2">
        <v>9100.2999999999993</v>
      </c>
      <c r="D47" s="2">
        <v>11.2</v>
      </c>
      <c r="E47" s="3">
        <f t="shared" si="3"/>
        <v>5.2521659088635431E-2</v>
      </c>
      <c r="F47" s="4">
        <f t="shared" si="4"/>
        <v>738.85720922704081</v>
      </c>
    </row>
    <row r="48" spans="1:6">
      <c r="A48" s="7">
        <v>43383</v>
      </c>
      <c r="B48" s="9">
        <v>0.33333333333333331</v>
      </c>
      <c r="C48" s="2">
        <v>9102.4</v>
      </c>
      <c r="D48" s="2">
        <v>10.8</v>
      </c>
      <c r="E48" s="3">
        <f t="shared" si="3"/>
        <v>5.0971228185669626E-2</v>
      </c>
      <c r="F48" s="4">
        <f t="shared" si="4"/>
        <v>738.69906527493833</v>
      </c>
    </row>
    <row r="49" spans="1:6">
      <c r="A49" s="7">
        <v>43393</v>
      </c>
      <c r="B49" s="9">
        <v>0.33333333333333331</v>
      </c>
      <c r="C49" s="2">
        <v>9104.7000000000007</v>
      </c>
      <c r="D49" s="2">
        <v>10.4</v>
      </c>
      <c r="E49" s="3">
        <f t="shared" ref="E49:E60" si="5">($B$2*C49^2+$B$3*C49+$B$4)-$B$5*D49-$E$7</f>
        <v>4.9389485972215208E-2</v>
      </c>
      <c r="F49" s="4">
        <f t="shared" ref="F49:F60" si="6">$D$1+102*E49</f>
        <v>738.5377275691659</v>
      </c>
    </row>
    <row r="50" spans="1:6">
      <c r="A50" s="7">
        <v>43605</v>
      </c>
      <c r="B50" s="1">
        <v>0.33333333333333331</v>
      </c>
      <c r="C50" s="2">
        <v>9144.6</v>
      </c>
      <c r="D50" s="2">
        <v>10.199999999999999</v>
      </c>
      <c r="E50" s="3">
        <f t="shared" si="5"/>
        <v>4.2531986994255533E-2</v>
      </c>
      <c r="F50" s="4">
        <f t="shared" si="6"/>
        <v>737.83826267341408</v>
      </c>
    </row>
    <row r="51" spans="1:6">
      <c r="A51" s="7">
        <v>43615</v>
      </c>
      <c r="B51" s="1">
        <v>0.33333333333333331</v>
      </c>
      <c r="C51" s="2">
        <v>9140.2999999999993</v>
      </c>
      <c r="D51" s="2">
        <v>10.199999999999999</v>
      </c>
      <c r="E51" s="3">
        <f t="shared" si="5"/>
        <v>4.3205101727595396E-2</v>
      </c>
      <c r="F51" s="4">
        <f t="shared" si="6"/>
        <v>737.90692037621477</v>
      </c>
    </row>
    <row r="52" spans="1:6">
      <c r="A52" s="7">
        <v>43626</v>
      </c>
      <c r="B52" s="1">
        <v>0.33333333333333331</v>
      </c>
      <c r="C52" s="2">
        <v>9142.5</v>
      </c>
      <c r="D52" s="2">
        <v>10.3</v>
      </c>
      <c r="E52" s="3">
        <f t="shared" si="5"/>
        <v>4.3166114978341746E-2</v>
      </c>
      <c r="F52" s="4">
        <f t="shared" si="6"/>
        <v>737.9029437277909</v>
      </c>
    </row>
    <row r="53" spans="1:6">
      <c r="A53" s="7">
        <v>43636</v>
      </c>
      <c r="B53" s="1">
        <v>0.33333333333333331</v>
      </c>
      <c r="C53" s="2">
        <v>9139.7999999999993</v>
      </c>
      <c r="D53" s="2">
        <v>10.3</v>
      </c>
      <c r="E53" s="3">
        <f t="shared" si="5"/>
        <v>4.3588772468130949E-2</v>
      </c>
      <c r="F53" s="4">
        <f t="shared" si="6"/>
        <v>737.94605479174936</v>
      </c>
    </row>
    <row r="54" spans="1:6">
      <c r="A54" s="7">
        <v>43646</v>
      </c>
      <c r="B54" s="1">
        <v>0.33333333333333331</v>
      </c>
      <c r="C54" s="2">
        <v>9135.7000000000007</v>
      </c>
      <c r="D54" s="2">
        <v>10.3</v>
      </c>
      <c r="E54" s="3">
        <f t="shared" si="5"/>
        <v>4.4230601788211227E-2</v>
      </c>
      <c r="F54" s="4">
        <f t="shared" si="6"/>
        <v>738.01152138239752</v>
      </c>
    </row>
    <row r="55" spans="1:6">
      <c r="A55" s="7">
        <v>43656</v>
      </c>
      <c r="B55" s="1">
        <v>0.33333333333333331</v>
      </c>
      <c r="C55" s="2">
        <v>9117.5</v>
      </c>
      <c r="D55" s="2">
        <v>10.1</v>
      </c>
      <c r="E55" s="3">
        <f t="shared" si="5"/>
        <v>4.6469131693341909E-2</v>
      </c>
      <c r="F55" s="4">
        <f t="shared" si="6"/>
        <v>738.23985143272091</v>
      </c>
    </row>
    <row r="56" spans="1:6">
      <c r="A56" s="7">
        <v>43666</v>
      </c>
      <c r="B56" s="1">
        <v>0.33333333333333331</v>
      </c>
      <c r="C56" s="2">
        <v>9098.6</v>
      </c>
      <c r="D56" s="2">
        <v>10.1</v>
      </c>
      <c r="E56" s="3">
        <f t="shared" si="5"/>
        <v>4.9428456415567618E-2</v>
      </c>
      <c r="F56" s="4">
        <f t="shared" si="6"/>
        <v>738.54170255438794</v>
      </c>
    </row>
    <row r="57" spans="1:6">
      <c r="A57" s="7">
        <v>43676</v>
      </c>
      <c r="B57" s="1">
        <v>0.33333333333333331</v>
      </c>
      <c r="C57" s="2">
        <v>9094.4</v>
      </c>
      <c r="D57" s="2">
        <v>10</v>
      </c>
      <c r="E57" s="3">
        <f t="shared" si="5"/>
        <v>4.9780739940293695E-2</v>
      </c>
      <c r="F57" s="4">
        <f t="shared" si="6"/>
        <v>738.57763547390994</v>
      </c>
    </row>
    <row r="58" spans="1:6">
      <c r="A58" s="7">
        <v>43687</v>
      </c>
      <c r="B58" s="9">
        <v>0.33333333333333331</v>
      </c>
      <c r="C58" s="2">
        <v>9090.1</v>
      </c>
      <c r="D58" s="2">
        <v>10.1</v>
      </c>
      <c r="E58" s="3">
        <f t="shared" si="5"/>
        <v>5.0759504101272085E-2</v>
      </c>
      <c r="F58" s="4">
        <f t="shared" si="6"/>
        <v>738.67746941832979</v>
      </c>
    </row>
    <row r="59" spans="1:6">
      <c r="A59" s="7">
        <v>43697</v>
      </c>
      <c r="B59" s="1">
        <v>0.33333333333333331</v>
      </c>
      <c r="C59" s="2">
        <v>9078.2999999999993</v>
      </c>
      <c r="D59" s="2">
        <v>9.9</v>
      </c>
      <c r="E59" s="3">
        <f t="shared" si="5"/>
        <v>5.1996649360767616E-2</v>
      </c>
      <c r="F59" s="4">
        <f t="shared" si="6"/>
        <v>738.80365823479826</v>
      </c>
    </row>
    <row r="60" spans="1:6">
      <c r="A60" s="7">
        <v>43707</v>
      </c>
      <c r="B60" s="9">
        <v>0.33333333333333331</v>
      </c>
      <c r="C60" s="2">
        <v>9054.6</v>
      </c>
      <c r="D60" s="2">
        <v>9.9</v>
      </c>
      <c r="E60" s="3">
        <f t="shared" si="5"/>
        <v>5.5708686939135527E-2</v>
      </c>
      <c r="F60" s="4">
        <f t="shared" si="6"/>
        <v>739.18228606779178</v>
      </c>
    </row>
    <row r="61" spans="1:6">
      <c r="B61" s="9"/>
    </row>
    <row r="62" spans="1:6">
      <c r="B62" s="9"/>
    </row>
    <row r="63" spans="1:6">
      <c r="B63" s="9"/>
    </row>
    <row r="64" spans="1:6">
      <c r="B64" s="9"/>
    </row>
    <row r="65" spans="2:2">
      <c r="B65" s="9"/>
    </row>
    <row r="66" spans="2:2">
      <c r="B66" s="9"/>
    </row>
    <row r="67" spans="2:2">
      <c r="B67" s="9"/>
    </row>
    <row r="68" spans="2:2">
      <c r="B68" s="9"/>
    </row>
    <row r="69" spans="2:2">
      <c r="B69" s="9"/>
    </row>
    <row r="70" spans="2:2">
      <c r="B70" s="9"/>
    </row>
    <row r="71" spans="2:2">
      <c r="B71" s="9"/>
    </row>
    <row r="72" spans="2:2">
      <c r="B72" s="9"/>
    </row>
    <row r="73" spans="2:2">
      <c r="B73" s="9"/>
    </row>
    <row r="74" spans="2:2">
      <c r="B74" s="9"/>
    </row>
    <row r="75" spans="2:2">
      <c r="B75" s="9"/>
    </row>
    <row r="76" spans="2:2">
      <c r="B76" s="9"/>
    </row>
    <row r="77" spans="2:2">
      <c r="B77" s="9"/>
    </row>
    <row r="78" spans="2:2">
      <c r="B78" s="9"/>
    </row>
    <row r="79" spans="2:2">
      <c r="B79" s="9"/>
    </row>
    <row r="80" spans="2:2">
      <c r="B80" s="9"/>
    </row>
    <row r="81" spans="2:2">
      <c r="B81" s="9"/>
    </row>
    <row r="82" spans="2:2">
      <c r="B82" s="9"/>
    </row>
    <row r="83" spans="2:2">
      <c r="B83" s="9"/>
    </row>
    <row r="84" spans="2:2">
      <c r="B84" s="9"/>
    </row>
    <row r="85" spans="2:2">
      <c r="B85" s="9"/>
    </row>
    <row r="86" spans="2:2">
      <c r="B86" s="9"/>
    </row>
    <row r="87" spans="2:2">
      <c r="B87" s="9"/>
    </row>
    <row r="88" spans="2:2">
      <c r="B88" s="9"/>
    </row>
    <row r="89" spans="2:2">
      <c r="B89" s="9"/>
    </row>
    <row r="90" spans="2:2">
      <c r="B90" s="9"/>
    </row>
    <row r="91" spans="2:2">
      <c r="B91" s="9"/>
    </row>
    <row r="92" spans="2:2">
      <c r="B92" s="9"/>
    </row>
    <row r="93" spans="2:2">
      <c r="B93" s="9"/>
    </row>
    <row r="94" spans="2:2">
      <c r="B94" s="9"/>
    </row>
    <row r="95" spans="2:2">
      <c r="B95" s="9"/>
    </row>
    <row r="96" spans="2:2">
      <c r="B96" s="9"/>
    </row>
    <row r="97" spans="2:2">
      <c r="B97" s="9"/>
    </row>
    <row r="98" spans="2:2">
      <c r="B98" s="9"/>
    </row>
    <row r="99" spans="2:2">
      <c r="B99" s="9"/>
    </row>
    <row r="100" spans="2:2">
      <c r="B100" s="9"/>
    </row>
    <row r="101" spans="2:2">
      <c r="B101" s="9"/>
    </row>
    <row r="102" spans="2:2">
      <c r="B102" s="9"/>
    </row>
    <row r="103" spans="2:2">
      <c r="B103" s="9"/>
    </row>
    <row r="104" spans="2:2">
      <c r="B104" s="9"/>
    </row>
    <row r="105" spans="2:2">
      <c r="B105" s="9"/>
    </row>
    <row r="106" spans="2:2">
      <c r="B106" s="9"/>
    </row>
    <row r="107" spans="2:2">
      <c r="B107" s="9"/>
    </row>
    <row r="108" spans="2:2">
      <c r="B108" s="9"/>
    </row>
    <row r="109" spans="2:2">
      <c r="B109" s="9"/>
    </row>
    <row r="110" spans="2:2">
      <c r="B110" s="9"/>
    </row>
    <row r="111" spans="2:2">
      <c r="B111" s="9"/>
    </row>
    <row r="112" spans="2:2">
      <c r="B112" s="9"/>
    </row>
    <row r="113" spans="2:2">
      <c r="B113" s="9"/>
    </row>
    <row r="114" spans="2:2">
      <c r="B114" s="9"/>
    </row>
    <row r="115" spans="2:2">
      <c r="B115" s="9"/>
    </row>
    <row r="116" spans="2:2">
      <c r="B116" s="9"/>
    </row>
    <row r="117" spans="2:2">
      <c r="B117" s="9"/>
    </row>
    <row r="118" spans="2:2">
      <c r="B118" s="9"/>
    </row>
    <row r="119" spans="2:2">
      <c r="B119" s="9"/>
    </row>
    <row r="120" spans="2:2">
      <c r="B120" s="9"/>
    </row>
    <row r="121" spans="2:2">
      <c r="B121" s="9"/>
    </row>
    <row r="122" spans="2:2">
      <c r="B122" s="9"/>
    </row>
    <row r="123" spans="2:2">
      <c r="B123" s="9"/>
    </row>
    <row r="124" spans="2:2">
      <c r="B124" s="9"/>
    </row>
    <row r="125" spans="2:2">
      <c r="B125" s="9"/>
    </row>
    <row r="126" spans="2:2">
      <c r="B126" s="9"/>
    </row>
    <row r="127" spans="2:2">
      <c r="B127" s="9"/>
    </row>
    <row r="128" spans="2:2">
      <c r="B128" s="9"/>
    </row>
    <row r="129" spans="2:2">
      <c r="B129" s="9"/>
    </row>
    <row r="130" spans="2:2">
      <c r="B130" s="9"/>
    </row>
    <row r="131" spans="2:2">
      <c r="B131" s="9"/>
    </row>
    <row r="132" spans="2:2">
      <c r="B132" s="9"/>
    </row>
    <row r="133" spans="2:2">
      <c r="B133" s="9"/>
    </row>
    <row r="134" spans="2:2">
      <c r="B134" s="9"/>
    </row>
    <row r="135" spans="2:2">
      <c r="B135" s="9"/>
    </row>
    <row r="136" spans="2:2">
      <c r="B136" s="9"/>
    </row>
    <row r="137" spans="2:2">
      <c r="B137" s="9"/>
    </row>
    <row r="138" spans="2:2">
      <c r="B138" s="9"/>
    </row>
    <row r="139" spans="2:2">
      <c r="B139" s="9"/>
    </row>
    <row r="140" spans="2:2">
      <c r="B140" s="9"/>
    </row>
    <row r="141" spans="2:2">
      <c r="B141" s="9"/>
    </row>
    <row r="142" spans="2:2">
      <c r="B142" s="9"/>
    </row>
    <row r="143" spans="2:2">
      <c r="B143" s="9"/>
    </row>
    <row r="144" spans="2:2">
      <c r="B144" s="9"/>
    </row>
    <row r="145" spans="2:2">
      <c r="B145" s="9"/>
    </row>
    <row r="146" spans="2:2">
      <c r="B146" s="9"/>
    </row>
    <row r="147" spans="2:2">
      <c r="B147" s="9"/>
    </row>
    <row r="148" spans="2:2">
      <c r="B148" s="9"/>
    </row>
    <row r="149" spans="2:2">
      <c r="B149" s="9"/>
    </row>
    <row r="150" spans="2:2">
      <c r="B150" s="9"/>
    </row>
    <row r="151" spans="2:2">
      <c r="B151" s="9"/>
    </row>
    <row r="152" spans="2:2">
      <c r="B152" s="9"/>
    </row>
    <row r="153" spans="2:2">
      <c r="B153" s="9"/>
    </row>
    <row r="154" spans="2:2">
      <c r="B154" s="9"/>
    </row>
    <row r="155" spans="2:2">
      <c r="B155" s="9"/>
    </row>
    <row r="156" spans="2:2">
      <c r="B156" s="9"/>
    </row>
    <row r="157" spans="2:2">
      <c r="B157" s="9"/>
    </row>
    <row r="158" spans="2:2">
      <c r="B158" s="9"/>
    </row>
    <row r="159" spans="2:2">
      <c r="B159" s="9"/>
    </row>
    <row r="160" spans="2:2">
      <c r="B160" s="9"/>
    </row>
    <row r="161" spans="2:2">
      <c r="B161" s="9"/>
    </row>
    <row r="162" spans="2:2">
      <c r="B162" s="9"/>
    </row>
    <row r="163" spans="2:2">
      <c r="B163" s="9"/>
    </row>
    <row r="164" spans="2:2">
      <c r="B164" s="9"/>
    </row>
    <row r="165" spans="2:2">
      <c r="B165" s="9"/>
    </row>
    <row r="166" spans="2:2">
      <c r="B166" s="9"/>
    </row>
    <row r="167" spans="2:2">
      <c r="B167" s="9"/>
    </row>
    <row r="168" spans="2:2">
      <c r="B168" s="9"/>
    </row>
    <row r="169" spans="2:2">
      <c r="B169" s="9"/>
    </row>
    <row r="170" spans="2:2">
      <c r="B170" s="9"/>
    </row>
    <row r="171" spans="2:2">
      <c r="B171" s="9"/>
    </row>
    <row r="172" spans="2:2">
      <c r="B172" s="9"/>
    </row>
    <row r="173" spans="2:2">
      <c r="B173" s="9"/>
    </row>
    <row r="174" spans="2:2">
      <c r="B174" s="9"/>
    </row>
    <row r="175" spans="2:2">
      <c r="B175" s="9"/>
    </row>
    <row r="176" spans="2:2">
      <c r="B176" s="9"/>
    </row>
  </sheetData>
  <phoneticPr fontId="4" type="noConversion"/>
  <pageMargins left="0.69930555555555596" right="0.69930555555555596" top="0.75" bottom="0.75" header="0.3" footer="0.3"/>
  <pageSetup paperSize="9" orientation="portrait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5"/>
  <sheetViews>
    <sheetView topLeftCell="A43" workbookViewId="0">
      <selection activeCell="A69" sqref="A69:B75"/>
    </sheetView>
  </sheetViews>
  <sheetFormatPr defaultColWidth="9" defaultRowHeight="13.5"/>
  <cols>
    <col min="1" max="1" width="10.875" customWidth="1"/>
    <col min="2" max="2" width="13.875" customWidth="1"/>
    <col min="5" max="5" width="10.875" customWidth="1"/>
  </cols>
  <sheetData>
    <row r="1" spans="1:7">
      <c r="A1" t="s">
        <v>0</v>
      </c>
      <c r="B1">
        <v>50414</v>
      </c>
      <c r="C1" t="s">
        <v>1</v>
      </c>
      <c r="D1">
        <v>733.5</v>
      </c>
    </row>
    <row r="2" spans="1:7">
      <c r="A2" t="s">
        <v>2</v>
      </c>
      <c r="B2">
        <f>5.58702*10^-10</f>
        <v>5.5870199999999996E-10</v>
      </c>
    </row>
    <row r="3" spans="1:7">
      <c r="A3" t="s">
        <v>3</v>
      </c>
      <c r="B3">
        <v>-7.4942000000000002E-5</v>
      </c>
    </row>
    <row r="4" spans="1:7">
      <c r="A4" t="s">
        <v>4</v>
      </c>
      <c r="B4">
        <v>0.63168603999999995</v>
      </c>
    </row>
    <row r="5" spans="1:7">
      <c r="A5" t="s">
        <v>5</v>
      </c>
      <c r="B5">
        <v>-9.0640999999999996E-4</v>
      </c>
    </row>
    <row r="6" spans="1:7">
      <c r="A6" t="s">
        <v>6</v>
      </c>
      <c r="B6" t="s">
        <v>7</v>
      </c>
      <c r="C6" t="s">
        <v>8</v>
      </c>
      <c r="D6" t="s">
        <v>9</v>
      </c>
      <c r="E6" t="s">
        <v>10</v>
      </c>
      <c r="F6" t="s">
        <v>11</v>
      </c>
      <c r="G6" t="s">
        <v>12</v>
      </c>
    </row>
    <row r="7" spans="1:7">
      <c r="A7" s="7">
        <v>42519</v>
      </c>
      <c r="B7" s="1">
        <v>0.47916666666666702</v>
      </c>
      <c r="C7" s="2">
        <v>8866.9</v>
      </c>
      <c r="D7" s="2">
        <v>9</v>
      </c>
      <c r="E7" s="3">
        <f>($B$2*C7^2+$B$3*C7+$B$4)-$B$5*D7</f>
        <v>1.9266731695138269E-2</v>
      </c>
      <c r="G7" t="s">
        <v>13</v>
      </c>
    </row>
    <row r="8" spans="1:7">
      <c r="A8" s="7">
        <v>42519</v>
      </c>
      <c r="B8" s="1">
        <v>0.64583333333333304</v>
      </c>
      <c r="C8" s="2">
        <v>8927.1</v>
      </c>
      <c r="D8" s="2">
        <v>11.9</v>
      </c>
      <c r="E8" s="3">
        <f>($B$2*C8^2+$B$3*C8+$B$4)-$B$5*D8-$E$7</f>
        <v>-1.284438488042567E-3</v>
      </c>
      <c r="F8" s="4">
        <f>$D$1+102*E8</f>
        <v>733.36898727421965</v>
      </c>
      <c r="G8" t="s">
        <v>17</v>
      </c>
    </row>
    <row r="9" spans="1:7">
      <c r="A9" s="7">
        <v>42519</v>
      </c>
      <c r="B9" s="1">
        <v>0.66666666666666696</v>
      </c>
      <c r="C9" s="2">
        <v>8927</v>
      </c>
      <c r="D9" s="2">
        <v>11.8</v>
      </c>
      <c r="E9" s="3">
        <f t="shared" ref="E9:E24" si="0">($B$2*C9^2+$B$3*C9+$B$4)-$B$5*D9-$E$7</f>
        <v>-1.3685828001804429E-3</v>
      </c>
      <c r="F9" s="4">
        <f t="shared" ref="F9:F57" si="1">$D$1+102*E9</f>
        <v>733.3604045543816</v>
      </c>
    </row>
    <row r="10" spans="1:7">
      <c r="A10" s="7">
        <v>42520</v>
      </c>
      <c r="B10" s="1">
        <v>0.33333333333333298</v>
      </c>
      <c r="C10" s="2">
        <v>8930.1</v>
      </c>
      <c r="D10" s="2">
        <v>12.1</v>
      </c>
      <c r="E10" s="3">
        <f t="shared" si="0"/>
        <v>-1.2980519279793476E-3</v>
      </c>
      <c r="F10" s="4">
        <f t="shared" si="1"/>
        <v>733.36759870334606</v>
      </c>
    </row>
    <row r="11" spans="1:7">
      <c r="A11" s="7">
        <v>42521</v>
      </c>
      <c r="B11" s="1">
        <v>0.33333333333333298</v>
      </c>
      <c r="C11" s="2">
        <v>8938.4</v>
      </c>
      <c r="D11" s="2">
        <v>13.4</v>
      </c>
      <c r="E11" s="3">
        <f t="shared" si="0"/>
        <v>-6.588772444772184E-4</v>
      </c>
      <c r="F11" s="4">
        <f t="shared" si="1"/>
        <v>733.43279452106333</v>
      </c>
    </row>
    <row r="12" spans="1:7">
      <c r="A12" s="7">
        <v>42522</v>
      </c>
      <c r="B12" s="1">
        <v>0.33333333333333298</v>
      </c>
      <c r="C12" s="2">
        <v>8948.1</v>
      </c>
      <c r="D12" s="2">
        <v>14.1</v>
      </c>
      <c r="E12" s="3">
        <f t="shared" si="0"/>
        <v>-6.5439337824414745E-4</v>
      </c>
      <c r="F12" s="4">
        <f t="shared" si="1"/>
        <v>733.43325187541905</v>
      </c>
    </row>
    <row r="13" spans="1:7">
      <c r="A13" s="7">
        <v>42523</v>
      </c>
      <c r="B13" s="1">
        <v>0.33333333333333298</v>
      </c>
      <c r="C13" s="2">
        <v>8961.1</v>
      </c>
      <c r="D13" s="2">
        <v>14.9</v>
      </c>
      <c r="E13" s="3">
        <f t="shared" si="0"/>
        <v>-7.7343460208493392E-4</v>
      </c>
      <c r="F13" s="4">
        <f t="shared" si="1"/>
        <v>733.42110967058738</v>
      </c>
    </row>
    <row r="14" spans="1:7">
      <c r="A14" s="7">
        <v>42524</v>
      </c>
      <c r="B14" s="1">
        <v>0.33333333333333298</v>
      </c>
      <c r="C14" s="2">
        <v>8970.2999999999993</v>
      </c>
      <c r="D14" s="2">
        <v>15.4</v>
      </c>
      <c r="E14" s="3">
        <f t="shared" si="0"/>
        <v>-9.1752755889111873E-4</v>
      </c>
      <c r="F14" s="4">
        <f t="shared" si="1"/>
        <v>733.40641218899316</v>
      </c>
    </row>
    <row r="15" spans="1:7">
      <c r="A15" s="7">
        <v>42525</v>
      </c>
      <c r="B15" s="1">
        <v>0.33333333333333298</v>
      </c>
      <c r="C15" s="2">
        <v>8976.5</v>
      </c>
      <c r="D15" s="2">
        <v>16.600000000000001</v>
      </c>
      <c r="E15" s="3">
        <f t="shared" si="0"/>
        <v>-2.3230909795887017E-4</v>
      </c>
      <c r="F15" s="4">
        <f t="shared" si="1"/>
        <v>733.47630447200822</v>
      </c>
    </row>
    <row r="16" spans="1:7">
      <c r="A16" s="7">
        <v>42526</v>
      </c>
      <c r="B16" s="1">
        <v>0.33333333333333298</v>
      </c>
      <c r="C16" s="2">
        <v>8980.6</v>
      </c>
      <c r="D16" s="2">
        <v>17.399999999999999</v>
      </c>
      <c r="E16" s="3">
        <f t="shared" si="0"/>
        <v>2.2669063954640356E-4</v>
      </c>
      <c r="F16" s="4">
        <f t="shared" si="1"/>
        <v>733.52312244523375</v>
      </c>
    </row>
    <row r="17" spans="1:7">
      <c r="A17" s="7">
        <v>42531</v>
      </c>
      <c r="B17" s="1">
        <v>0.33333333333333298</v>
      </c>
      <c r="C17" s="2">
        <v>9086.7000000000007</v>
      </c>
      <c r="D17" s="2">
        <v>27</v>
      </c>
      <c r="E17" s="3">
        <f t="shared" si="0"/>
        <v>2.0478789475384465E-3</v>
      </c>
      <c r="F17" s="4">
        <f t="shared" si="1"/>
        <v>733.70888365264886</v>
      </c>
      <c r="G17" s="5" t="s">
        <v>14</v>
      </c>
    </row>
    <row r="18" spans="1:7">
      <c r="A18" s="7">
        <v>42536</v>
      </c>
      <c r="B18" s="1">
        <v>0.33333333333333298</v>
      </c>
      <c r="C18" s="2">
        <v>9188.2999999999993</v>
      </c>
      <c r="D18" s="2">
        <v>33.5</v>
      </c>
      <c r="E18" s="3">
        <f t="shared" si="0"/>
        <v>1.362801099018502E-3</v>
      </c>
      <c r="F18" s="4">
        <f t="shared" si="1"/>
        <v>733.6390057120999</v>
      </c>
    </row>
    <row r="19" spans="1:7">
      <c r="A19" s="7">
        <v>42538</v>
      </c>
      <c r="B19" s="1">
        <v>0.33333333333333298</v>
      </c>
      <c r="C19" s="2">
        <v>9277.7999999999993</v>
      </c>
      <c r="D19" s="2">
        <v>38.9</v>
      </c>
      <c r="E19" s="3">
        <f t="shared" si="0"/>
        <v>4.7348180571531867E-4</v>
      </c>
      <c r="F19" s="4">
        <f t="shared" si="1"/>
        <v>733.54829514418293</v>
      </c>
    </row>
    <row r="20" spans="1:7">
      <c r="A20" s="7">
        <v>42541</v>
      </c>
      <c r="B20" s="1">
        <v>0.33333333333333298</v>
      </c>
      <c r="C20" s="2">
        <v>9311.4</v>
      </c>
      <c r="D20" s="2">
        <v>41</v>
      </c>
      <c r="E20" s="3">
        <f t="shared" si="0"/>
        <v>2.0785526585354042E-4</v>
      </c>
      <c r="F20" s="4">
        <f t="shared" si="1"/>
        <v>733.52120123711711</v>
      </c>
      <c r="G20" s="2"/>
    </row>
    <row r="21" spans="1:7">
      <c r="A21" s="7">
        <v>42551</v>
      </c>
      <c r="B21" s="1">
        <v>0.33333333333333298</v>
      </c>
      <c r="C21" s="2">
        <v>9239.4</v>
      </c>
      <c r="D21" s="2">
        <v>36.299999999999997</v>
      </c>
      <c r="E21" s="3">
        <f t="shared" si="0"/>
        <v>5.9731769341841989E-4</v>
      </c>
      <c r="F21" s="4">
        <f t="shared" si="1"/>
        <v>733.56092640472866</v>
      </c>
      <c r="G21" s="2"/>
    </row>
    <row r="22" spans="1:7">
      <c r="A22" s="7">
        <v>42561</v>
      </c>
      <c r="B22" s="9">
        <v>0.33333333333333298</v>
      </c>
      <c r="C22">
        <v>9167.7000000000007</v>
      </c>
      <c r="D22">
        <v>32</v>
      </c>
      <c r="E22" s="3">
        <f t="shared" si="0"/>
        <v>1.3357273004311852E-3</v>
      </c>
      <c r="F22" s="4">
        <f t="shared" si="1"/>
        <v>733.63624418464394</v>
      </c>
    </row>
    <row r="23" spans="1:7">
      <c r="A23" s="7">
        <v>42571</v>
      </c>
      <c r="B23" s="1">
        <v>0.33333333333333298</v>
      </c>
      <c r="C23" s="2">
        <v>9125.1</v>
      </c>
      <c r="D23" s="2">
        <v>29.1</v>
      </c>
      <c r="E23" s="3">
        <f t="shared" si="0"/>
        <v>1.4642859603487129E-3</v>
      </c>
      <c r="F23" s="4">
        <f t="shared" si="1"/>
        <v>733.6493571679556</v>
      </c>
    </row>
    <row r="24" spans="1:7">
      <c r="A24" s="7">
        <v>42581</v>
      </c>
      <c r="B24" s="9">
        <v>0.33333333333333398</v>
      </c>
      <c r="C24" s="2">
        <v>9124.7000000000007</v>
      </c>
      <c r="D24" s="2">
        <v>29</v>
      </c>
      <c r="E24" s="3">
        <f t="shared" si="0"/>
        <v>1.39954328044474E-3</v>
      </c>
      <c r="F24" s="4">
        <f t="shared" si="1"/>
        <v>733.64275341460541</v>
      </c>
    </row>
    <row r="25" spans="1:7">
      <c r="A25" s="6">
        <v>42592</v>
      </c>
      <c r="B25" s="1">
        <v>0.33333333333333298</v>
      </c>
      <c r="C25">
        <v>9063.9</v>
      </c>
      <c r="D25">
        <v>25.3</v>
      </c>
      <c r="E25" s="3">
        <f t="shared" ref="E25:E48" si="2">($B$2*C25^2+$B$3*C25+$B$4)-$B$5*D25-$E$7</f>
        <v>1.9844498428551113E-3</v>
      </c>
      <c r="F25" s="4">
        <f t="shared" si="1"/>
        <v>733.70241388397119</v>
      </c>
    </row>
    <row r="26" spans="1:7">
      <c r="A26" s="7">
        <v>42602</v>
      </c>
      <c r="B26" s="1">
        <v>0.33333333333333298</v>
      </c>
      <c r="C26">
        <v>9034</v>
      </c>
      <c r="D26">
        <v>23.4</v>
      </c>
      <c r="E26" s="3">
        <f t="shared" si="2"/>
        <v>2.2007077883736507E-3</v>
      </c>
      <c r="F26" s="4">
        <f t="shared" si="1"/>
        <v>733.72447219441415</v>
      </c>
    </row>
    <row r="27" spans="1:7">
      <c r="A27" s="7">
        <v>42612</v>
      </c>
      <c r="B27" s="1">
        <v>0.33333333333333298</v>
      </c>
      <c r="C27">
        <v>9011.6</v>
      </c>
      <c r="D27">
        <v>22.1</v>
      </c>
      <c r="E27" s="3">
        <f t="shared" si="2"/>
        <v>2.475236261402794E-3</v>
      </c>
      <c r="F27" s="4">
        <f t="shared" si="1"/>
        <v>733.75247409866313</v>
      </c>
    </row>
    <row r="28" spans="1:7">
      <c r="A28" s="7">
        <v>42623</v>
      </c>
      <c r="B28" s="1">
        <v>0.33333333333333298</v>
      </c>
      <c r="C28">
        <v>8987.2000000000007</v>
      </c>
      <c r="D28">
        <v>20.399999999999999</v>
      </c>
      <c r="E28" s="3">
        <f t="shared" si="2"/>
        <v>2.5175585017972978E-3</v>
      </c>
      <c r="F28" s="4">
        <f t="shared" si="1"/>
        <v>733.75679096718329</v>
      </c>
    </row>
    <row r="29" spans="1:7">
      <c r="A29" s="7">
        <v>42633</v>
      </c>
      <c r="B29" s="1">
        <v>0.33333333333333331</v>
      </c>
      <c r="C29">
        <v>8967.1</v>
      </c>
      <c r="D29">
        <v>19.3</v>
      </c>
      <c r="E29" s="3">
        <f t="shared" si="2"/>
        <v>2.8252165250934602E-3</v>
      </c>
      <c r="F29" s="4">
        <f t="shared" si="1"/>
        <v>733.78817208555949</v>
      </c>
    </row>
    <row r="30" spans="1:7">
      <c r="A30" s="7">
        <v>42643</v>
      </c>
      <c r="B30" s="1">
        <v>0.33333333333333331</v>
      </c>
      <c r="C30">
        <v>8336.7000000000007</v>
      </c>
      <c r="D30">
        <v>18.7</v>
      </c>
      <c r="E30" s="3">
        <f t="shared" si="2"/>
        <v>4.3430309627438414E-2</v>
      </c>
      <c r="F30" s="4">
        <f t="shared" si="1"/>
        <v>737.92989158199873</v>
      </c>
    </row>
    <row r="31" spans="1:7">
      <c r="A31" s="7">
        <v>42653</v>
      </c>
      <c r="B31" s="1">
        <v>0.33333333333333331</v>
      </c>
      <c r="C31">
        <v>8345.7000000000007</v>
      </c>
      <c r="D31">
        <v>18.100000000000001</v>
      </c>
      <c r="E31" s="3">
        <f t="shared" si="2"/>
        <v>4.2295870039641636E-2</v>
      </c>
      <c r="F31" s="4">
        <f t="shared" si="1"/>
        <v>737.81417874404349</v>
      </c>
    </row>
    <row r="32" spans="1:7">
      <c r="A32" s="7">
        <v>42855</v>
      </c>
      <c r="B32" s="1">
        <v>0.33333333333333331</v>
      </c>
      <c r="C32">
        <v>8392.4</v>
      </c>
      <c r="D32">
        <v>3.6</v>
      </c>
      <c r="E32" s="3">
        <f t="shared" si="2"/>
        <v>2.6089853824129219E-2</v>
      </c>
      <c r="F32" s="4">
        <f t="shared" si="1"/>
        <v>736.16116509006122</v>
      </c>
    </row>
    <row r="33" spans="1:6">
      <c r="A33" s="7">
        <v>42865</v>
      </c>
      <c r="B33" s="1">
        <v>0.33333333333333331</v>
      </c>
      <c r="C33">
        <v>8278.7000000000007</v>
      </c>
      <c r="D33">
        <v>4</v>
      </c>
      <c r="E33" s="3">
        <f t="shared" si="2"/>
        <v>3.3914301309212032E-2</v>
      </c>
      <c r="F33" s="4">
        <f t="shared" si="1"/>
        <v>736.95925873353963</v>
      </c>
    </row>
    <row r="34" spans="1:6">
      <c r="A34" s="7">
        <v>42875</v>
      </c>
      <c r="B34" s="1">
        <v>0.33333333333333331</v>
      </c>
      <c r="C34">
        <v>8376.2000000000007</v>
      </c>
      <c r="D34">
        <v>4.9000000000000004</v>
      </c>
      <c r="E34" s="3">
        <f t="shared" si="2"/>
        <v>2.8330475088342508E-2</v>
      </c>
      <c r="F34" s="4">
        <f t="shared" si="1"/>
        <v>736.38970845901099</v>
      </c>
    </row>
    <row r="35" spans="1:6">
      <c r="A35" s="7">
        <v>42885</v>
      </c>
      <c r="B35" s="1">
        <v>0.33333333333333331</v>
      </c>
      <c r="C35">
        <v>8434.9</v>
      </c>
      <c r="D35">
        <v>5.9</v>
      </c>
      <c r="E35" s="3">
        <f t="shared" si="2"/>
        <v>2.5389123286124714E-2</v>
      </c>
      <c r="F35" s="4">
        <f t="shared" si="1"/>
        <v>736.0896905751847</v>
      </c>
    </row>
    <row r="36" spans="1:6">
      <c r="A36" s="7">
        <v>42896</v>
      </c>
      <c r="B36" s="1">
        <v>0.33333333333333331</v>
      </c>
      <c r="C36">
        <v>8440.4</v>
      </c>
      <c r="D36">
        <v>6.7</v>
      </c>
      <c r="E36" s="3">
        <f t="shared" si="2"/>
        <v>2.5753925737357963E-2</v>
      </c>
      <c r="F36" s="4">
        <f t="shared" si="1"/>
        <v>736.12690042521047</v>
      </c>
    </row>
    <row r="37" spans="1:6">
      <c r="A37" s="7">
        <v>42906</v>
      </c>
      <c r="B37" s="1">
        <v>0.33333333333333331</v>
      </c>
      <c r="C37">
        <v>8430.2000000000007</v>
      </c>
      <c r="D37">
        <v>7.5</v>
      </c>
      <c r="E37" s="3">
        <f t="shared" si="2"/>
        <v>2.7147320630153605E-2</v>
      </c>
      <c r="F37" s="4">
        <f t="shared" si="1"/>
        <v>736.26902670427569</v>
      </c>
    </row>
    <row r="38" spans="1:6">
      <c r="A38" s="7">
        <v>42926</v>
      </c>
      <c r="B38" s="1">
        <v>0.33333333333333331</v>
      </c>
      <c r="C38">
        <v>8482.1</v>
      </c>
      <c r="D38">
        <v>9.6</v>
      </c>
      <c r="E38" s="3">
        <f t="shared" si="2"/>
        <v>2.5651691599969474E-2</v>
      </c>
      <c r="F38" s="4">
        <f t="shared" si="1"/>
        <v>736.11647254319689</v>
      </c>
    </row>
    <row r="39" spans="1:6">
      <c r="A39" s="7">
        <v>42936</v>
      </c>
      <c r="B39" s="1">
        <v>0.33333333333333331</v>
      </c>
      <c r="C39">
        <v>8488.7999999999993</v>
      </c>
      <c r="D39">
        <v>10.4</v>
      </c>
      <c r="E39" s="3">
        <f t="shared" si="2"/>
        <v>2.5938235427640587E-2</v>
      </c>
      <c r="F39" s="4">
        <f t="shared" si="1"/>
        <v>736.14570001361938</v>
      </c>
    </row>
    <row r="40" spans="1:6">
      <c r="A40" s="7">
        <v>42946</v>
      </c>
      <c r="B40" s="1">
        <v>0.33333333333333331</v>
      </c>
      <c r="C40">
        <v>8509</v>
      </c>
      <c r="D40">
        <v>11.1</v>
      </c>
      <c r="E40" s="3">
        <f t="shared" si="2"/>
        <v>2.525072746572371E-2</v>
      </c>
      <c r="F40" s="4">
        <f t="shared" si="1"/>
        <v>736.07557420150385</v>
      </c>
    </row>
    <row r="41" spans="1:6">
      <c r="A41" s="7">
        <v>42957</v>
      </c>
      <c r="B41" s="1">
        <v>0.33333333333333331</v>
      </c>
      <c r="C41">
        <v>8496.1</v>
      </c>
      <c r="D41">
        <v>11.8</v>
      </c>
      <c r="E41" s="3">
        <f t="shared" si="2"/>
        <v>2.6729406160119026E-2</v>
      </c>
      <c r="F41" s="4">
        <f t="shared" si="1"/>
        <v>736.22639942833212</v>
      </c>
    </row>
    <row r="42" spans="1:6">
      <c r="A42" s="7">
        <v>42967</v>
      </c>
      <c r="B42" s="1">
        <v>0.33333333333333331</v>
      </c>
      <c r="C42">
        <v>8523.9</v>
      </c>
      <c r="D42">
        <v>12.3</v>
      </c>
      <c r="E42" s="3">
        <f t="shared" si="2"/>
        <v>2.5363576763631129E-2</v>
      </c>
      <c r="F42" s="4">
        <f t="shared" si="1"/>
        <v>736.08708482989039</v>
      </c>
    </row>
    <row r="43" spans="1:6">
      <c r="A43" s="7">
        <v>42977</v>
      </c>
      <c r="B43" s="1">
        <v>0.33333333333333331</v>
      </c>
      <c r="C43">
        <v>8504.6</v>
      </c>
      <c r="D43">
        <v>12.6</v>
      </c>
      <c r="E43" s="3">
        <f t="shared" si="2"/>
        <v>2.6898262923395942E-2</v>
      </c>
      <c r="F43" s="4">
        <f t="shared" si="1"/>
        <v>736.2436228181864</v>
      </c>
    </row>
    <row r="44" spans="1:6">
      <c r="A44" s="7">
        <v>42988</v>
      </c>
      <c r="B44" s="1">
        <v>0.33333333333333331</v>
      </c>
      <c r="C44">
        <v>8500.6</v>
      </c>
      <c r="D44">
        <v>12.2</v>
      </c>
      <c r="E44" s="3">
        <f t="shared" si="2"/>
        <v>2.6797463566394376E-2</v>
      </c>
      <c r="F44" s="4">
        <f t="shared" si="1"/>
        <v>736.23334128377223</v>
      </c>
    </row>
    <row r="45" spans="1:6">
      <c r="A45" s="7">
        <v>42998</v>
      </c>
      <c r="B45" s="1">
        <v>0.33333333333333331</v>
      </c>
      <c r="C45">
        <v>8506.4</v>
      </c>
      <c r="D45">
        <v>12</v>
      </c>
      <c r="E45" s="3">
        <f t="shared" si="2"/>
        <v>2.6236628666895613E-2</v>
      </c>
      <c r="F45" s="4">
        <f t="shared" si="1"/>
        <v>736.1761361240234</v>
      </c>
    </row>
    <row r="46" spans="1:6">
      <c r="A46" s="7">
        <v>43008</v>
      </c>
      <c r="B46" s="1">
        <v>0.33333333333333331</v>
      </c>
      <c r="C46">
        <v>8511.7999999999993</v>
      </c>
      <c r="D46">
        <v>11.7</v>
      </c>
      <c r="E46" s="3">
        <f t="shared" si="2"/>
        <v>2.5611362619728115E-2</v>
      </c>
      <c r="F46" s="4">
        <f t="shared" si="1"/>
        <v>736.11235898721225</v>
      </c>
    </row>
    <row r="47" spans="1:6">
      <c r="A47" s="7">
        <v>43018</v>
      </c>
      <c r="B47" s="1">
        <v>0.33333333333333331</v>
      </c>
      <c r="C47">
        <v>8502.7000000000007</v>
      </c>
      <c r="D47">
        <v>11.4</v>
      </c>
      <c r="E47" s="3">
        <f t="shared" si="2"/>
        <v>2.5934906899599257E-2</v>
      </c>
      <c r="F47" s="4">
        <f t="shared" si="1"/>
        <v>736.14536050375909</v>
      </c>
    </row>
    <row r="48" spans="1:6">
      <c r="A48" s="7">
        <v>43230</v>
      </c>
      <c r="B48" s="1">
        <v>0.33333333333333331</v>
      </c>
      <c r="C48">
        <v>8400.9</v>
      </c>
      <c r="D48">
        <v>3</v>
      </c>
      <c r="E48" s="3">
        <f t="shared" si="2"/>
        <v>2.49887516516503E-2</v>
      </c>
      <c r="F48" s="4">
        <f t="shared" si="1"/>
        <v>736.04885266846838</v>
      </c>
    </row>
    <row r="49" spans="1:6">
      <c r="A49" s="7">
        <v>43240</v>
      </c>
      <c r="B49" s="1">
        <v>0.33333333333333331</v>
      </c>
      <c r="C49">
        <v>8410.7000000000007</v>
      </c>
      <c r="D49">
        <v>3.3</v>
      </c>
      <c r="E49" s="3">
        <f>($B$2*C49^2+$B$3*C49+$B$4)-$B$5*D49-$E$7</f>
        <v>2.461829126217354E-2</v>
      </c>
      <c r="F49" s="4">
        <f t="shared" si="1"/>
        <v>736.01106570874174</v>
      </c>
    </row>
    <row r="50" spans="1:6">
      <c r="A50" s="7">
        <v>43250</v>
      </c>
      <c r="B50" s="1">
        <v>0.33333333333333331</v>
      </c>
      <c r="C50">
        <v>8405.2999999999993</v>
      </c>
      <c r="D50">
        <v>3.5</v>
      </c>
      <c r="E50" s="3">
        <f>($B$2*C50^2+$B$3*C50+$B$4)-$B$5*D50-$E$7</f>
        <v>2.5153526344880904E-2</v>
      </c>
      <c r="F50" s="4">
        <f t="shared" si="1"/>
        <v>736.0656596871778</v>
      </c>
    </row>
    <row r="51" spans="1:6">
      <c r="A51" s="7">
        <v>43261</v>
      </c>
      <c r="B51" s="1">
        <v>0.33333333333333331</v>
      </c>
      <c r="C51">
        <v>8380.7999999999993</v>
      </c>
      <c r="D51">
        <v>5.0999999999999996</v>
      </c>
      <c r="E51" s="3">
        <f>($B$2*C51^2+$B$3*C51+$B$4)-$B$5*D51-$E$7</f>
        <v>2.8210089867646927E-2</v>
      </c>
      <c r="F51" s="4">
        <f t="shared" si="1"/>
        <v>736.37742916649995</v>
      </c>
    </row>
    <row r="52" spans="1:6">
      <c r="A52" s="7">
        <v>43271</v>
      </c>
      <c r="B52" s="1">
        <v>0.33333333333333331</v>
      </c>
      <c r="C52">
        <v>8255.2999999999993</v>
      </c>
      <c r="D52">
        <v>7.5</v>
      </c>
      <c r="E52" s="3">
        <f>($B$2*C52^2+$B$3*C52+$B$4)-$B$5*D52-$E$7</f>
        <v>3.8624219763700819E-2</v>
      </c>
      <c r="F52" s="4">
        <f t="shared" si="1"/>
        <v>737.43967041589747</v>
      </c>
    </row>
    <row r="53" spans="1:6">
      <c r="A53" s="7">
        <v>43281</v>
      </c>
      <c r="B53" s="1">
        <v>0.33333333333333331</v>
      </c>
      <c r="C53">
        <v>8311.6</v>
      </c>
      <c r="D53">
        <v>8</v>
      </c>
      <c r="E53" s="3">
        <f>($B$2*C53^2+$B$3*C53+$B$4)-$B$5*D53-$E$7</f>
        <v>3.5379300720922678E-2</v>
      </c>
      <c r="F53" s="4">
        <f t="shared" si="1"/>
        <v>737.10868867353406</v>
      </c>
    </row>
    <row r="54" spans="1:6">
      <c r="A54" s="7">
        <v>43291</v>
      </c>
      <c r="B54" s="1">
        <v>0.33333333333333331</v>
      </c>
      <c r="C54">
        <v>8432.4</v>
      </c>
      <c r="D54">
        <v>9.1999999999999993</v>
      </c>
      <c r="E54" s="3">
        <f t="shared" ref="E54:E57" si="3">($B$2*C54^2+$B$3*C54+$B$4)-$B$5*D54-$E$7</f>
        <v>2.8544071800513209E-2</v>
      </c>
      <c r="F54" s="4">
        <f t="shared" si="1"/>
        <v>736.41149532365239</v>
      </c>
    </row>
    <row r="55" spans="1:6">
      <c r="A55" s="7">
        <v>43301</v>
      </c>
      <c r="B55" s="1">
        <v>0.33333333333333331</v>
      </c>
      <c r="C55">
        <v>8421.2000000000007</v>
      </c>
      <c r="D55">
        <v>9.9</v>
      </c>
      <c r="E55" s="3">
        <f t="shared" si="3"/>
        <v>2.9912448432208506E-2</v>
      </c>
      <c r="F55" s="4">
        <f t="shared" si="1"/>
        <v>736.55106974008527</v>
      </c>
    </row>
    <row r="56" spans="1:6">
      <c r="A56" s="7">
        <v>43311</v>
      </c>
      <c r="B56" s="1">
        <v>0.33333333333333331</v>
      </c>
      <c r="C56">
        <v>8428.6</v>
      </c>
      <c r="D56">
        <v>10.1</v>
      </c>
      <c r="E56" s="3">
        <f t="shared" si="3"/>
        <v>2.9608823357709618E-2</v>
      </c>
      <c r="F56" s="4">
        <f t="shared" si="1"/>
        <v>736.52009998248639</v>
      </c>
    </row>
    <row r="57" spans="1:6">
      <c r="A57" s="7">
        <v>43322</v>
      </c>
      <c r="B57" s="1">
        <v>0.33333333333333331</v>
      </c>
      <c r="C57">
        <v>8394.4</v>
      </c>
      <c r="D57">
        <v>11</v>
      </c>
      <c r="E57" s="3">
        <f t="shared" si="3"/>
        <v>3.2666161461596351E-2</v>
      </c>
      <c r="F57" s="4">
        <f t="shared" si="1"/>
        <v>736.83194846908282</v>
      </c>
    </row>
    <row r="58" spans="1:6">
      <c r="A58" s="7">
        <v>43332</v>
      </c>
      <c r="B58" s="1">
        <v>0.33333333333333331</v>
      </c>
      <c r="C58">
        <v>8429.2000000000007</v>
      </c>
      <c r="D58">
        <v>11.1</v>
      </c>
      <c r="E58" s="3">
        <f t="shared" ref="E58:E59" si="4">($B$2*C58^2+$B$3*C58+$B$4)-$B$5*D58-$E$7</f>
        <v>3.0475919249654815E-2</v>
      </c>
      <c r="F58" s="4">
        <f t="shared" ref="F58:F59" si="5">$D$1+102*E58</f>
        <v>736.60854376346481</v>
      </c>
    </row>
    <row r="59" spans="1:6">
      <c r="A59" s="7">
        <v>43342</v>
      </c>
      <c r="B59" s="1">
        <v>0.33333333333333331</v>
      </c>
      <c r="C59">
        <v>8388.2999999999993</v>
      </c>
      <c r="D59">
        <v>11.7</v>
      </c>
      <c r="E59" s="3">
        <f t="shared" si="4"/>
        <v>3.3700597840458466E-2</v>
      </c>
      <c r="F59" s="4">
        <f t="shared" si="5"/>
        <v>736.93746097972678</v>
      </c>
    </row>
    <row r="60" spans="1:6">
      <c r="A60" s="7">
        <v>43353</v>
      </c>
      <c r="B60" s="1">
        <v>0.33333333333333331</v>
      </c>
      <c r="C60">
        <v>8303</v>
      </c>
      <c r="D60">
        <v>12</v>
      </c>
      <c r="E60" s="3">
        <f t="shared" ref="E60:E63" si="6">($B$2*C60^2+$B$3*C60+$B$4)-$B$5*D60-$E$7</f>
        <v>3.9569611472779632E-2</v>
      </c>
      <c r="F60" s="4">
        <f t="shared" ref="F60:F63" si="7">$D$1+102*E60</f>
        <v>737.53610037022349</v>
      </c>
    </row>
    <row r="61" spans="1:6">
      <c r="A61" s="7">
        <v>43363</v>
      </c>
      <c r="B61" s="1">
        <v>0.33333333333333331</v>
      </c>
      <c r="C61">
        <v>8372.7999999999993</v>
      </c>
      <c r="D61">
        <v>11.3</v>
      </c>
      <c r="E61" s="3">
        <f t="shared" si="6"/>
        <v>3.4354485709029492E-2</v>
      </c>
      <c r="F61" s="4">
        <f t="shared" si="7"/>
        <v>737.00415754232097</v>
      </c>
    </row>
    <row r="62" spans="1:6">
      <c r="A62" s="7">
        <v>43373</v>
      </c>
      <c r="B62" s="1">
        <v>0.33333333333333331</v>
      </c>
      <c r="C62">
        <v>8383.1</v>
      </c>
      <c r="D62">
        <v>11</v>
      </c>
      <c r="E62" s="3">
        <f t="shared" si="6"/>
        <v>3.3407084123899873E-2</v>
      </c>
      <c r="F62" s="4">
        <f t="shared" si="7"/>
        <v>736.90752258063776</v>
      </c>
    </row>
    <row r="63" spans="1:6">
      <c r="A63" s="7">
        <v>43383</v>
      </c>
      <c r="B63" s="1">
        <v>0.33333333333333331</v>
      </c>
      <c r="C63">
        <v>8387.6</v>
      </c>
      <c r="D63">
        <v>10.7</v>
      </c>
      <c r="E63" s="3">
        <f t="shared" si="6"/>
        <v>3.2840086330241221E-2</v>
      </c>
      <c r="F63" s="4">
        <f t="shared" si="7"/>
        <v>736.84968880568465</v>
      </c>
    </row>
    <row r="64" spans="1:6">
      <c r="A64" s="7">
        <v>43393</v>
      </c>
      <c r="B64" s="1">
        <v>0.33333333333333331</v>
      </c>
      <c r="C64">
        <v>8392.7000000000007</v>
      </c>
      <c r="D64">
        <v>10.3</v>
      </c>
      <c r="E64" s="3">
        <f t="shared" ref="E64:E75" si="8">($B$2*C64^2+$B$3*C64+$B$4)-$B$5*D64-$E$7</f>
        <v>3.2143131584811156E-2</v>
      </c>
      <c r="F64" s="4">
        <f t="shared" ref="F64:F75" si="9">$D$1+102*E64</f>
        <v>736.77859942165071</v>
      </c>
    </row>
    <row r="65" spans="1:6">
      <c r="A65" s="7">
        <v>43605</v>
      </c>
      <c r="B65" s="1">
        <v>0.33333333333333331</v>
      </c>
      <c r="C65">
        <v>8437.7000000000007</v>
      </c>
      <c r="D65">
        <v>9.4</v>
      </c>
      <c r="E65" s="3">
        <f t="shared" si="8"/>
        <v>2.83781156011471E-2</v>
      </c>
      <c r="F65" s="4">
        <f t="shared" si="9"/>
        <v>736.39456779131706</v>
      </c>
    </row>
    <row r="66" spans="1:6">
      <c r="A66" s="7">
        <v>43615</v>
      </c>
      <c r="B66" s="1">
        <v>0.33333333333333331</v>
      </c>
      <c r="C66">
        <v>8440.2000000000007</v>
      </c>
      <c r="D66">
        <v>9.6999999999999993</v>
      </c>
      <c r="E66" s="3">
        <f t="shared" si="8"/>
        <v>2.8486257892361679E-2</v>
      </c>
      <c r="F66" s="4">
        <f t="shared" si="9"/>
        <v>736.40559830502093</v>
      </c>
    </row>
    <row r="67" spans="1:6">
      <c r="A67" s="7">
        <v>43626</v>
      </c>
      <c r="B67" s="1">
        <v>0.33333333333333331</v>
      </c>
      <c r="C67">
        <v>8441.5</v>
      </c>
      <c r="D67">
        <v>9.9</v>
      </c>
      <c r="E67" s="3">
        <f t="shared" si="8"/>
        <v>2.8582376683781253E-2</v>
      </c>
      <c r="F67" s="4">
        <f t="shared" si="9"/>
        <v>736.41540242174574</v>
      </c>
    </row>
    <row r="68" spans="1:6">
      <c r="A68" s="7">
        <v>43636</v>
      </c>
      <c r="B68" s="1">
        <v>0.33333333333333331</v>
      </c>
      <c r="C68">
        <v>8442.7000000000007</v>
      </c>
      <c r="D68">
        <v>10.199999999999999</v>
      </c>
      <c r="E68" s="3">
        <f t="shared" si="8"/>
        <v>2.8775689167351147E-2</v>
      </c>
      <c r="F68" s="4">
        <f t="shared" si="9"/>
        <v>736.43512029506985</v>
      </c>
    </row>
    <row r="69" spans="1:6">
      <c r="A69" s="7">
        <v>43646</v>
      </c>
      <c r="B69" s="1">
        <v>0.33333333333333331</v>
      </c>
      <c r="C69">
        <v>8435.1</v>
      </c>
      <c r="D69">
        <v>10.4</v>
      </c>
      <c r="E69" s="3">
        <f t="shared" si="8"/>
        <v>2.9454864946672675E-2</v>
      </c>
      <c r="F69" s="4">
        <f t="shared" si="9"/>
        <v>736.50439622456065</v>
      </c>
    </row>
    <row r="70" spans="1:6">
      <c r="A70" s="7">
        <v>43656</v>
      </c>
      <c r="B70" s="1">
        <v>0.33333333333333331</v>
      </c>
      <c r="C70">
        <v>8410.2000000000007</v>
      </c>
      <c r="D70">
        <v>10.4</v>
      </c>
      <c r="E70" s="3">
        <f t="shared" si="8"/>
        <v>3.1086574326937698E-2</v>
      </c>
      <c r="F70" s="4">
        <f t="shared" si="9"/>
        <v>736.67083058134767</v>
      </c>
    </row>
    <row r="71" spans="1:6">
      <c r="A71" s="7">
        <v>43666</v>
      </c>
      <c r="B71" s="1">
        <v>0.33333333333333331</v>
      </c>
      <c r="C71">
        <v>8387.4</v>
      </c>
      <c r="D71">
        <v>10.6</v>
      </c>
      <c r="E71" s="3">
        <f t="shared" si="8"/>
        <v>3.2762559285031204E-2</v>
      </c>
      <c r="F71" s="4">
        <f t="shared" si="9"/>
        <v>736.84178104707314</v>
      </c>
    </row>
    <row r="72" spans="1:6">
      <c r="A72" s="7">
        <v>43676</v>
      </c>
      <c r="B72" s="1">
        <v>0.33333333333333331</v>
      </c>
      <c r="C72">
        <v>8349.2000000000007</v>
      </c>
      <c r="D72">
        <v>10.6</v>
      </c>
      <c r="E72" s="3">
        <f t="shared" si="8"/>
        <v>3.5268144198710896E-2</v>
      </c>
      <c r="F72" s="4">
        <f t="shared" si="9"/>
        <v>737.09735070826855</v>
      </c>
    </row>
    <row r="73" spans="1:6">
      <c r="A73" s="7">
        <v>43687</v>
      </c>
      <c r="B73" s="1">
        <v>0.33333333333333331</v>
      </c>
      <c r="C73">
        <v>8308.2999999999993</v>
      </c>
      <c r="D73">
        <v>10.8</v>
      </c>
      <c r="E73" s="3">
        <f t="shared" si="8"/>
        <v>3.8133914935402476E-2</v>
      </c>
      <c r="F73" s="4">
        <f t="shared" si="9"/>
        <v>737.38965932341102</v>
      </c>
    </row>
    <row r="74" spans="1:6">
      <c r="A74" s="7">
        <v>43697</v>
      </c>
      <c r="B74" s="1">
        <v>0.33333333333333331</v>
      </c>
      <c r="C74">
        <v>8292.4</v>
      </c>
      <c r="D74">
        <v>10.7</v>
      </c>
      <c r="E74" s="3">
        <f t="shared" si="8"/>
        <v>3.9087381711169274E-2</v>
      </c>
      <c r="F74" s="4">
        <f t="shared" si="9"/>
        <v>737.4869129345393</v>
      </c>
    </row>
    <row r="75" spans="1:6">
      <c r="A75" s="7">
        <v>43707</v>
      </c>
      <c r="B75" s="1">
        <v>0.33333333333333331</v>
      </c>
      <c r="C75">
        <v>8280</v>
      </c>
      <c r="D75">
        <v>10.8</v>
      </c>
      <c r="E75" s="3">
        <f t="shared" si="8"/>
        <v>3.9992491501661682E-2</v>
      </c>
      <c r="F75" s="4">
        <f t="shared" si="9"/>
        <v>737.57923413316951</v>
      </c>
    </row>
  </sheetData>
  <phoneticPr fontId="4" type="noConversion"/>
  <pageMargins left="0.69930555555555596" right="0.69930555555555596" top="0.75" bottom="0.75" header="0.3" footer="0.3"/>
  <pageSetup paperSize="9" orientation="portrait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9"/>
  <sheetViews>
    <sheetView topLeftCell="A31" workbookViewId="0">
      <selection activeCell="A53" sqref="A53:B59"/>
    </sheetView>
  </sheetViews>
  <sheetFormatPr defaultColWidth="9" defaultRowHeight="13.5"/>
  <cols>
    <col min="1" max="1" width="11" customWidth="1"/>
    <col min="2" max="2" width="13.875" customWidth="1"/>
    <col min="5" max="5" width="10.875" customWidth="1"/>
  </cols>
  <sheetData>
    <row r="1" spans="1:7">
      <c r="A1" t="s">
        <v>0</v>
      </c>
      <c r="B1">
        <v>50373</v>
      </c>
      <c r="C1" t="s">
        <v>1</v>
      </c>
      <c r="D1">
        <v>731</v>
      </c>
    </row>
    <row r="2" spans="1:7">
      <c r="A2" t="s">
        <v>2</v>
      </c>
      <c r="B2" s="24">
        <v>7.1365400000000005E-10</v>
      </c>
    </row>
    <row r="3" spans="1:7">
      <c r="A3" t="s">
        <v>3</v>
      </c>
      <c r="B3" s="11">
        <v>-8.9520999999999999E-5</v>
      </c>
    </row>
    <row r="4" spans="1:7">
      <c r="A4" t="s">
        <v>4</v>
      </c>
      <c r="B4" s="11">
        <v>0.73723868000000004</v>
      </c>
    </row>
    <row r="5" spans="1:7">
      <c r="A5" t="s">
        <v>5</v>
      </c>
      <c r="B5" s="11">
        <v>-1.3403860000000001E-3</v>
      </c>
    </row>
    <row r="6" spans="1:7">
      <c r="A6" t="s">
        <v>6</v>
      </c>
      <c r="B6" t="s">
        <v>7</v>
      </c>
      <c r="C6" t="s">
        <v>8</v>
      </c>
      <c r="D6" t="s">
        <v>9</v>
      </c>
      <c r="E6" t="s">
        <v>10</v>
      </c>
      <c r="F6" t="s">
        <v>11</v>
      </c>
      <c r="G6" t="s">
        <v>12</v>
      </c>
    </row>
    <row r="7" spans="1:7">
      <c r="A7" s="7">
        <v>42617</v>
      </c>
      <c r="B7" s="1">
        <v>0.44444444444444442</v>
      </c>
      <c r="C7" s="2">
        <v>8809.1</v>
      </c>
      <c r="D7" s="2">
        <v>16.8</v>
      </c>
      <c r="E7" s="3">
        <f>($B$2*C7^2+$B$3*C7+$B$4)-$B$5*D7</f>
        <v>2.6537447382327814E-2</v>
      </c>
      <c r="G7" t="s">
        <v>13</v>
      </c>
    </row>
    <row r="8" spans="1:7">
      <c r="A8" s="7">
        <v>42630</v>
      </c>
      <c r="B8" s="1">
        <v>0.6875</v>
      </c>
      <c r="C8" s="2">
        <v>8746.7000000000007</v>
      </c>
      <c r="D8" s="2">
        <v>15.5</v>
      </c>
      <c r="E8" s="3">
        <f>($B$2*C8^2+$B$3*C8+$B$4)-$B$5*D8-$E$7</f>
        <v>3.0618135458643399E-3</v>
      </c>
      <c r="F8" s="4">
        <f>$D$1+102*E8</f>
        <v>731.31230498167815</v>
      </c>
      <c r="G8" s="5" t="s">
        <v>14</v>
      </c>
    </row>
    <row r="9" spans="1:7">
      <c r="A9" s="7">
        <v>42631</v>
      </c>
      <c r="B9" s="9">
        <v>0.33333333333333331</v>
      </c>
      <c r="C9" s="2">
        <v>8752.1</v>
      </c>
      <c r="D9" s="2">
        <v>16.100000000000001</v>
      </c>
      <c r="E9" s="3">
        <f t="shared" ref="E9:E41" si="0">($B$2*C9^2+$B$3*C9+$B$4)-$B$5*D9-$E$7</f>
        <v>3.4500674243863952E-3</v>
      </c>
      <c r="F9" s="4">
        <f t="shared" ref="F9:F41" si="1">$D$1+102*E9</f>
        <v>731.35190687728743</v>
      </c>
    </row>
    <row r="10" spans="1:7">
      <c r="A10" s="7">
        <v>42632</v>
      </c>
      <c r="B10" s="9">
        <v>0.33333333333333331</v>
      </c>
      <c r="C10" s="2">
        <v>8742.2000000000007</v>
      </c>
      <c r="D10" s="2">
        <v>15.1</v>
      </c>
      <c r="E10" s="3">
        <f t="shared" si="0"/>
        <v>2.8723390403815365E-3</v>
      </c>
      <c r="F10" s="4">
        <f t="shared" si="1"/>
        <v>731.29297858211896</v>
      </c>
    </row>
    <row r="11" spans="1:7">
      <c r="A11" s="7">
        <v>42633</v>
      </c>
      <c r="B11" s="9">
        <v>0.33333333333333331</v>
      </c>
      <c r="C11" s="2">
        <v>8861.1</v>
      </c>
      <c r="D11" s="2">
        <v>25.5</v>
      </c>
      <c r="E11" s="3">
        <f t="shared" si="0"/>
        <v>7.6620074633615143E-3</v>
      </c>
      <c r="F11" s="4">
        <f t="shared" si="1"/>
        <v>731.78152476126286</v>
      </c>
    </row>
    <row r="12" spans="1:7">
      <c r="A12" s="7">
        <v>42634</v>
      </c>
      <c r="B12" s="9">
        <v>0.33333333333333331</v>
      </c>
      <c r="C12" s="2">
        <v>8915.6</v>
      </c>
      <c r="D12" s="2">
        <v>29.6</v>
      </c>
      <c r="E12" s="3">
        <f t="shared" si="0"/>
        <v>8.9701050752295855E-3</v>
      </c>
      <c r="F12" s="4">
        <f t="shared" si="1"/>
        <v>731.91495071767338</v>
      </c>
    </row>
    <row r="13" spans="1:7">
      <c r="A13" s="7">
        <v>42635</v>
      </c>
      <c r="B13" s="9">
        <v>0.33333333333333331</v>
      </c>
      <c r="C13" s="2">
        <v>8749.9</v>
      </c>
      <c r="D13" s="2">
        <v>32.1</v>
      </c>
      <c r="E13" s="3">
        <f t="shared" si="0"/>
        <v>2.5065710805308783E-2</v>
      </c>
      <c r="F13" s="4">
        <f t="shared" si="1"/>
        <v>733.55670250214155</v>
      </c>
    </row>
    <row r="14" spans="1:7">
      <c r="A14" s="7">
        <v>42636</v>
      </c>
      <c r="B14" s="9">
        <v>0.33333333333333331</v>
      </c>
      <c r="C14" s="2">
        <v>8720.7000000000007</v>
      </c>
      <c r="D14" s="2">
        <v>34.1</v>
      </c>
      <c r="E14" s="3">
        <f t="shared" si="0"/>
        <v>2.9996431468994667E-2</v>
      </c>
      <c r="F14" s="4">
        <f t="shared" si="1"/>
        <v>734.0596360098375</v>
      </c>
    </row>
    <row r="15" spans="1:7">
      <c r="A15" s="7">
        <v>42653</v>
      </c>
      <c r="B15" s="9">
        <v>0.33333333333333331</v>
      </c>
      <c r="C15" s="2">
        <v>8400.6</v>
      </c>
      <c r="D15" s="2">
        <v>22.8</v>
      </c>
      <c r="E15" s="3">
        <f t="shared" si="0"/>
        <v>3.9594540946907578E-2</v>
      </c>
      <c r="F15" s="4">
        <f t="shared" si="1"/>
        <v>735.03864317658463</v>
      </c>
    </row>
    <row r="16" spans="1:7">
      <c r="A16" s="7">
        <v>42855</v>
      </c>
      <c r="B16" s="9">
        <v>0.33333333333333331</v>
      </c>
      <c r="C16" s="2">
        <v>8008.1</v>
      </c>
      <c r="D16" s="2">
        <v>6.1</v>
      </c>
      <c r="E16" s="3">
        <f t="shared" si="0"/>
        <v>4.7750859498911086E-2</v>
      </c>
      <c r="F16" s="4">
        <f t="shared" si="1"/>
        <v>735.8705876688889</v>
      </c>
    </row>
    <row r="17" spans="1:7">
      <c r="A17" s="7">
        <v>42865</v>
      </c>
      <c r="B17" s="9">
        <v>0.33333333333333331</v>
      </c>
      <c r="C17" s="2">
        <v>7915.5</v>
      </c>
      <c r="D17" s="2">
        <v>6.4</v>
      </c>
      <c r="E17" s="3">
        <f t="shared" si="0"/>
        <v>5.5390318977645708E-2</v>
      </c>
      <c r="F17" s="4">
        <f t="shared" si="1"/>
        <v>736.64981253571989</v>
      </c>
      <c r="G17" s="5"/>
    </row>
    <row r="18" spans="1:7">
      <c r="A18" s="7">
        <v>42875</v>
      </c>
      <c r="B18" s="1">
        <v>0.33333333333333331</v>
      </c>
      <c r="C18" s="2">
        <v>7995.2</v>
      </c>
      <c r="D18" s="2">
        <v>6.8</v>
      </c>
      <c r="E18" s="3">
        <f t="shared" si="0"/>
        <v>4.9696622033060397E-2</v>
      </c>
      <c r="F18" s="4">
        <f t="shared" si="1"/>
        <v>736.06905544737219</v>
      </c>
    </row>
    <row r="19" spans="1:7">
      <c r="A19" s="7">
        <v>42885</v>
      </c>
      <c r="B19" s="1">
        <v>0.33333333333333331</v>
      </c>
      <c r="C19" s="2">
        <v>8038.9</v>
      </c>
      <c r="D19" s="2">
        <v>7.6</v>
      </c>
      <c r="E19" s="3">
        <f t="shared" si="0"/>
        <v>4.7356913475641596E-2</v>
      </c>
      <c r="F19" s="4">
        <f t="shared" si="1"/>
        <v>735.83040517451548</v>
      </c>
    </row>
    <row r="20" spans="1:7">
      <c r="A20" s="7">
        <v>42896</v>
      </c>
      <c r="B20" s="1">
        <v>0.33333333333333331</v>
      </c>
      <c r="C20" s="2">
        <v>8041</v>
      </c>
      <c r="D20" s="2">
        <v>8.1999999999999993</v>
      </c>
      <c r="E20" s="3">
        <f t="shared" si="0"/>
        <v>4.799724949404624E-2</v>
      </c>
      <c r="F20" s="4">
        <f t="shared" si="1"/>
        <v>735.8957194483927</v>
      </c>
      <c r="G20" s="2"/>
    </row>
    <row r="21" spans="1:7">
      <c r="A21" s="7">
        <v>42906</v>
      </c>
      <c r="B21" s="1">
        <v>0.33333333333333331</v>
      </c>
      <c r="C21" s="2">
        <v>8033.1</v>
      </c>
      <c r="D21" s="2">
        <v>8.9</v>
      </c>
      <c r="E21" s="3">
        <f t="shared" si="0"/>
        <v>4.9552111962531217E-2</v>
      </c>
      <c r="F21" s="4">
        <f t="shared" si="1"/>
        <v>736.05431542017823</v>
      </c>
      <c r="G21" s="2"/>
    </row>
    <row r="22" spans="1:7">
      <c r="A22" s="7">
        <v>42926</v>
      </c>
      <c r="B22" s="1">
        <v>0.33333333333333331</v>
      </c>
      <c r="C22" s="2">
        <v>8078.9</v>
      </c>
      <c r="D22" s="2">
        <v>11</v>
      </c>
      <c r="E22" s="3">
        <f t="shared" si="0"/>
        <v>4.8793487173289629E-2</v>
      </c>
      <c r="F22" s="4">
        <f t="shared" si="1"/>
        <v>735.97693569167552</v>
      </c>
    </row>
    <row r="23" spans="1:7">
      <c r="A23" s="7">
        <v>42936</v>
      </c>
      <c r="B23" s="1">
        <v>0.33333333333333331</v>
      </c>
      <c r="C23" s="2">
        <v>8083.9</v>
      </c>
      <c r="D23" s="2">
        <v>11.6</v>
      </c>
      <c r="E23" s="3">
        <f t="shared" si="0"/>
        <v>4.9207787007645568E-2</v>
      </c>
      <c r="F23" s="4">
        <f t="shared" si="1"/>
        <v>736.01919427477981</v>
      </c>
    </row>
    <row r="24" spans="1:7">
      <c r="A24" s="7">
        <v>42946</v>
      </c>
      <c r="B24" s="1">
        <v>0.33333333333333331</v>
      </c>
      <c r="C24" s="2">
        <v>8100</v>
      </c>
      <c r="D24" s="2">
        <v>12.1</v>
      </c>
      <c r="E24" s="3">
        <f t="shared" si="0"/>
        <v>4.862264215767223E-2</v>
      </c>
      <c r="F24" s="4">
        <f t="shared" si="1"/>
        <v>735.95950950008262</v>
      </c>
    </row>
    <row r="25" spans="1:7">
      <c r="A25" s="6">
        <v>42957</v>
      </c>
      <c r="B25" s="1">
        <v>0.33333333333333331</v>
      </c>
      <c r="C25" s="2">
        <v>8088.3</v>
      </c>
      <c r="D25" s="2">
        <v>12.7</v>
      </c>
      <c r="E25" s="3">
        <f t="shared" si="0"/>
        <v>5.0339101170608289E-2</v>
      </c>
      <c r="F25" s="4">
        <f t="shared" si="1"/>
        <v>736.13458831940204</v>
      </c>
    </row>
    <row r="26" spans="1:7">
      <c r="A26" s="7">
        <v>42967</v>
      </c>
      <c r="B26" s="1">
        <v>0.33333333333333331</v>
      </c>
      <c r="C26" s="2">
        <v>8112.1</v>
      </c>
      <c r="D26" s="2">
        <v>13.2</v>
      </c>
      <c r="E26" s="3">
        <f t="shared" si="0"/>
        <v>4.915385760083435E-2</v>
      </c>
      <c r="F26" s="4">
        <f t="shared" si="1"/>
        <v>736.01369347528509</v>
      </c>
    </row>
    <row r="27" spans="1:7">
      <c r="A27" s="7">
        <v>42977</v>
      </c>
      <c r="B27" s="1">
        <v>0.33333333333333331</v>
      </c>
      <c r="C27" s="2">
        <v>8092.2</v>
      </c>
      <c r="D27" s="2">
        <v>13.2</v>
      </c>
      <c r="E27" s="3">
        <f t="shared" si="0"/>
        <v>5.070519665694162E-2</v>
      </c>
      <c r="F27" s="4">
        <f t="shared" si="1"/>
        <v>736.17193005900799</v>
      </c>
    </row>
    <row r="28" spans="1:7">
      <c r="A28" s="7">
        <v>42988</v>
      </c>
      <c r="B28" s="1">
        <v>0.33333333333333331</v>
      </c>
      <c r="C28" s="2">
        <v>8084.3</v>
      </c>
      <c r="D28" s="2">
        <v>12.5</v>
      </c>
      <c r="E28" s="3">
        <f t="shared" si="0"/>
        <v>5.0382941407886725E-2</v>
      </c>
      <c r="F28" s="4">
        <f t="shared" si="1"/>
        <v>736.13906002360443</v>
      </c>
    </row>
    <row r="29" spans="1:7">
      <c r="A29" s="7">
        <v>42998</v>
      </c>
      <c r="B29" s="1">
        <v>0.33333333333333331</v>
      </c>
      <c r="C29" s="2">
        <v>8086.8</v>
      </c>
      <c r="D29" s="2">
        <v>12</v>
      </c>
      <c r="E29" s="3">
        <f t="shared" si="0"/>
        <v>4.9517797333385211E-2</v>
      </c>
      <c r="F29" s="4">
        <f t="shared" si="1"/>
        <v>736.05081532800534</v>
      </c>
    </row>
    <row r="30" spans="1:7">
      <c r="A30" s="7">
        <v>43008</v>
      </c>
      <c r="B30" s="1">
        <v>0.33333333333333331</v>
      </c>
      <c r="C30" s="2">
        <v>8091.3</v>
      </c>
      <c r="D30" s="2">
        <v>11.7</v>
      </c>
      <c r="E30" s="3">
        <f t="shared" si="0"/>
        <v>4.8764792079383459E-2</v>
      </c>
      <c r="F30" s="4">
        <f t="shared" si="1"/>
        <v>735.97400879209715</v>
      </c>
    </row>
    <row r="31" spans="1:7">
      <c r="A31" s="7">
        <v>43018</v>
      </c>
      <c r="B31" s="1">
        <v>0.33333333333333331</v>
      </c>
      <c r="C31" s="2">
        <v>8080.5</v>
      </c>
      <c r="D31" s="2">
        <v>11.2</v>
      </c>
      <c r="E31" s="3">
        <f t="shared" si="0"/>
        <v>4.8936782326005679E-2</v>
      </c>
      <c r="F31" s="4">
        <f t="shared" si="1"/>
        <v>735.99155179725255</v>
      </c>
    </row>
    <row r="32" spans="1:7">
      <c r="A32" s="7">
        <v>43230</v>
      </c>
      <c r="B32" s="1">
        <v>0.33333333333333331</v>
      </c>
      <c r="C32" s="2">
        <v>8028.7</v>
      </c>
      <c r="D32" s="2">
        <v>6.7</v>
      </c>
      <c r="E32" s="3">
        <f t="shared" si="0"/>
        <v>4.6946719864135442E-2</v>
      </c>
      <c r="F32" s="4">
        <f t="shared" si="1"/>
        <v>735.78856542614176</v>
      </c>
    </row>
    <row r="33" spans="1:6">
      <c r="A33" s="7">
        <v>43240</v>
      </c>
      <c r="B33" s="1">
        <v>0.33333333333333331</v>
      </c>
      <c r="C33" s="2">
        <v>8039.6</v>
      </c>
      <c r="D33" s="2">
        <v>7.3</v>
      </c>
      <c r="E33" s="3">
        <f t="shared" si="0"/>
        <v>4.6900165115728809E-2</v>
      </c>
      <c r="F33" s="4">
        <f t="shared" si="1"/>
        <v>735.78381684180431</v>
      </c>
    </row>
    <row r="34" spans="1:6">
      <c r="A34" s="7">
        <v>43250</v>
      </c>
      <c r="B34" s="1">
        <v>0.33333333333333331</v>
      </c>
      <c r="C34" s="2">
        <v>8038.3</v>
      </c>
      <c r="D34" s="2">
        <v>7.4</v>
      </c>
      <c r="E34" s="3">
        <f t="shared" si="0"/>
        <v>4.7135664740788286E-2</v>
      </c>
      <c r="F34" s="4">
        <f t="shared" si="1"/>
        <v>735.80783780356046</v>
      </c>
    </row>
    <row r="35" spans="1:6">
      <c r="A35" s="7">
        <v>43261</v>
      </c>
      <c r="B35" s="1">
        <v>0.33333333333333331</v>
      </c>
      <c r="C35" s="2">
        <v>8014.3</v>
      </c>
      <c r="D35" s="2">
        <v>8.8000000000000007</v>
      </c>
      <c r="E35" s="3">
        <f t="shared" si="0"/>
        <v>5.0885765087978693E-2</v>
      </c>
      <c r="F35" s="4">
        <f t="shared" si="1"/>
        <v>736.19034803897387</v>
      </c>
    </row>
    <row r="36" spans="1:6">
      <c r="A36" s="7">
        <v>43271</v>
      </c>
      <c r="B36" s="1">
        <v>0.33333333333333331</v>
      </c>
      <c r="C36" s="2">
        <v>7894.8</v>
      </c>
      <c r="D36" s="2">
        <v>9.9</v>
      </c>
      <c r="E36" s="3">
        <f t="shared" si="0"/>
        <v>6.1701194842236323E-2</v>
      </c>
      <c r="F36" s="4">
        <f t="shared" si="1"/>
        <v>737.29352187390805</v>
      </c>
    </row>
    <row r="37" spans="1:6">
      <c r="A37" s="7">
        <v>43281</v>
      </c>
      <c r="B37" s="1">
        <v>0.33333333333333331</v>
      </c>
      <c r="C37" s="2">
        <v>7939.4</v>
      </c>
      <c r="D37" s="2">
        <v>10.1</v>
      </c>
      <c r="E37" s="3">
        <f t="shared" si="0"/>
        <v>5.8480621693675711E-2</v>
      </c>
      <c r="F37" s="4">
        <f t="shared" si="1"/>
        <v>736.96502341275493</v>
      </c>
    </row>
    <row r="38" spans="1:6">
      <c r="A38" s="7">
        <v>43291</v>
      </c>
      <c r="B38" s="1">
        <v>0.33333333333333331</v>
      </c>
      <c r="C38" s="2">
        <v>8038.8</v>
      </c>
      <c r="D38" s="2">
        <v>10.7</v>
      </c>
      <c r="E38" s="3">
        <f t="shared" si="0"/>
        <v>5.1519914784149953E-2</v>
      </c>
      <c r="F38" s="4">
        <f t="shared" si="1"/>
        <v>736.25503130798324</v>
      </c>
    </row>
    <row r="39" spans="1:6">
      <c r="A39" s="7">
        <v>43301</v>
      </c>
      <c r="B39" s="1">
        <v>0.33333333333333331</v>
      </c>
      <c r="C39" s="2">
        <v>8025.2</v>
      </c>
      <c r="D39" s="2">
        <v>11.2</v>
      </c>
      <c r="E39" s="3">
        <f t="shared" si="0"/>
        <v>5.3251681109308391E-2</v>
      </c>
      <c r="F39" s="4">
        <f t="shared" si="1"/>
        <v>736.43167147314944</v>
      </c>
    </row>
    <row r="40" spans="1:6">
      <c r="A40" s="7">
        <v>43311</v>
      </c>
      <c r="B40" s="1">
        <v>0.33333333333333331</v>
      </c>
      <c r="C40" s="2">
        <v>8030.4</v>
      </c>
      <c r="D40" s="2">
        <v>11.3</v>
      </c>
      <c r="E40" s="3">
        <f t="shared" si="0"/>
        <v>5.2979792853752886E-2</v>
      </c>
      <c r="F40" s="4">
        <f t="shared" si="1"/>
        <v>736.4039388710828</v>
      </c>
    </row>
    <row r="41" spans="1:6">
      <c r="A41" s="7">
        <v>43322</v>
      </c>
      <c r="B41" s="1">
        <v>0.33333333333333331</v>
      </c>
      <c r="C41" s="2">
        <v>7998.8</v>
      </c>
      <c r="D41" s="2">
        <v>11.9</v>
      </c>
      <c r="E41" s="3">
        <f t="shared" si="0"/>
        <v>5.6251406088533989E-2</v>
      </c>
      <c r="F41" s="4">
        <f t="shared" si="1"/>
        <v>736.7376434210305</v>
      </c>
    </row>
    <row r="42" spans="1:6">
      <c r="A42" s="7">
        <v>43332</v>
      </c>
      <c r="B42" s="1">
        <v>0.33333333333333331</v>
      </c>
      <c r="C42" s="2">
        <v>8027.3</v>
      </c>
      <c r="D42" s="2">
        <v>11.9</v>
      </c>
      <c r="E42" s="3">
        <f t="shared" ref="E42:E59" si="2">($B$2*C42^2+$B$3*C42+$B$4)-$B$5*D42-$E$7</f>
        <v>5.40260146640619E-2</v>
      </c>
      <c r="F42" s="4">
        <f t="shared" ref="F42:F59" si="3">$D$1+102*E42</f>
        <v>736.51065349573435</v>
      </c>
    </row>
    <row r="43" spans="1:6">
      <c r="A43" s="7">
        <v>43342</v>
      </c>
      <c r="B43" s="1">
        <v>0.33333333333333331</v>
      </c>
      <c r="C43" s="2">
        <v>7986.2</v>
      </c>
      <c r="D43" s="2">
        <v>12.2</v>
      </c>
      <c r="E43" s="3">
        <f t="shared" si="2"/>
        <v>5.763774872273994E-2</v>
      </c>
      <c r="F43" s="4">
        <f t="shared" si="3"/>
        <v>736.87905036971949</v>
      </c>
    </row>
    <row r="44" spans="1:6">
      <c r="A44" s="7">
        <v>43353</v>
      </c>
      <c r="B44" s="1">
        <v>0.33333333333333331</v>
      </c>
      <c r="C44" s="2">
        <v>7915.3</v>
      </c>
      <c r="D44" s="2">
        <v>12.5</v>
      </c>
      <c r="E44" s="3">
        <f t="shared" si="2"/>
        <v>6.3582318234897059E-2</v>
      </c>
      <c r="F44" s="4">
        <f t="shared" si="3"/>
        <v>737.48539645995947</v>
      </c>
    </row>
    <row r="45" spans="1:6">
      <c r="A45" s="7">
        <v>43363</v>
      </c>
      <c r="B45" s="1">
        <v>0.33333333333333331</v>
      </c>
      <c r="C45" s="2">
        <v>7971.6</v>
      </c>
      <c r="D45" s="2">
        <v>11.4</v>
      </c>
      <c r="E45" s="3">
        <f t="shared" si="2"/>
        <v>5.7706176644842413E-2</v>
      </c>
      <c r="F45" s="4">
        <f t="shared" si="3"/>
        <v>736.88603001777392</v>
      </c>
    </row>
    <row r="46" spans="1:6">
      <c r="A46" s="7">
        <v>43373</v>
      </c>
      <c r="B46" s="1">
        <v>0.33333333333333331</v>
      </c>
      <c r="C46" s="2">
        <v>7983.7</v>
      </c>
      <c r="D46" s="2">
        <v>11.2</v>
      </c>
      <c r="E46" s="3">
        <f t="shared" si="2"/>
        <v>5.6492672765203478E-2</v>
      </c>
      <c r="F46" s="4">
        <f t="shared" si="3"/>
        <v>736.76225262205071</v>
      </c>
    </row>
    <row r="47" spans="1:6">
      <c r="A47" s="7">
        <v>43383</v>
      </c>
      <c r="B47" s="1">
        <v>0.33333333333333331</v>
      </c>
      <c r="C47" s="2">
        <v>7987.4</v>
      </c>
      <c r="D47" s="2">
        <v>11</v>
      </c>
      <c r="E47" s="3">
        <f t="shared" si="2"/>
        <v>5.5935539870981266E-2</v>
      </c>
      <c r="F47" s="4">
        <f t="shared" si="3"/>
        <v>736.70542506684012</v>
      </c>
    </row>
    <row r="48" spans="1:6">
      <c r="A48" s="7">
        <v>43393</v>
      </c>
      <c r="B48" s="1">
        <v>0.33333333333333331</v>
      </c>
      <c r="C48" s="2">
        <v>7992.7</v>
      </c>
      <c r="D48" s="2">
        <v>10.7</v>
      </c>
      <c r="E48" s="3">
        <f t="shared" si="2"/>
        <v>5.5119405361093929E-2</v>
      </c>
      <c r="F48" s="4">
        <f t="shared" si="3"/>
        <v>736.62217934683156</v>
      </c>
    </row>
    <row r="49" spans="1:6">
      <c r="A49" s="7">
        <v>43605</v>
      </c>
      <c r="B49" s="1">
        <v>0.33333333333333331</v>
      </c>
      <c r="C49" s="2">
        <v>8013.4</v>
      </c>
      <c r="D49" s="2">
        <v>9.5</v>
      </c>
      <c r="E49" s="3">
        <f t="shared" si="2"/>
        <v>5.1894309778984418E-2</v>
      </c>
      <c r="F49" s="4">
        <f t="shared" si="3"/>
        <v>736.29321959745641</v>
      </c>
    </row>
    <row r="50" spans="1:6">
      <c r="A50" s="7">
        <v>43615</v>
      </c>
      <c r="B50" s="1">
        <v>0.33333333333333331</v>
      </c>
      <c r="C50" s="2">
        <v>8013.9</v>
      </c>
      <c r="D50" s="2">
        <v>9.6999999999999993</v>
      </c>
      <c r="E50" s="3">
        <f t="shared" si="2"/>
        <v>5.2123345452361594E-2</v>
      </c>
      <c r="F50" s="4">
        <f t="shared" si="3"/>
        <v>736.31658123614091</v>
      </c>
    </row>
    <row r="51" spans="1:6">
      <c r="A51" s="7">
        <v>43626</v>
      </c>
      <c r="B51" s="1">
        <v>0.33333333333333331</v>
      </c>
      <c r="C51" s="2">
        <v>8014.2</v>
      </c>
      <c r="D51" s="2">
        <v>10.199999999999999</v>
      </c>
      <c r="E51" s="3">
        <f t="shared" si="2"/>
        <v>5.277011370766474E-2</v>
      </c>
      <c r="F51" s="4">
        <f t="shared" si="3"/>
        <v>736.38255159818175</v>
      </c>
    </row>
    <row r="52" spans="1:6">
      <c r="A52" s="7">
        <v>43636</v>
      </c>
      <c r="B52" s="1">
        <v>0.33333333333333331</v>
      </c>
      <c r="C52" s="2">
        <v>8014.8</v>
      </c>
      <c r="D52" s="2">
        <v>10.4</v>
      </c>
      <c r="E52" s="3">
        <f t="shared" si="2"/>
        <v>5.299134180364444E-2</v>
      </c>
      <c r="F52" s="4">
        <f t="shared" si="3"/>
        <v>736.40511686397178</v>
      </c>
    </row>
    <row r="53" spans="1:6">
      <c r="A53" s="7">
        <v>43646</v>
      </c>
      <c r="B53" s="1">
        <v>0.33333333333333331</v>
      </c>
      <c r="C53" s="2">
        <v>8008.4</v>
      </c>
      <c r="D53" s="2">
        <v>10.6</v>
      </c>
      <c r="E53" s="3">
        <f t="shared" si="2"/>
        <v>5.3759169270698501E-2</v>
      </c>
      <c r="F53" s="4">
        <f t="shared" si="3"/>
        <v>736.48343526561121</v>
      </c>
    </row>
    <row r="54" spans="1:6">
      <c r="A54" s="7">
        <v>43656</v>
      </c>
      <c r="B54" s="1">
        <v>0.33333333333333331</v>
      </c>
      <c r="C54" s="2">
        <v>8001.5</v>
      </c>
      <c r="D54" s="2">
        <v>10.6</v>
      </c>
      <c r="E54" s="3">
        <f t="shared" si="2"/>
        <v>5.4298028019393804E-2</v>
      </c>
      <c r="F54" s="4">
        <f t="shared" si="3"/>
        <v>736.53839885797822</v>
      </c>
    </row>
    <row r="55" spans="1:6">
      <c r="A55" s="7">
        <v>43666</v>
      </c>
      <c r="B55" s="1">
        <v>0.33333333333333331</v>
      </c>
      <c r="C55" s="2">
        <v>7995.3</v>
      </c>
      <c r="D55" s="2">
        <v>10.9</v>
      </c>
      <c r="E55" s="3">
        <f t="shared" si="2"/>
        <v>5.5184393701489087E-2</v>
      </c>
      <c r="F55" s="4">
        <f t="shared" si="3"/>
        <v>736.62880815755193</v>
      </c>
    </row>
    <row r="56" spans="1:6">
      <c r="A56" s="7">
        <v>43676</v>
      </c>
      <c r="B56" s="1">
        <v>0.33333333333333331</v>
      </c>
      <c r="C56" s="2">
        <v>7978.4</v>
      </c>
      <c r="D56" s="2">
        <v>11.2</v>
      </c>
      <c r="E56" s="3">
        <f t="shared" si="2"/>
        <v>5.6906759557682485E-2</v>
      </c>
      <c r="F56" s="4">
        <f t="shared" si="3"/>
        <v>736.80448947488367</v>
      </c>
    </row>
    <row r="57" spans="1:6">
      <c r="A57" s="7">
        <v>43687</v>
      </c>
      <c r="B57" s="1">
        <v>0.33333333333333331</v>
      </c>
      <c r="C57" s="2">
        <v>7941.2</v>
      </c>
      <c r="D57" s="2">
        <v>11.4</v>
      </c>
      <c r="E57" s="3">
        <f t="shared" si="2"/>
        <v>6.0082385550358011E-2</v>
      </c>
      <c r="F57" s="4">
        <f t="shared" si="3"/>
        <v>737.12840332613655</v>
      </c>
    </row>
    <row r="58" spans="1:6">
      <c r="A58" s="7">
        <v>43697</v>
      </c>
      <c r="B58" s="1">
        <v>0.33333333333333331</v>
      </c>
      <c r="C58" s="2">
        <v>7926.3</v>
      </c>
      <c r="D58" s="2">
        <v>11.5</v>
      </c>
      <c r="E58" s="3">
        <f t="shared" si="2"/>
        <v>6.1381560868167498E-2</v>
      </c>
      <c r="F58" s="4">
        <f t="shared" si="3"/>
        <v>737.2609192085531</v>
      </c>
    </row>
    <row r="59" spans="1:6">
      <c r="A59" s="7">
        <v>43707</v>
      </c>
      <c r="B59" s="1">
        <v>0.33333333333333331</v>
      </c>
      <c r="C59" s="2">
        <v>7896.7</v>
      </c>
      <c r="D59" s="2">
        <v>11.6</v>
      </c>
      <c r="E59" s="3">
        <f t="shared" si="2"/>
        <v>6.3831173509804232E-2</v>
      </c>
      <c r="F59" s="4">
        <f t="shared" si="3"/>
        <v>737.51077969800008</v>
      </c>
    </row>
  </sheetData>
  <phoneticPr fontId="5" type="noConversion"/>
  <pageMargins left="0.69930555555555596" right="0.69930555555555596" top="0.75" bottom="0.75" header="0.3" footer="0.3"/>
  <pageSetup paperSize="9" orientation="portrait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9"/>
  <sheetViews>
    <sheetView topLeftCell="A32" workbookViewId="0">
      <selection activeCell="A53" sqref="A53:B59"/>
    </sheetView>
  </sheetViews>
  <sheetFormatPr defaultColWidth="9" defaultRowHeight="13.5"/>
  <cols>
    <col min="1" max="1" width="11.625" bestFit="1" customWidth="1"/>
    <col min="2" max="2" width="13.875" customWidth="1"/>
    <col min="5" max="5" width="10.875" customWidth="1"/>
    <col min="7" max="7" width="9.5" bestFit="1" customWidth="1"/>
  </cols>
  <sheetData>
    <row r="1" spans="1:7">
      <c r="A1" t="s">
        <v>0</v>
      </c>
      <c r="B1">
        <v>50395</v>
      </c>
      <c r="C1" t="s">
        <v>1</v>
      </c>
      <c r="D1">
        <v>728</v>
      </c>
    </row>
    <row r="2" spans="1:7">
      <c r="A2" t="s">
        <v>2</v>
      </c>
      <c r="B2" s="24">
        <v>4.0599799999999998E-10</v>
      </c>
    </row>
    <row r="3" spans="1:7">
      <c r="A3" t="s">
        <v>3</v>
      </c>
      <c r="B3" s="11">
        <v>-7.4459E-5</v>
      </c>
    </row>
    <row r="4" spans="1:7">
      <c r="A4" t="s">
        <v>4</v>
      </c>
      <c r="B4" s="11">
        <v>0.59894667000000001</v>
      </c>
    </row>
    <row r="5" spans="1:7">
      <c r="A5" t="s">
        <v>5</v>
      </c>
      <c r="B5" s="11">
        <v>-9.7829600000000003E-4</v>
      </c>
    </row>
    <row r="6" spans="1:7">
      <c r="A6" t="s">
        <v>6</v>
      </c>
      <c r="B6" t="s">
        <v>7</v>
      </c>
      <c r="C6" t="s">
        <v>8</v>
      </c>
      <c r="D6" t="s">
        <v>9</v>
      </c>
      <c r="E6" t="s">
        <v>10</v>
      </c>
      <c r="F6" t="s">
        <v>11</v>
      </c>
      <c r="G6" t="s">
        <v>12</v>
      </c>
    </row>
    <row r="7" spans="1:7">
      <c r="A7" s="7">
        <v>42617</v>
      </c>
      <c r="B7" s="1">
        <v>0.44444444444444442</v>
      </c>
      <c r="C7" s="2">
        <v>8383.2999999999993</v>
      </c>
      <c r="D7" s="2">
        <v>16.100000000000001</v>
      </c>
      <c r="E7" s="3">
        <f>($B$2*C7^2+$B$3*C7+$B$4)-$B$5*D7</f>
        <v>1.9018526209902312E-2</v>
      </c>
      <c r="G7" t="s">
        <v>13</v>
      </c>
    </row>
    <row r="8" spans="1:7">
      <c r="A8" s="7">
        <v>42630</v>
      </c>
      <c r="B8" s="1">
        <v>0.6875</v>
      </c>
      <c r="C8" s="2">
        <v>8279.4</v>
      </c>
      <c r="D8" s="2">
        <v>15</v>
      </c>
      <c r="E8" s="3">
        <f>($B$2*C8^2+$B$3*C8+$B$4)-$B$5*D8-$E$7</f>
        <v>5.9572786233290966E-3</v>
      </c>
      <c r="F8" s="4">
        <f>$D$1+102*E8</f>
        <v>728.60764241957952</v>
      </c>
      <c r="G8" s="5" t="s">
        <v>14</v>
      </c>
    </row>
    <row r="9" spans="1:7">
      <c r="A9" s="7">
        <v>42631</v>
      </c>
      <c r="B9" s="9">
        <v>0.33333333333333331</v>
      </c>
      <c r="C9" s="2">
        <v>8281.4</v>
      </c>
      <c r="D9" s="2">
        <v>14.9</v>
      </c>
      <c r="E9" s="3">
        <f t="shared" ref="E9:E32" si="0">($B$2*C9^2+$B$3*C9+$B$4)-$B$5*D9-$E$7</f>
        <v>5.7239783266857733E-3</v>
      </c>
      <c r="F9" s="4">
        <f t="shared" ref="F9:F41" si="1">$D$1+102*E9</f>
        <v>728.58384578932191</v>
      </c>
    </row>
    <row r="10" spans="1:7">
      <c r="A10" s="7">
        <v>42632</v>
      </c>
      <c r="B10" s="9">
        <v>0.33333333333333331</v>
      </c>
      <c r="C10" s="2">
        <v>7996.3</v>
      </c>
      <c r="D10" s="2">
        <v>19.2</v>
      </c>
      <c r="E10" s="3">
        <f t="shared" si="0"/>
        <v>2.9274767766610296E-2</v>
      </c>
      <c r="F10" s="4">
        <f t="shared" si="1"/>
        <v>730.98602631219421</v>
      </c>
    </row>
    <row r="11" spans="1:7">
      <c r="A11" s="7">
        <v>42633</v>
      </c>
      <c r="B11" s="9">
        <v>0.33333333333333331</v>
      </c>
      <c r="C11" s="2">
        <v>8031.2</v>
      </c>
      <c r="D11" s="2">
        <v>26.1</v>
      </c>
      <c r="E11" s="3">
        <f t="shared" si="0"/>
        <v>3.3653490006390833E-2</v>
      </c>
      <c r="F11" s="4">
        <f t="shared" si="1"/>
        <v>731.43265598065182</v>
      </c>
    </row>
    <row r="12" spans="1:7">
      <c r="A12" s="7">
        <v>42634</v>
      </c>
      <c r="B12" s="9">
        <v>0.33333333333333331</v>
      </c>
      <c r="C12" s="2">
        <v>8002.3</v>
      </c>
      <c r="D12" s="2">
        <v>27.3</v>
      </c>
      <c r="E12" s="3">
        <f t="shared" si="0"/>
        <v>3.6791183764227214E-2</v>
      </c>
      <c r="F12" s="4">
        <f t="shared" si="1"/>
        <v>731.75270074395121</v>
      </c>
    </row>
    <row r="13" spans="1:7">
      <c r="A13" s="7">
        <v>42635</v>
      </c>
      <c r="B13" s="9">
        <v>0.33333333333333331</v>
      </c>
      <c r="C13" s="2">
        <v>7771</v>
      </c>
      <c r="D13" s="2">
        <v>28.3</v>
      </c>
      <c r="E13" s="3">
        <f t="shared" si="0"/>
        <v>5.3510617859215778E-2</v>
      </c>
      <c r="F13" s="4">
        <f t="shared" si="1"/>
        <v>733.45808302164005</v>
      </c>
    </row>
    <row r="14" spans="1:7">
      <c r="A14" s="7">
        <v>42636</v>
      </c>
      <c r="B14" s="9">
        <v>0.33333333333333331</v>
      </c>
      <c r="C14" s="2">
        <v>7696.1</v>
      </c>
      <c r="D14" s="2">
        <v>28</v>
      </c>
      <c r="E14" s="3">
        <f t="shared" si="0"/>
        <v>5.8323765245447301E-2</v>
      </c>
      <c r="F14" s="4">
        <f t="shared" si="1"/>
        <v>733.94902405503558</v>
      </c>
    </row>
    <row r="15" spans="1:7">
      <c r="A15" s="7">
        <v>42653</v>
      </c>
      <c r="B15" s="9">
        <v>0.33333333333333331</v>
      </c>
      <c r="C15" s="2">
        <v>7244.8</v>
      </c>
      <c r="D15" s="2">
        <v>14.1</v>
      </c>
      <c r="E15" s="3">
        <f t="shared" si="0"/>
        <v>7.5591222794083562E-2</v>
      </c>
      <c r="F15" s="4">
        <f t="shared" si="1"/>
        <v>735.71030472499649</v>
      </c>
    </row>
    <row r="16" spans="1:7">
      <c r="A16" s="7">
        <v>42855</v>
      </c>
      <c r="B16" s="9">
        <v>0.33333333333333331</v>
      </c>
      <c r="C16" s="2">
        <v>6973.9</v>
      </c>
      <c r="D16" s="2">
        <v>5.8</v>
      </c>
      <c r="E16" s="3">
        <f t="shared" si="0"/>
        <v>8.6078467390795305E-2</v>
      </c>
      <c r="F16" s="4">
        <f t="shared" si="1"/>
        <v>736.78000367386107</v>
      </c>
      <c r="G16" s="10"/>
    </row>
    <row r="17" spans="1:7">
      <c r="A17" s="7">
        <v>42865</v>
      </c>
      <c r="B17" s="9">
        <v>0.33333333333333331</v>
      </c>
      <c r="C17" s="2">
        <v>6864.3</v>
      </c>
      <c r="D17" s="2">
        <v>5.9</v>
      </c>
      <c r="E17" s="3">
        <f t="shared" si="0"/>
        <v>9.3721239735808745E-2</v>
      </c>
      <c r="F17" s="4">
        <f t="shared" si="1"/>
        <v>737.55956645305253</v>
      </c>
      <c r="G17" s="29"/>
    </row>
    <row r="18" spans="1:7">
      <c r="A18" s="7">
        <v>42875</v>
      </c>
      <c r="B18" s="1">
        <v>0.33333333333333331</v>
      </c>
      <c r="C18" s="2">
        <v>6952.2</v>
      </c>
      <c r="D18" s="2">
        <v>6.1</v>
      </c>
      <c r="E18" s="3">
        <f t="shared" si="0"/>
        <v>8.7865025368968008E-2</v>
      </c>
      <c r="F18" s="4">
        <f t="shared" si="1"/>
        <v>736.96223258763473</v>
      </c>
    </row>
    <row r="19" spans="1:7">
      <c r="A19" s="7">
        <v>42885</v>
      </c>
      <c r="B19" s="1">
        <v>0.33333333333333331</v>
      </c>
      <c r="C19" s="2">
        <v>6995.3</v>
      </c>
      <c r="D19" s="2">
        <v>6.4</v>
      </c>
      <c r="E19" s="3">
        <f t="shared" si="0"/>
        <v>8.519339179019346E-2</v>
      </c>
      <c r="F19" s="4">
        <f t="shared" si="1"/>
        <v>736.68972596259971</v>
      </c>
    </row>
    <row r="20" spans="1:7">
      <c r="A20" s="7">
        <v>42896</v>
      </c>
      <c r="B20" s="1">
        <v>0.33333333333333331</v>
      </c>
      <c r="C20" s="2">
        <v>6997</v>
      </c>
      <c r="D20" s="2">
        <v>6.9</v>
      </c>
      <c r="E20" s="3">
        <f t="shared" si="0"/>
        <v>8.5565616928079721E-2</v>
      </c>
      <c r="F20" s="4">
        <f t="shared" si="1"/>
        <v>736.72769292666408</v>
      </c>
      <c r="G20" s="2"/>
    </row>
    <row r="21" spans="1:7">
      <c r="A21" s="7">
        <v>42906</v>
      </c>
      <c r="B21" s="1">
        <v>0.33333333333333331</v>
      </c>
      <c r="C21" s="2">
        <v>6984.1</v>
      </c>
      <c r="D21" s="2">
        <v>7.4</v>
      </c>
      <c r="E21" s="3">
        <f t="shared" si="0"/>
        <v>8.6942061775652002E-2</v>
      </c>
      <c r="F21" s="4">
        <f t="shared" si="1"/>
        <v>736.86809030111647</v>
      </c>
      <c r="G21" s="2"/>
    </row>
    <row r="22" spans="1:7">
      <c r="A22" s="7">
        <v>42926</v>
      </c>
      <c r="B22" s="1">
        <v>0.33333333333333331</v>
      </c>
      <c r="C22" s="2">
        <v>7029.1</v>
      </c>
      <c r="D22" s="2">
        <v>9</v>
      </c>
      <c r="E22" s="3">
        <f t="shared" si="0"/>
        <v>8.541270027846401E-2</v>
      </c>
      <c r="F22" s="4">
        <f t="shared" si="1"/>
        <v>736.71209542840336</v>
      </c>
    </row>
    <row r="23" spans="1:7">
      <c r="A23" s="7">
        <v>42936</v>
      </c>
      <c r="B23" s="1">
        <v>0.33333333333333331</v>
      </c>
      <c r="C23" s="2">
        <v>7034.6</v>
      </c>
      <c r="D23" s="2">
        <v>9.6</v>
      </c>
      <c r="E23" s="3">
        <f t="shared" si="0"/>
        <v>8.5621557465863349E-2</v>
      </c>
      <c r="F23" s="4">
        <f t="shared" si="1"/>
        <v>736.73339886151803</v>
      </c>
    </row>
    <row r="24" spans="1:7">
      <c r="A24" s="7">
        <v>42946</v>
      </c>
      <c r="B24" s="1">
        <v>0.33333333333333331</v>
      </c>
      <c r="C24" s="2">
        <v>7054.6</v>
      </c>
      <c r="D24" s="2">
        <v>10.199999999999999</v>
      </c>
      <c r="E24" s="3">
        <f t="shared" si="0"/>
        <v>8.4833758806295401E-2</v>
      </c>
      <c r="F24" s="4">
        <f t="shared" si="1"/>
        <v>736.65304339824218</v>
      </c>
    </row>
    <row r="25" spans="1:7">
      <c r="A25" s="6">
        <v>42957</v>
      </c>
      <c r="B25" s="1">
        <v>0.33333333333333331</v>
      </c>
      <c r="C25" s="2">
        <v>7044</v>
      </c>
      <c r="D25" s="2">
        <v>10.9</v>
      </c>
      <c r="E25" s="3">
        <f t="shared" si="0"/>
        <v>8.6247156970225697E-2</v>
      </c>
      <c r="F25" s="4">
        <f t="shared" si="1"/>
        <v>736.797210010963</v>
      </c>
    </row>
    <row r="26" spans="1:7">
      <c r="A26" s="7">
        <v>42967</v>
      </c>
      <c r="B26" s="1">
        <v>0.33333333333333331</v>
      </c>
      <c r="C26" s="2">
        <v>7071.8</v>
      </c>
      <c r="D26" s="2">
        <v>11.2</v>
      </c>
      <c r="E26" s="3">
        <f t="shared" si="0"/>
        <v>8.4630006996827226E-2</v>
      </c>
      <c r="F26" s="4">
        <f t="shared" si="1"/>
        <v>736.63226071367637</v>
      </c>
    </row>
    <row r="27" spans="1:7">
      <c r="A27" s="7">
        <v>42977</v>
      </c>
      <c r="B27" s="1">
        <v>0.33333333333333331</v>
      </c>
      <c r="C27" s="2">
        <v>7057.2</v>
      </c>
      <c r="D27" s="2">
        <v>11.6</v>
      </c>
      <c r="E27" s="3">
        <f t="shared" si="0"/>
        <v>8.6024676148993964E-2</v>
      </c>
      <c r="F27" s="4">
        <f t="shared" si="1"/>
        <v>736.77451696719743</v>
      </c>
    </row>
    <row r="28" spans="1:7">
      <c r="A28" s="7">
        <v>42988</v>
      </c>
      <c r="B28" s="1">
        <v>0.33333333333333331</v>
      </c>
      <c r="C28" s="2">
        <v>7059.6</v>
      </c>
      <c r="D28" s="2">
        <v>11.8</v>
      </c>
      <c r="E28" s="3">
        <f t="shared" si="0"/>
        <v>8.6055389091153373E-2</v>
      </c>
      <c r="F28" s="4">
        <f t="shared" si="1"/>
        <v>736.77764968729764</v>
      </c>
    </row>
    <row r="29" spans="1:7">
      <c r="A29" s="7">
        <v>42998</v>
      </c>
      <c r="B29" s="1">
        <v>0.33333333333333331</v>
      </c>
      <c r="C29" s="2">
        <v>7066.6</v>
      </c>
      <c r="D29" s="2">
        <v>11.5</v>
      </c>
      <c r="E29" s="3">
        <f t="shared" si="0"/>
        <v>8.5280833753786589E-2</v>
      </c>
      <c r="F29" s="4">
        <f t="shared" si="1"/>
        <v>736.69864504288626</v>
      </c>
    </row>
    <row r="30" spans="1:7">
      <c r="A30" s="7">
        <v>43008</v>
      </c>
      <c r="B30" s="1">
        <v>0.33333333333333331</v>
      </c>
      <c r="C30" s="2">
        <v>7074.9</v>
      </c>
      <c r="D30" s="2">
        <v>11.3</v>
      </c>
      <c r="E30" s="3">
        <f t="shared" si="0"/>
        <v>8.4514818645737816E-2</v>
      </c>
      <c r="F30" s="4">
        <f t="shared" si="1"/>
        <v>736.62051150186528</v>
      </c>
    </row>
    <row r="31" spans="1:7">
      <c r="A31" s="7">
        <v>43018</v>
      </c>
      <c r="B31" s="1">
        <v>0.33333333333333331</v>
      </c>
      <c r="C31" s="2">
        <v>7067.6</v>
      </c>
      <c r="D31" s="2">
        <v>11.1</v>
      </c>
      <c r="E31" s="3">
        <f t="shared" si="0"/>
        <v>8.4820794810718192E-2</v>
      </c>
      <c r="F31" s="4">
        <f t="shared" si="1"/>
        <v>736.65172107069327</v>
      </c>
    </row>
    <row r="32" spans="1:7">
      <c r="A32" s="7">
        <v>43230</v>
      </c>
      <c r="B32" s="1">
        <v>0.33333333333333331</v>
      </c>
      <c r="C32" s="2">
        <v>7054.3</v>
      </c>
      <c r="D32" s="2">
        <v>6.3</v>
      </c>
      <c r="E32" s="3">
        <f t="shared" si="0"/>
        <v>8.103902365074081E-2</v>
      </c>
      <c r="F32" s="4">
        <f t="shared" si="1"/>
        <v>736.2659804123756</v>
      </c>
    </row>
    <row r="33" spans="1:6">
      <c r="A33" s="7">
        <v>43240</v>
      </c>
      <c r="B33" s="1">
        <v>0.33333333333333331</v>
      </c>
      <c r="C33" s="2">
        <v>7064.5</v>
      </c>
      <c r="D33" s="2">
        <v>6.6</v>
      </c>
      <c r="E33" s="3">
        <f>($B$2*C33^2+$B$3*C33+$B$4)-$B$5*D33-$E$7</f>
        <v>8.0631499137277199E-2</v>
      </c>
      <c r="F33" s="4">
        <f t="shared" si="1"/>
        <v>736.22441291200232</v>
      </c>
    </row>
    <row r="34" spans="1:6">
      <c r="A34" s="7">
        <v>43250</v>
      </c>
      <c r="B34" s="1">
        <v>0.33333333333333331</v>
      </c>
      <c r="C34" s="2">
        <v>7061</v>
      </c>
      <c r="D34" s="2">
        <v>6.8</v>
      </c>
      <c r="E34" s="3">
        <f>($B$2*C34^2+$B$3*C34+$B$4)-$B$5*D34-$E$7</f>
        <v>8.1067692600655758E-2</v>
      </c>
      <c r="F34" s="4">
        <f t="shared" si="1"/>
        <v>736.26890464526684</v>
      </c>
    </row>
    <row r="35" spans="1:6">
      <c r="A35" s="7">
        <v>43261</v>
      </c>
      <c r="B35" s="1">
        <v>0.33333333333333331</v>
      </c>
      <c r="C35" s="2">
        <v>7029.8</v>
      </c>
      <c r="D35" s="2">
        <v>7.5</v>
      </c>
      <c r="E35" s="3">
        <f>($B$2*C35^2+$B$3*C35+$B$4)-$B$5*D35-$E$7</f>
        <v>8.3897130498161568E-2</v>
      </c>
      <c r="F35" s="4">
        <f t="shared" si="1"/>
        <v>736.55750731081253</v>
      </c>
    </row>
    <row r="36" spans="1:6">
      <c r="A36" s="7">
        <v>43271</v>
      </c>
      <c r="B36" s="1">
        <v>0.33333333333333331</v>
      </c>
      <c r="C36" s="2">
        <v>6892.2</v>
      </c>
      <c r="D36" s="2">
        <v>9.1</v>
      </c>
      <c r="E36" s="3">
        <f>($B$2*C36^2+$B$3*C36+$B$4)-$B$5*D36-$E$7</f>
        <v>9.4930205446296087E-2</v>
      </c>
      <c r="F36" s="4">
        <f t="shared" si="1"/>
        <v>737.68288095552225</v>
      </c>
    </row>
    <row r="37" spans="1:6">
      <c r="A37" s="7">
        <v>43281</v>
      </c>
      <c r="B37" s="1">
        <v>0.33333333333333331</v>
      </c>
      <c r="C37" s="2">
        <v>6945.6</v>
      </c>
      <c r="D37" s="2">
        <v>7.5</v>
      </c>
      <c r="E37" s="3">
        <f>($B$2*C37^2+$B$3*C37+$B$4)-$B$5*D37-$E$7</f>
        <v>8.9688828807538992E-2</v>
      </c>
      <c r="F37" s="4">
        <f t="shared" si="1"/>
        <v>737.14826053836896</v>
      </c>
    </row>
    <row r="38" spans="1:6">
      <c r="A38" s="7">
        <v>43291</v>
      </c>
      <c r="B38" s="1">
        <v>0.33333333333333331</v>
      </c>
      <c r="C38" s="2">
        <v>7062.5</v>
      </c>
      <c r="D38" s="2">
        <v>9.5</v>
      </c>
      <c r="E38" s="3">
        <f t="shared" ref="E38:E41" si="2">($B$2*C38^2+$B$3*C38+$B$4)-$B$5*D38-$E$7</f>
        <v>8.360600446978525E-2</v>
      </c>
      <c r="F38" s="4">
        <f t="shared" si="1"/>
        <v>736.52781245591814</v>
      </c>
    </row>
    <row r="39" spans="1:6">
      <c r="A39" s="7">
        <v>43301</v>
      </c>
      <c r="B39" s="1">
        <v>0.33333333333333331</v>
      </c>
      <c r="C39" s="2">
        <v>7050.2</v>
      </c>
      <c r="D39" s="2">
        <v>10</v>
      </c>
      <c r="E39" s="3">
        <f t="shared" si="2"/>
        <v>8.4940522515697711E-2</v>
      </c>
      <c r="F39" s="4">
        <f t="shared" si="1"/>
        <v>736.66393329660116</v>
      </c>
    </row>
    <row r="40" spans="1:6">
      <c r="A40" s="7">
        <v>43311</v>
      </c>
      <c r="B40" s="1">
        <v>0.33333333333333331</v>
      </c>
      <c r="C40" s="2">
        <v>7056.3</v>
      </c>
      <c r="D40" s="2">
        <v>10</v>
      </c>
      <c r="E40" s="3">
        <f t="shared" si="2"/>
        <v>8.452125860149827E-2</v>
      </c>
      <c r="F40" s="4">
        <f t="shared" si="1"/>
        <v>736.62116837735277</v>
      </c>
    </row>
    <row r="41" spans="1:6">
      <c r="A41" s="7">
        <v>43322</v>
      </c>
      <c r="B41" s="1">
        <v>0.33333333333333331</v>
      </c>
      <c r="C41" s="2">
        <v>7022.5</v>
      </c>
      <c r="D41" s="2">
        <v>10.4</v>
      </c>
      <c r="E41" s="3">
        <f t="shared" si="2"/>
        <v>8.7236091596585214E-2</v>
      </c>
      <c r="F41" s="4">
        <f t="shared" si="1"/>
        <v>736.8980813428517</v>
      </c>
    </row>
    <row r="42" spans="1:6">
      <c r="A42" s="7">
        <v>43332</v>
      </c>
      <c r="B42" s="1">
        <v>0.33333333333333331</v>
      </c>
      <c r="C42" s="2">
        <v>7057.5</v>
      </c>
      <c r="D42" s="2">
        <v>10.6</v>
      </c>
      <c r="E42" s="3">
        <f t="shared" ref="E42:E59" si="3">($B$2*C42^2+$B$3*C42+$B$4)-$B$5*D42-$E$7</f>
        <v>8.502576161098524E-2</v>
      </c>
      <c r="F42" s="4">
        <f t="shared" ref="F42:F59" si="4">$D$1+102*E42</f>
        <v>736.67262768432045</v>
      </c>
    </row>
    <row r="43" spans="1:6">
      <c r="A43" s="7">
        <v>43342</v>
      </c>
      <c r="B43" s="1">
        <v>0.33333333333333331</v>
      </c>
      <c r="C43" s="2">
        <v>7003.2</v>
      </c>
      <c r="D43" s="2">
        <v>11.2</v>
      </c>
      <c r="E43" s="3">
        <f t="shared" si="3"/>
        <v>8.9345885057917199E-2</v>
      </c>
      <c r="F43" s="4">
        <f t="shared" si="4"/>
        <v>737.11328027590753</v>
      </c>
    </row>
    <row r="44" spans="1:6">
      <c r="A44" s="7">
        <v>43353</v>
      </c>
      <c r="B44" s="1">
        <v>0.33333333333333331</v>
      </c>
      <c r="C44" s="2">
        <v>6937.5</v>
      </c>
      <c r="D44" s="2">
        <v>11.8</v>
      </c>
      <c r="E44" s="3">
        <f t="shared" si="3"/>
        <v>9.4452963769785209E-2</v>
      </c>
      <c r="F44" s="4">
        <f t="shared" si="4"/>
        <v>737.63420230451811</v>
      </c>
    </row>
    <row r="45" spans="1:6">
      <c r="A45" s="7">
        <v>43363</v>
      </c>
      <c r="B45" s="1">
        <v>0.33333333333333331</v>
      </c>
      <c r="C45" s="2">
        <v>7011.9</v>
      </c>
      <c r="D45" s="2">
        <v>11.1</v>
      </c>
      <c r="E45" s="3">
        <f t="shared" si="3"/>
        <v>8.864976605027447E-2</v>
      </c>
      <c r="F45" s="4">
        <f t="shared" si="4"/>
        <v>737.04227613712794</v>
      </c>
    </row>
    <row r="46" spans="1:6">
      <c r="A46" s="7">
        <v>43373</v>
      </c>
      <c r="B46" s="1">
        <v>0.33333333333333331</v>
      </c>
      <c r="C46" s="2">
        <v>7023.7</v>
      </c>
      <c r="D46" s="2">
        <v>11</v>
      </c>
      <c r="E46" s="3">
        <f t="shared" si="3"/>
        <v>8.7740561671514325E-2</v>
      </c>
      <c r="F46" s="4">
        <f t="shared" si="4"/>
        <v>736.9495372904945</v>
      </c>
    </row>
    <row r="47" spans="1:6">
      <c r="A47" s="7">
        <v>43383</v>
      </c>
      <c r="B47" s="1">
        <v>0.33333333333333331</v>
      </c>
      <c r="C47" s="2">
        <v>7029.4</v>
      </c>
      <c r="D47" s="2">
        <v>10.7</v>
      </c>
      <c r="E47" s="3">
        <f t="shared" si="3"/>
        <v>8.7055178095329047E-2</v>
      </c>
      <c r="F47" s="4">
        <f t="shared" si="4"/>
        <v>736.8796281657236</v>
      </c>
    </row>
    <row r="48" spans="1:6">
      <c r="A48" s="7">
        <v>43393</v>
      </c>
      <c r="B48" s="1">
        <v>0.33333333333333331</v>
      </c>
      <c r="C48" s="2">
        <v>7035.3</v>
      </c>
      <c r="D48" s="2">
        <v>10.199999999999999</v>
      </c>
      <c r="E48" s="3">
        <f t="shared" si="3"/>
        <v>8.6160412411745546E-2</v>
      </c>
      <c r="F48" s="4">
        <f t="shared" si="4"/>
        <v>736.78836206599806</v>
      </c>
    </row>
    <row r="49" spans="1:6">
      <c r="A49" s="7">
        <v>43605</v>
      </c>
      <c r="B49" s="1">
        <v>0.33333333333333331</v>
      </c>
      <c r="C49" s="2">
        <v>7106.7</v>
      </c>
      <c r="D49" s="2">
        <v>9.4</v>
      </c>
      <c r="E49" s="3">
        <f t="shared" si="3"/>
        <v>8.0471354945067977E-2</v>
      </c>
      <c r="F49" s="4">
        <f t="shared" si="4"/>
        <v>736.20807820439688</v>
      </c>
    </row>
    <row r="50" spans="1:6">
      <c r="A50" s="7">
        <v>43615</v>
      </c>
      <c r="B50" s="1">
        <v>0.33333333333333331</v>
      </c>
      <c r="C50" s="2">
        <v>7107.5</v>
      </c>
      <c r="D50" s="2">
        <v>9.6999999999999993</v>
      </c>
      <c r="E50" s="3">
        <f t="shared" si="3"/>
        <v>8.0709893294485191E-2</v>
      </c>
      <c r="F50" s="4">
        <f t="shared" si="4"/>
        <v>736.2324091160375</v>
      </c>
    </row>
    <row r="51" spans="1:6">
      <c r="A51" s="7">
        <v>43626</v>
      </c>
      <c r="B51" s="1">
        <v>0.33333333333333331</v>
      </c>
      <c r="C51" s="2">
        <v>7109.2</v>
      </c>
      <c r="D51" s="2">
        <v>9.9</v>
      </c>
      <c r="E51" s="3">
        <f t="shared" si="3"/>
        <v>8.0788784512488415E-2</v>
      </c>
      <c r="F51" s="4">
        <f t="shared" si="4"/>
        <v>736.24045602027377</v>
      </c>
    </row>
    <row r="52" spans="1:6">
      <c r="A52" s="7">
        <v>43636</v>
      </c>
      <c r="B52" s="1">
        <v>0.33333333333333331</v>
      </c>
      <c r="C52" s="2">
        <v>7110.3</v>
      </c>
      <c r="D52" s="2">
        <v>10.199999999999999</v>
      </c>
      <c r="E52" s="3">
        <f t="shared" si="3"/>
        <v>8.1006718809905509E-2</v>
      </c>
      <c r="F52" s="4">
        <f t="shared" si="4"/>
        <v>736.26268531861035</v>
      </c>
    </row>
    <row r="53" spans="1:6">
      <c r="A53" s="7">
        <v>43646</v>
      </c>
      <c r="B53" s="1">
        <v>0.33333333333333331</v>
      </c>
      <c r="C53" s="2">
        <v>7101.5</v>
      </c>
      <c r="D53" s="2">
        <v>10.199999999999999</v>
      </c>
      <c r="E53" s="3">
        <f t="shared" si="3"/>
        <v>8.1611182340993182E-2</v>
      </c>
      <c r="F53" s="4">
        <f t="shared" si="4"/>
        <v>736.3243405987813</v>
      </c>
    </row>
    <row r="54" spans="1:6">
      <c r="A54" s="7">
        <v>43656</v>
      </c>
      <c r="B54" s="1">
        <v>0.33333333333333331</v>
      </c>
      <c r="C54" s="2">
        <v>7090.3</v>
      </c>
      <c r="D54" s="2">
        <v>10.199999999999999</v>
      </c>
      <c r="E54" s="3">
        <f t="shared" si="3"/>
        <v>8.2380590505929496E-2</v>
      </c>
      <c r="F54" s="4">
        <f t="shared" si="4"/>
        <v>736.40282023160478</v>
      </c>
    </row>
    <row r="55" spans="1:6">
      <c r="A55" s="7">
        <v>43666</v>
      </c>
      <c r="B55" s="1">
        <v>0.33333333333333331</v>
      </c>
      <c r="C55" s="2">
        <v>7069.5</v>
      </c>
      <c r="D55" s="2">
        <v>10.3</v>
      </c>
      <c r="E55" s="3">
        <f t="shared" si="3"/>
        <v>8.390759121593723E-2</v>
      </c>
      <c r="F55" s="4">
        <f t="shared" si="4"/>
        <v>736.55857430402557</v>
      </c>
    </row>
    <row r="56" spans="1:6">
      <c r="A56" s="7">
        <v>43676</v>
      </c>
      <c r="B56" s="1">
        <v>0.33333333333333331</v>
      </c>
      <c r="C56" s="2">
        <v>7042.6</v>
      </c>
      <c r="D56" s="2">
        <v>10.3</v>
      </c>
      <c r="E56" s="3">
        <f t="shared" si="3"/>
        <v>8.5756415186228188E-2</v>
      </c>
      <c r="F56" s="4">
        <f t="shared" si="4"/>
        <v>736.74715434899531</v>
      </c>
    </row>
    <row r="57" spans="1:6">
      <c r="A57" s="7">
        <v>43687</v>
      </c>
      <c r="B57" s="1">
        <v>0.33333333333333331</v>
      </c>
      <c r="C57" s="2">
        <v>7017.8</v>
      </c>
      <c r="D57" s="2">
        <v>10.1</v>
      </c>
      <c r="E57" s="3">
        <f t="shared" si="3"/>
        <v>8.7265768528104012E-2</v>
      </c>
      <c r="F57" s="4">
        <f t="shared" si="4"/>
        <v>736.90110838986664</v>
      </c>
    </row>
    <row r="58" spans="1:6">
      <c r="A58" s="7">
        <v>43697</v>
      </c>
      <c r="B58" s="1">
        <v>0.33333333333333331</v>
      </c>
      <c r="C58" s="2">
        <v>6992.6</v>
      </c>
      <c r="D58" s="2">
        <v>10.1</v>
      </c>
      <c r="E58" s="3">
        <f t="shared" si="3"/>
        <v>8.8998792829748138E-2</v>
      </c>
      <c r="F58" s="4">
        <f t="shared" si="4"/>
        <v>737.07787686863435</v>
      </c>
    </row>
    <row r="59" spans="1:6">
      <c r="A59" s="7">
        <v>43707</v>
      </c>
      <c r="B59" s="1">
        <v>0.33333333333333331</v>
      </c>
      <c r="C59" s="2">
        <v>6958.3</v>
      </c>
      <c r="D59" s="2">
        <v>10</v>
      </c>
      <c r="E59" s="3">
        <f t="shared" si="3"/>
        <v>9.1260630443559851E-2</v>
      </c>
      <c r="F59" s="4">
        <f t="shared" si="4"/>
        <v>737.30858430524313</v>
      </c>
    </row>
  </sheetData>
  <phoneticPr fontId="5" type="noConversion"/>
  <pageMargins left="0.69930555555555596" right="0.69930555555555596" top="0.75" bottom="0.75" header="0.3" footer="0.3"/>
  <pageSetup paperSize="9" orientation="portrait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9"/>
  <sheetViews>
    <sheetView workbookViewId="0">
      <selection activeCell="B2" sqref="B2"/>
    </sheetView>
  </sheetViews>
  <sheetFormatPr defaultColWidth="9" defaultRowHeight="13.5"/>
  <cols>
    <col min="1" max="1" width="11.625" customWidth="1"/>
    <col min="2" max="2" width="13.875" customWidth="1"/>
  </cols>
  <sheetData>
    <row r="1" spans="1:7">
      <c r="A1" t="s">
        <v>0</v>
      </c>
      <c r="B1">
        <v>50349</v>
      </c>
      <c r="C1" t="s">
        <v>45</v>
      </c>
      <c r="D1">
        <v>727.4</v>
      </c>
    </row>
    <row r="2" spans="1:7">
      <c r="A2" t="s">
        <v>2</v>
      </c>
      <c r="B2" s="35">
        <f>4.86504*10^(-10)</f>
        <v>4.8650399999999996E-10</v>
      </c>
    </row>
    <row r="3" spans="1:7">
      <c r="A3" t="s">
        <v>3</v>
      </c>
      <c r="B3">
        <f>-0.000077756</f>
        <v>-7.7756000000000006E-5</v>
      </c>
    </row>
    <row r="4" spans="1:7">
      <c r="A4" t="s">
        <v>4</v>
      </c>
      <c r="B4">
        <f>0.70130637</f>
        <v>0.70130636999999996</v>
      </c>
    </row>
    <row r="5" spans="1:7">
      <c r="A5" t="s">
        <v>5</v>
      </c>
      <c r="B5">
        <f>-0.000964318</f>
        <v>-9.6431800000000003E-4</v>
      </c>
    </row>
    <row r="6" spans="1:7">
      <c r="A6" t="s">
        <v>6</v>
      </c>
      <c r="B6" t="s">
        <v>7</v>
      </c>
      <c r="C6" t="s">
        <v>8</v>
      </c>
      <c r="D6" t="s">
        <v>9</v>
      </c>
      <c r="E6" t="s">
        <v>10</v>
      </c>
      <c r="F6" t="s">
        <v>11</v>
      </c>
      <c r="G6" t="s">
        <v>12</v>
      </c>
    </row>
    <row r="7" spans="1:7">
      <c r="A7" s="7">
        <v>42262</v>
      </c>
      <c r="B7" s="1">
        <v>0.375</v>
      </c>
      <c r="C7" s="2">
        <v>9581.4</v>
      </c>
      <c r="D7" s="2">
        <v>19.2</v>
      </c>
      <c r="E7" s="3">
        <f>($B$2*C7^2+$B$3*C7+$B$4)-$B$5*D7</f>
        <v>1.9472573842443809E-2</v>
      </c>
      <c r="G7" t="s">
        <v>13</v>
      </c>
    </row>
    <row r="8" spans="1:7">
      <c r="A8" s="7">
        <v>42263</v>
      </c>
      <c r="B8" s="1">
        <v>0.39583333333333298</v>
      </c>
      <c r="C8" s="2">
        <v>9403.7000000000007</v>
      </c>
      <c r="D8" s="2">
        <v>23</v>
      </c>
      <c r="E8" s="3">
        <f>($B$2*C8^2+$B$3*C8+$B$4)-$B$5*D8-$E$7</f>
        <v>1.5840354276035883E-2</v>
      </c>
      <c r="F8" s="4">
        <f>$D$1+102*E8</f>
        <v>729.01571613615567</v>
      </c>
      <c r="G8" t="s">
        <v>17</v>
      </c>
    </row>
    <row r="9" spans="1:7">
      <c r="A9" s="7">
        <v>42264</v>
      </c>
      <c r="B9" s="1">
        <v>0.33333333333333298</v>
      </c>
      <c r="C9" s="2">
        <v>9443.2000000000007</v>
      </c>
      <c r="D9" s="2">
        <v>29.2</v>
      </c>
      <c r="E9" s="3">
        <f t="shared" ref="E9:E18" si="0">($B$2*C9^2+$B$3*C9+$B$4)-$B$5*D9-$E$7</f>
        <v>1.9109943019421066E-2</v>
      </c>
      <c r="F9" s="4">
        <f t="shared" ref="F9:F61" si="1">$D$1+102*E9</f>
        <v>729.34921418798092</v>
      </c>
      <c r="G9" t="s">
        <v>14</v>
      </c>
    </row>
    <row r="10" spans="1:7">
      <c r="A10" s="7">
        <v>42265</v>
      </c>
      <c r="B10" s="1">
        <v>0.33333333333333298</v>
      </c>
      <c r="C10" s="2">
        <v>9439.4</v>
      </c>
      <c r="D10" s="2">
        <v>30.2</v>
      </c>
      <c r="E10" s="3">
        <f t="shared" si="0"/>
        <v>2.0334825269785535E-2</v>
      </c>
      <c r="F10" s="4">
        <f t="shared" si="1"/>
        <v>729.47415217751814</v>
      </c>
    </row>
    <row r="11" spans="1:7">
      <c r="A11" s="7">
        <v>42266</v>
      </c>
      <c r="B11" s="1">
        <v>0.33333333333333298</v>
      </c>
      <c r="C11" s="2">
        <v>9446.9</v>
      </c>
      <c r="D11" s="2">
        <v>30.2</v>
      </c>
      <c r="E11" s="3">
        <f t="shared" si="0"/>
        <v>1.9820567223499515E-2</v>
      </c>
      <c r="F11" s="4">
        <f t="shared" si="1"/>
        <v>729.42169785679698</v>
      </c>
    </row>
    <row r="12" spans="1:7">
      <c r="A12" s="7">
        <v>42267</v>
      </c>
      <c r="B12" s="1">
        <v>0.33333333333333298</v>
      </c>
      <c r="C12" s="2">
        <v>9445.4</v>
      </c>
      <c r="D12" s="2">
        <v>30.2</v>
      </c>
      <c r="E12" s="3">
        <f t="shared" si="0"/>
        <v>1.9923414454220807E-2</v>
      </c>
      <c r="F12" s="4">
        <f t="shared" si="1"/>
        <v>729.43218827433054</v>
      </c>
    </row>
    <row r="13" spans="1:7">
      <c r="A13" s="7">
        <v>42268</v>
      </c>
      <c r="B13" s="1">
        <v>0.33333333333333298</v>
      </c>
      <c r="C13" s="2">
        <v>9443.4</v>
      </c>
      <c r="D13" s="2">
        <v>30.2</v>
      </c>
      <c r="E13" s="3">
        <f t="shared" si="0"/>
        <v>2.0060547500710353E-2</v>
      </c>
      <c r="F13" s="4">
        <f t="shared" si="1"/>
        <v>729.44617584507239</v>
      </c>
    </row>
    <row r="14" spans="1:7">
      <c r="A14" s="7">
        <v>42269</v>
      </c>
      <c r="B14" s="1">
        <v>0.33333333333333298</v>
      </c>
      <c r="C14" s="2">
        <v>9431.5</v>
      </c>
      <c r="D14" s="2">
        <v>29.8</v>
      </c>
      <c r="E14" s="3">
        <f t="shared" si="0"/>
        <v>2.0490842399950054E-2</v>
      </c>
      <c r="F14" s="4">
        <f t="shared" si="1"/>
        <v>729.49006592479486</v>
      </c>
    </row>
    <row r="15" spans="1:7">
      <c r="A15" s="7">
        <v>42270</v>
      </c>
      <c r="B15" s="1">
        <v>0.33333333333333298</v>
      </c>
      <c r="C15" s="2">
        <v>9419</v>
      </c>
      <c r="D15" s="2">
        <v>29.3</v>
      </c>
      <c r="E15" s="3">
        <f t="shared" si="0"/>
        <v>2.0865997854300052E-2</v>
      </c>
      <c r="F15" s="4">
        <f t="shared" si="1"/>
        <v>729.5283317811386</v>
      </c>
    </row>
    <row r="16" spans="1:7">
      <c r="A16" s="7">
        <v>42273</v>
      </c>
      <c r="B16" s="1">
        <v>0.33333333333333298</v>
      </c>
      <c r="C16" s="2">
        <v>9366.5</v>
      </c>
      <c r="D16" s="2">
        <v>28.1</v>
      </c>
      <c r="E16" s="3">
        <f t="shared" si="0"/>
        <v>2.3311197157470057E-2</v>
      </c>
      <c r="F16" s="4">
        <f t="shared" si="1"/>
        <v>729.77774211006192</v>
      </c>
    </row>
    <row r="17" spans="1:6">
      <c r="A17" s="7">
        <v>42280</v>
      </c>
      <c r="B17" s="1">
        <v>0.33333333333333298</v>
      </c>
      <c r="C17" s="2">
        <v>9348.9</v>
      </c>
      <c r="D17" s="2">
        <v>24.9</v>
      </c>
      <c r="E17" s="3">
        <f t="shared" si="0"/>
        <v>2.1433635098945907E-2</v>
      </c>
      <c r="F17" s="4">
        <f t="shared" si="1"/>
        <v>729.58623078009248</v>
      </c>
    </row>
    <row r="18" spans="1:6">
      <c r="A18" s="7">
        <v>42287</v>
      </c>
      <c r="B18" s="1">
        <v>0.33333333333333298</v>
      </c>
      <c r="C18" s="2">
        <v>9232.4</v>
      </c>
      <c r="D18" s="2">
        <v>22.3</v>
      </c>
      <c r="E18" s="3">
        <f t="shared" si="0"/>
        <v>2.693183665463509E-2</v>
      </c>
      <c r="F18" s="4">
        <f t="shared" si="1"/>
        <v>730.14704733877272</v>
      </c>
    </row>
    <row r="19" spans="1:6">
      <c r="A19" s="7">
        <v>42294</v>
      </c>
      <c r="B19" s="9">
        <v>0.33333333333333298</v>
      </c>
      <c r="C19" s="2">
        <v>9133</v>
      </c>
      <c r="D19" s="2">
        <v>19.5</v>
      </c>
      <c r="E19" s="3">
        <f t="shared" ref="E19:E25" si="2">($B$2*C19^2+$B$3*C19+$B$4)-$B$5*D19-$E$7</f>
        <v>3.107256950281212E-2</v>
      </c>
      <c r="F19" s="4">
        <f t="shared" si="1"/>
        <v>730.56940208928677</v>
      </c>
    </row>
    <row r="20" spans="1:6">
      <c r="A20" s="7">
        <v>42301</v>
      </c>
      <c r="B20" s="9">
        <v>0.33333333333333298</v>
      </c>
      <c r="C20" s="2">
        <v>9133.7000000000007</v>
      </c>
      <c r="D20" s="2">
        <v>18.600000000000001</v>
      </c>
      <c r="E20" s="3">
        <f t="shared" si="2"/>
        <v>3.015647487864382E-2</v>
      </c>
      <c r="F20" s="4">
        <f t="shared" si="1"/>
        <v>730.47596043762167</v>
      </c>
    </row>
    <row r="21" spans="1:6">
      <c r="A21" s="7">
        <v>42485</v>
      </c>
      <c r="B21" s="9">
        <v>0.33333333333333298</v>
      </c>
      <c r="C21" s="2">
        <v>8926.4</v>
      </c>
      <c r="D21" s="2">
        <v>10.4</v>
      </c>
      <c r="E21" s="3">
        <f t="shared" si="2"/>
        <v>3.6546483831063931E-2</v>
      </c>
      <c r="F21" s="4">
        <f t="shared" si="1"/>
        <v>731.12774135076847</v>
      </c>
    </row>
    <row r="22" spans="1:6">
      <c r="A22" s="7">
        <v>42506</v>
      </c>
      <c r="B22" s="1">
        <v>0.33333333333333298</v>
      </c>
      <c r="C22">
        <v>8997.1</v>
      </c>
      <c r="D22">
        <v>9.8000000000000007</v>
      </c>
      <c r="E22" s="3">
        <f t="shared" si="2"/>
        <v>3.1087037540254742E-2</v>
      </c>
      <c r="F22" s="4">
        <f t="shared" si="1"/>
        <v>730.57087782910594</v>
      </c>
    </row>
    <row r="23" spans="1:6">
      <c r="A23" s="7">
        <v>42520</v>
      </c>
      <c r="B23" s="1">
        <v>0.33333333333333298</v>
      </c>
      <c r="C23">
        <v>9012.2999999999993</v>
      </c>
      <c r="D23">
        <v>10.6</v>
      </c>
      <c r="E23" s="3">
        <f t="shared" si="2"/>
        <v>3.0809777746346349E-2</v>
      </c>
      <c r="F23" s="4">
        <f t="shared" si="1"/>
        <v>730.54259733012725</v>
      </c>
    </row>
    <row r="24" spans="1:6">
      <c r="A24" s="6">
        <v>42528</v>
      </c>
      <c r="B24" s="1">
        <v>0.33333333333333298</v>
      </c>
      <c r="C24" s="2">
        <v>8910.6</v>
      </c>
      <c r="D24" s="2">
        <v>9.3000000000000007</v>
      </c>
      <c r="E24" s="3">
        <f t="shared" si="2"/>
        <v>3.6577170035865483E-2</v>
      </c>
      <c r="F24" s="4">
        <f t="shared" si="1"/>
        <v>731.13087134365821</v>
      </c>
    </row>
    <row r="25" spans="1:6">
      <c r="A25" s="6">
        <v>42544</v>
      </c>
      <c r="B25" s="1">
        <v>0.33333333333333298</v>
      </c>
      <c r="C25" s="2">
        <v>8764.1</v>
      </c>
      <c r="D25" s="2">
        <v>9.4</v>
      </c>
      <c r="E25" s="3">
        <f t="shared" si="2"/>
        <v>4.6805129841416319E-2</v>
      </c>
      <c r="F25" s="4">
        <f t="shared" si="1"/>
        <v>732.1741232438244</v>
      </c>
    </row>
    <row r="26" spans="1:6">
      <c r="A26" s="7">
        <v>42551</v>
      </c>
      <c r="B26" s="1">
        <v>0.33333333333333298</v>
      </c>
      <c r="C26">
        <v>8895.6</v>
      </c>
      <c r="D26">
        <v>9.6</v>
      </c>
      <c r="E26" s="3">
        <f>($B$2*C26^2+$B$3*C26+$B$4)-$B$5*D26-$E$7</f>
        <v>3.790286362299345E-2</v>
      </c>
      <c r="F26" s="4">
        <f t="shared" si="1"/>
        <v>731.26609208954528</v>
      </c>
    </row>
    <row r="27" spans="1:6">
      <c r="A27" s="7">
        <v>42561</v>
      </c>
      <c r="B27" s="9">
        <v>0.33333333333333298</v>
      </c>
      <c r="C27">
        <v>8838.7999999999993</v>
      </c>
      <c r="D27">
        <v>9.6999999999999993</v>
      </c>
      <c r="E27" s="3">
        <f>($B$2*C27^2+$B$3*C27+$B$4)-$B$5*D27-$E$7</f>
        <v>4.1925773971657913E-2</v>
      </c>
      <c r="F27" s="4">
        <f t="shared" si="1"/>
        <v>731.67642894510914</v>
      </c>
    </row>
    <row r="28" spans="1:6">
      <c r="A28" s="7">
        <v>42571</v>
      </c>
      <c r="B28" s="1">
        <v>0.33333333333333298</v>
      </c>
      <c r="C28">
        <v>8835.1</v>
      </c>
      <c r="D28">
        <v>10</v>
      </c>
      <c r="E28" s="3">
        <f>($B$2*C28^2+$B$3*C28+$B$4)-$B$5*D28-$E$7</f>
        <v>4.2470952406389144E-2</v>
      </c>
      <c r="F28" s="4">
        <f t="shared" si="1"/>
        <v>731.73203714545161</v>
      </c>
    </row>
    <row r="29" spans="1:6">
      <c r="A29" s="7">
        <v>42581</v>
      </c>
      <c r="B29" s="9">
        <v>0.33333333333333298</v>
      </c>
      <c r="C29">
        <v>8927.9</v>
      </c>
      <c r="D29">
        <v>10.3</v>
      </c>
      <c r="E29" s="3">
        <f>($B$2*C29^2+$B$3*C29+$B$4)-$B$5*D29-$E$7</f>
        <v>3.6346447313614742E-2</v>
      </c>
      <c r="F29" s="4">
        <f t="shared" si="1"/>
        <v>731.10733762598863</v>
      </c>
    </row>
    <row r="30" spans="1:6">
      <c r="A30" s="7">
        <v>42592</v>
      </c>
      <c r="B30" s="1">
        <v>0.33333333333333298</v>
      </c>
      <c r="C30">
        <v>8848.2000000000007</v>
      </c>
      <c r="D30">
        <v>10.5</v>
      </c>
      <c r="E30" s="3">
        <f t="shared" ref="E30:E61" si="3">($B$2*C30^2+$B$3*C30+$B$4)-$B$5*D30-$E$7</f>
        <v>4.2047207056388987E-2</v>
      </c>
      <c r="F30" s="4">
        <f t="shared" si="1"/>
        <v>731.68881511975167</v>
      </c>
    </row>
    <row r="31" spans="1:6">
      <c r="A31" s="7">
        <v>42602</v>
      </c>
      <c r="B31" s="1">
        <v>0.33333333333333298</v>
      </c>
      <c r="C31">
        <v>8897.1</v>
      </c>
      <c r="D31">
        <v>11.1</v>
      </c>
      <c r="E31" s="3">
        <f t="shared" si="3"/>
        <v>3.9245690952574692E-2</v>
      </c>
      <c r="F31" s="4">
        <f t="shared" si="1"/>
        <v>731.40306047716263</v>
      </c>
    </row>
    <row r="32" spans="1:6">
      <c r="A32" s="7">
        <v>42612</v>
      </c>
      <c r="B32" s="1">
        <v>0.33333333333333298</v>
      </c>
      <c r="C32">
        <v>8898.7999999999993</v>
      </c>
      <c r="D32">
        <v>11.3</v>
      </c>
      <c r="E32" s="3">
        <f t="shared" si="3"/>
        <v>3.9321087572681906E-2</v>
      </c>
      <c r="F32" s="4">
        <f t="shared" si="1"/>
        <v>731.41075093241352</v>
      </c>
    </row>
    <row r="33" spans="1:7">
      <c r="A33" s="7">
        <v>42623</v>
      </c>
      <c r="B33" s="1">
        <v>0.33333333333333298</v>
      </c>
      <c r="C33">
        <v>8902.2000000000007</v>
      </c>
      <c r="D33">
        <v>11.6</v>
      </c>
      <c r="E33" s="3">
        <f t="shared" si="3"/>
        <v>3.9375457448875356E-2</v>
      </c>
      <c r="F33" s="4">
        <f t="shared" si="1"/>
        <v>731.4162966597853</v>
      </c>
    </row>
    <row r="34" spans="1:7">
      <c r="A34" s="7">
        <v>42633</v>
      </c>
      <c r="B34" s="1">
        <v>0.33333333333333331</v>
      </c>
      <c r="C34">
        <v>8771.4</v>
      </c>
      <c r="D34">
        <v>12.2</v>
      </c>
      <c r="E34" s="3">
        <f t="shared" si="3"/>
        <v>4.8999878404927998E-2</v>
      </c>
      <c r="F34" s="4">
        <f t="shared" si="1"/>
        <v>732.39798759730263</v>
      </c>
    </row>
    <row r="35" spans="1:7">
      <c r="A35" s="7">
        <v>42653</v>
      </c>
      <c r="B35" s="1">
        <v>0.33333333333333331</v>
      </c>
      <c r="C35">
        <v>8067.5</v>
      </c>
      <c r="D35">
        <v>12.1</v>
      </c>
      <c r="E35" s="3">
        <f t="shared" si="3"/>
        <v>9.7869410911406052E-2</v>
      </c>
      <c r="F35" s="4">
        <f t="shared" si="1"/>
        <v>737.38267991296334</v>
      </c>
      <c r="G35" t="s">
        <v>63</v>
      </c>
    </row>
    <row r="36" spans="1:7">
      <c r="A36" s="7">
        <v>42855</v>
      </c>
      <c r="B36" s="1">
        <v>0.33333333333333331</v>
      </c>
      <c r="C36">
        <v>8041.3</v>
      </c>
      <c r="D36">
        <v>7.3</v>
      </c>
      <c r="E36" s="3">
        <f t="shared" si="3"/>
        <v>9.507256242576384E-2</v>
      </c>
      <c r="F36" s="4">
        <f t="shared" si="1"/>
        <v>737.09740136742789</v>
      </c>
    </row>
    <row r="37" spans="1:7">
      <c r="A37" s="7">
        <v>42865</v>
      </c>
      <c r="B37" s="1">
        <v>0.33333333333333331</v>
      </c>
      <c r="C37">
        <v>7925</v>
      </c>
      <c r="D37">
        <v>7.2</v>
      </c>
      <c r="E37" s="3">
        <f t="shared" si="3"/>
        <v>0.10311577354255611</v>
      </c>
      <c r="F37" s="4">
        <f t="shared" si="1"/>
        <v>737.91780890134066</v>
      </c>
    </row>
    <row r="38" spans="1:7">
      <c r="A38" s="7">
        <v>42875</v>
      </c>
      <c r="B38" s="1">
        <v>0.33333333333333331</v>
      </c>
      <c r="C38">
        <v>8070.6</v>
      </c>
      <c r="D38">
        <v>7.3</v>
      </c>
      <c r="E38" s="3">
        <f t="shared" si="3"/>
        <v>9.3023979787033528E-2</v>
      </c>
      <c r="F38" s="4">
        <f t="shared" si="1"/>
        <v>736.88844593827741</v>
      </c>
    </row>
    <row r="39" spans="1:7">
      <c r="A39" s="7">
        <v>42885</v>
      </c>
      <c r="B39" s="1">
        <v>0.33333333333333331</v>
      </c>
      <c r="C39">
        <v>8105.2</v>
      </c>
      <c r="D39">
        <v>7.4</v>
      </c>
      <c r="E39" s="3">
        <f t="shared" si="3"/>
        <v>9.0702341849584339E-2</v>
      </c>
      <c r="F39" s="4">
        <f t="shared" si="1"/>
        <v>736.65163886865753</v>
      </c>
    </row>
    <row r="40" spans="1:7">
      <c r="A40" s="7">
        <v>42896</v>
      </c>
      <c r="B40" s="1">
        <v>0.33333333333333331</v>
      </c>
      <c r="C40">
        <v>8102.6</v>
      </c>
      <c r="D40">
        <v>7.5</v>
      </c>
      <c r="E40" s="3">
        <f t="shared" si="3"/>
        <v>9.098043783480303E-2</v>
      </c>
      <c r="F40" s="4">
        <f t="shared" si="1"/>
        <v>736.68000465914986</v>
      </c>
    </row>
    <row r="41" spans="1:7">
      <c r="A41" s="7">
        <v>42906</v>
      </c>
      <c r="B41" s="1">
        <v>0.33333333333333331</v>
      </c>
      <c r="C41">
        <v>8070.6</v>
      </c>
      <c r="D41">
        <v>7.6</v>
      </c>
      <c r="E41" s="3">
        <f t="shared" si="3"/>
        <v>9.3313275187033529E-2</v>
      </c>
      <c r="F41" s="4">
        <f t="shared" si="1"/>
        <v>736.91795406907738</v>
      </c>
    </row>
    <row r="42" spans="1:7">
      <c r="A42" s="7">
        <v>42926</v>
      </c>
      <c r="B42" s="1">
        <v>0.33333333333333331</v>
      </c>
      <c r="C42">
        <v>8090.5</v>
      </c>
      <c r="D42">
        <v>8</v>
      </c>
      <c r="E42" s="3">
        <f t="shared" si="3"/>
        <v>9.230812053894219E-2</v>
      </c>
      <c r="F42" s="4">
        <f t="shared" si="1"/>
        <v>736.81542829497209</v>
      </c>
    </row>
    <row r="43" spans="1:7">
      <c r="A43" s="7">
        <v>42936</v>
      </c>
      <c r="B43" s="1">
        <v>0.33333333333333331</v>
      </c>
      <c r="C43">
        <v>8101.3</v>
      </c>
      <c r="D43">
        <v>8</v>
      </c>
      <c r="E43" s="3">
        <f t="shared" si="3"/>
        <v>9.1553431393987833E-2</v>
      </c>
      <c r="F43" s="4">
        <f t="shared" si="1"/>
        <v>736.73845000218671</v>
      </c>
    </row>
    <row r="44" spans="1:7">
      <c r="A44" s="7">
        <v>42946</v>
      </c>
      <c r="B44" s="1">
        <v>0.33333333333333331</v>
      </c>
      <c r="C44">
        <v>8092.8</v>
      </c>
      <c r="D44">
        <v>8</v>
      </c>
      <c r="E44" s="3">
        <f t="shared" si="3"/>
        <v>9.2147390191363504E-2</v>
      </c>
      <c r="F44" s="4">
        <f t="shared" si="1"/>
        <v>736.79903379951907</v>
      </c>
    </row>
    <row r="45" spans="1:7">
      <c r="A45" s="7">
        <v>42957</v>
      </c>
      <c r="B45" s="1">
        <v>0.33333333333333331</v>
      </c>
      <c r="C45">
        <v>8078.7</v>
      </c>
      <c r="D45">
        <v>8.1</v>
      </c>
      <c r="E45" s="3">
        <f t="shared" si="3"/>
        <v>9.3229249849315909E-2</v>
      </c>
      <c r="F45" s="4">
        <f t="shared" si="1"/>
        <v>736.90938348463021</v>
      </c>
    </row>
    <row r="46" spans="1:7">
      <c r="A46" s="7">
        <v>42967</v>
      </c>
      <c r="B46" s="1">
        <v>0.33333333333333331</v>
      </c>
      <c r="C46">
        <v>8099.2</v>
      </c>
      <c r="D46">
        <v>8.6</v>
      </c>
      <c r="E46" s="3">
        <f t="shared" si="3"/>
        <v>9.2278758417078638E-2</v>
      </c>
      <c r="F46" s="4">
        <f t="shared" si="1"/>
        <v>736.81243335854197</v>
      </c>
    </row>
    <row r="47" spans="1:7">
      <c r="A47" s="7">
        <v>42977</v>
      </c>
      <c r="B47" s="1">
        <v>0.33333333333333331</v>
      </c>
      <c r="C47">
        <v>8080.4</v>
      </c>
      <c r="D47">
        <v>8.9</v>
      </c>
      <c r="E47" s="3">
        <f t="shared" si="3"/>
        <v>9.3881883542852734E-2</v>
      </c>
      <c r="F47" s="4">
        <f t="shared" si="1"/>
        <v>736.97595212137094</v>
      </c>
    </row>
    <row r="48" spans="1:7">
      <c r="A48" s="7">
        <v>42988</v>
      </c>
      <c r="B48" s="1">
        <v>0.33333333333333331</v>
      </c>
      <c r="C48">
        <v>8083.6</v>
      </c>
      <c r="D48">
        <v>9.1999999999999993</v>
      </c>
      <c r="E48" s="3">
        <f t="shared" si="3"/>
        <v>9.3947524064951965E-2</v>
      </c>
      <c r="F48" s="4">
        <f t="shared" si="1"/>
        <v>736.98264745462507</v>
      </c>
    </row>
    <row r="49" spans="1:6">
      <c r="A49" s="7">
        <v>42998</v>
      </c>
      <c r="B49" s="1">
        <v>0.33333333333333331</v>
      </c>
      <c r="C49">
        <v>8089.9</v>
      </c>
      <c r="D49">
        <v>9.1</v>
      </c>
      <c r="E49" s="3">
        <f t="shared" si="3"/>
        <v>9.3410800841349173E-2</v>
      </c>
      <c r="F49" s="4">
        <f t="shared" si="1"/>
        <v>736.92790168581757</v>
      </c>
    </row>
    <row r="50" spans="1:6">
      <c r="A50" s="7">
        <v>43008</v>
      </c>
      <c r="B50" s="1">
        <v>0.33333333333333331</v>
      </c>
      <c r="C50">
        <v>8103.4</v>
      </c>
      <c r="D50">
        <v>9.6999999999999993</v>
      </c>
      <c r="E50" s="3">
        <f t="shared" si="3"/>
        <v>9.3046040061862401E-2</v>
      </c>
      <c r="F50" s="4">
        <f t="shared" si="1"/>
        <v>736.89069608630996</v>
      </c>
    </row>
    <row r="51" spans="1:6">
      <c r="A51" s="7">
        <v>43018</v>
      </c>
      <c r="B51" s="1">
        <v>0.33333333333333331</v>
      </c>
      <c r="C51">
        <v>8094.7</v>
      </c>
      <c r="D51">
        <v>9.6</v>
      </c>
      <c r="E51" s="3">
        <f t="shared" si="3"/>
        <v>9.3557525630013516E-2</v>
      </c>
      <c r="F51" s="4">
        <f t="shared" si="1"/>
        <v>736.94286761426133</v>
      </c>
    </row>
    <row r="52" spans="1:6">
      <c r="A52" s="7">
        <v>43230</v>
      </c>
      <c r="B52" s="1">
        <v>0.33333333333333331</v>
      </c>
      <c r="C52">
        <v>8087.1</v>
      </c>
      <c r="D52">
        <v>8</v>
      </c>
      <c r="E52" s="3">
        <f t="shared" si="3"/>
        <v>9.2545731350766686E-2</v>
      </c>
      <c r="F52" s="4">
        <f t="shared" si="1"/>
        <v>736.83966459777821</v>
      </c>
    </row>
    <row r="53" spans="1:6">
      <c r="A53" s="7">
        <v>43240</v>
      </c>
      <c r="B53" s="1">
        <v>0.33333333333333331</v>
      </c>
      <c r="C53">
        <v>8095.4</v>
      </c>
      <c r="D53">
        <v>8.3000000000000007</v>
      </c>
      <c r="E53" s="3">
        <f t="shared" si="3"/>
        <v>9.2254996613900769E-2</v>
      </c>
      <c r="F53" s="4">
        <f t="shared" si="1"/>
        <v>736.81000965461783</v>
      </c>
    </row>
    <row r="54" spans="1:6">
      <c r="A54" s="7">
        <v>43250</v>
      </c>
      <c r="B54" s="1">
        <v>0.33333333333333331</v>
      </c>
      <c r="C54">
        <v>8081.6</v>
      </c>
      <c r="D54">
        <v>8</v>
      </c>
      <c r="E54" s="3">
        <f t="shared" si="3"/>
        <v>9.2930125596030283E-2</v>
      </c>
      <c r="F54" s="4">
        <f t="shared" si="1"/>
        <v>736.87887281079509</v>
      </c>
    </row>
    <row r="55" spans="1:6">
      <c r="A55" s="7">
        <v>43261</v>
      </c>
      <c r="B55" s="1">
        <v>0.33333333333333331</v>
      </c>
      <c r="C55">
        <v>8018.3</v>
      </c>
      <c r="D55">
        <v>8.1</v>
      </c>
      <c r="E55" s="3">
        <f t="shared" si="3"/>
        <v>9.7452704454080608E-2</v>
      </c>
      <c r="F55" s="4">
        <f t="shared" si="1"/>
        <v>737.34017585431616</v>
      </c>
    </row>
    <row r="56" spans="1:6">
      <c r="A56" s="7">
        <v>43271</v>
      </c>
      <c r="B56" s="1">
        <v>0.33333333333333331</v>
      </c>
      <c r="C56">
        <v>7830.3</v>
      </c>
      <c r="D56">
        <v>8.1</v>
      </c>
      <c r="E56" s="3">
        <f t="shared" si="3"/>
        <v>0.11062127588273343</v>
      </c>
      <c r="F56" s="4">
        <f t="shared" si="1"/>
        <v>738.68337014003873</v>
      </c>
    </row>
    <row r="57" spans="1:6">
      <c r="A57" s="7">
        <v>43281</v>
      </c>
      <c r="B57" s="1">
        <v>0.33333333333333331</v>
      </c>
      <c r="C57">
        <v>7914.4</v>
      </c>
      <c r="D57">
        <v>8</v>
      </c>
      <c r="E57" s="3">
        <f t="shared" si="3"/>
        <v>0.10462975866910559</v>
      </c>
      <c r="F57" s="4">
        <f t="shared" si="1"/>
        <v>738.07223538424876</v>
      </c>
    </row>
    <row r="58" spans="1:6">
      <c r="A58" s="7">
        <v>43291</v>
      </c>
      <c r="B58" s="1">
        <v>0.33333333333333331</v>
      </c>
      <c r="C58">
        <v>8017.2</v>
      </c>
      <c r="D58">
        <v>7.9</v>
      </c>
      <c r="E58" s="3">
        <f t="shared" si="3"/>
        <v>9.7336790985699528E-2</v>
      </c>
      <c r="F58" s="4">
        <f t="shared" si="1"/>
        <v>737.32835268054134</v>
      </c>
    </row>
    <row r="59" spans="1:6">
      <c r="A59" s="7">
        <v>43301</v>
      </c>
      <c r="B59" s="1">
        <v>0.33333333333333331</v>
      </c>
      <c r="C59">
        <v>8024.9</v>
      </c>
      <c r="D59">
        <v>7.9</v>
      </c>
      <c r="E59" s="3">
        <f t="shared" si="3"/>
        <v>9.6798164788501173E-2</v>
      </c>
      <c r="F59" s="4">
        <f t="shared" si="1"/>
        <v>737.27341280842711</v>
      </c>
    </row>
    <row r="60" spans="1:6">
      <c r="A60" s="7">
        <v>43311</v>
      </c>
      <c r="B60" s="1">
        <v>0.33333333333333331</v>
      </c>
      <c r="C60">
        <v>8023.9</v>
      </c>
      <c r="D60">
        <v>7.7</v>
      </c>
      <c r="E60" s="3">
        <f t="shared" si="3"/>
        <v>9.6675249383105982E-2</v>
      </c>
      <c r="F60" s="4">
        <f t="shared" si="1"/>
        <v>737.26087543707683</v>
      </c>
    </row>
    <row r="61" spans="1:6">
      <c r="A61" s="7">
        <v>43322</v>
      </c>
      <c r="B61" s="1">
        <v>0.33333333333333331</v>
      </c>
      <c r="C61">
        <v>7985.1</v>
      </c>
      <c r="D61">
        <v>7.9</v>
      </c>
      <c r="E61" s="3">
        <f t="shared" si="3"/>
        <v>9.9582854212709127E-2</v>
      </c>
      <c r="F61" s="4">
        <f t="shared" si="1"/>
        <v>737.55745112969635</v>
      </c>
    </row>
    <row r="62" spans="1:6">
      <c r="A62" s="7">
        <v>43332</v>
      </c>
      <c r="B62" s="1">
        <v>0.33333333333333331</v>
      </c>
      <c r="C62">
        <v>8017</v>
      </c>
      <c r="D62">
        <v>7.8</v>
      </c>
      <c r="E62" s="3">
        <f t="shared" ref="E62:E79" si="4">($B$2*C62^2+$B$3*C62+$B$4)-$B$5*D62-$E$7</f>
        <v>9.7254350245212118E-2</v>
      </c>
      <c r="F62" s="4">
        <f t="shared" ref="F62:F79" si="5">$D$1+102*E62</f>
        <v>737.31994372501163</v>
      </c>
    </row>
    <row r="63" spans="1:6">
      <c r="A63" s="7">
        <v>43342</v>
      </c>
      <c r="B63" s="1">
        <v>0.33333333333333331</v>
      </c>
      <c r="C63">
        <v>8001.3</v>
      </c>
      <c r="D63">
        <v>7.8</v>
      </c>
      <c r="E63" s="3">
        <f t="shared" si="4"/>
        <v>9.8352769862947831E-2</v>
      </c>
      <c r="F63" s="4">
        <f t="shared" si="5"/>
        <v>737.43198252602065</v>
      </c>
    </row>
    <row r="64" spans="1:6">
      <c r="A64" s="7">
        <v>43353</v>
      </c>
      <c r="B64" s="1">
        <v>0.33333333333333331</v>
      </c>
      <c r="C64">
        <v>7829.5</v>
      </c>
      <c r="D64">
        <v>8</v>
      </c>
      <c r="E64" s="3">
        <f t="shared" si="4"/>
        <v>0.1105809540384621</v>
      </c>
      <c r="F64" s="4">
        <f t="shared" si="5"/>
        <v>738.67925731192315</v>
      </c>
    </row>
    <row r="65" spans="1:6">
      <c r="A65" s="7">
        <v>43363</v>
      </c>
      <c r="B65" s="1">
        <v>0.33333333333333331</v>
      </c>
      <c r="C65">
        <v>7966.5</v>
      </c>
      <c r="D65">
        <v>8</v>
      </c>
      <c r="E65" s="3">
        <f t="shared" si="4"/>
        <v>0.10098120199267011</v>
      </c>
      <c r="F65" s="4">
        <f t="shared" si="5"/>
        <v>737.70008260325233</v>
      </c>
    </row>
    <row r="66" spans="1:6">
      <c r="A66" s="7">
        <v>43373</v>
      </c>
      <c r="B66" s="1">
        <v>0.33333333333333331</v>
      </c>
      <c r="C66">
        <v>7978.2</v>
      </c>
      <c r="D66">
        <v>7.8</v>
      </c>
      <c r="E66" s="3">
        <f t="shared" si="4"/>
        <v>9.9969351968517084E-2</v>
      </c>
      <c r="F66" s="4">
        <f t="shared" si="5"/>
        <v>737.59687390078875</v>
      </c>
    </row>
    <row r="67" spans="1:6">
      <c r="A67" s="7">
        <v>43383</v>
      </c>
      <c r="B67" s="1">
        <v>0.33333333333333331</v>
      </c>
      <c r="C67">
        <v>7981.7</v>
      </c>
      <c r="D67">
        <v>7.7</v>
      </c>
      <c r="E67" s="3">
        <f t="shared" si="4"/>
        <v>9.9627950111680658E-2</v>
      </c>
      <c r="F67" s="4">
        <f t="shared" si="5"/>
        <v>737.56205091139145</v>
      </c>
    </row>
    <row r="68" spans="1:6">
      <c r="A68" s="7">
        <v>43393</v>
      </c>
      <c r="B68" s="1">
        <v>0.33333333333333331</v>
      </c>
      <c r="C68">
        <v>7987.6</v>
      </c>
      <c r="D68">
        <v>7.4</v>
      </c>
      <c r="E68" s="3">
        <f t="shared" si="4"/>
        <v>9.8925732168811148E-2</v>
      </c>
      <c r="F68" s="4">
        <f t="shared" si="5"/>
        <v>737.49042468121877</v>
      </c>
    </row>
    <row r="69" spans="1:6">
      <c r="A69" s="32">
        <v>43605</v>
      </c>
      <c r="B69" s="1">
        <v>0.33333333333333331</v>
      </c>
      <c r="C69">
        <v>7992.5</v>
      </c>
      <c r="D69">
        <v>6.7</v>
      </c>
      <c r="E69" s="3">
        <f t="shared" si="4"/>
        <v>9.7907799643406068E-2</v>
      </c>
      <c r="F69" s="4">
        <f t="shared" si="5"/>
        <v>737.38659556362745</v>
      </c>
    </row>
    <row r="70" spans="1:6">
      <c r="A70" s="32">
        <v>43615</v>
      </c>
      <c r="B70" s="1">
        <v>0.33333333333333331</v>
      </c>
      <c r="C70">
        <v>7993.2</v>
      </c>
      <c r="D70">
        <v>6.8</v>
      </c>
      <c r="E70" s="3">
        <f t="shared" si="4"/>
        <v>9.7955246218301067E-2</v>
      </c>
      <c r="F70" s="4">
        <f t="shared" si="5"/>
        <v>737.39143511426664</v>
      </c>
    </row>
    <row r="71" spans="1:6">
      <c r="A71" s="32">
        <v>43626</v>
      </c>
      <c r="B71" s="1">
        <v>0.33333333333333331</v>
      </c>
      <c r="C71">
        <v>7995.3</v>
      </c>
      <c r="D71">
        <v>7.1</v>
      </c>
      <c r="E71" s="3">
        <f t="shared" si="4"/>
        <v>9.8097588803629482E-2</v>
      </c>
      <c r="F71" s="4">
        <f t="shared" si="5"/>
        <v>737.40595405797023</v>
      </c>
    </row>
    <row r="72" spans="1:6">
      <c r="A72" s="32">
        <v>43636</v>
      </c>
      <c r="B72" s="1">
        <v>0.33333333333333331</v>
      </c>
      <c r="C72">
        <v>7997.1</v>
      </c>
      <c r="D72">
        <v>7.4</v>
      </c>
      <c r="E72" s="3">
        <f t="shared" si="4"/>
        <v>9.8260928063454739E-2</v>
      </c>
      <c r="F72" s="4">
        <f t="shared" si="5"/>
        <v>737.42261466247237</v>
      </c>
    </row>
    <row r="73" spans="1:6">
      <c r="A73" s="7">
        <v>43646</v>
      </c>
      <c r="B73" s="1">
        <v>0.33333333333333331</v>
      </c>
      <c r="C73">
        <v>7999.2</v>
      </c>
      <c r="D73">
        <v>7.4</v>
      </c>
      <c r="E73" s="3">
        <f t="shared" si="4"/>
        <v>9.8113983217718664E-2</v>
      </c>
      <c r="F73" s="4">
        <f t="shared" si="5"/>
        <v>737.40762628820733</v>
      </c>
    </row>
    <row r="74" spans="1:6">
      <c r="A74" s="7">
        <v>43656</v>
      </c>
      <c r="B74" s="1">
        <v>0.33333333333333331</v>
      </c>
      <c r="C74">
        <v>7990.3</v>
      </c>
      <c r="D74">
        <v>7.4</v>
      </c>
      <c r="E74" s="3">
        <f t="shared" si="4"/>
        <v>9.8736778911917428E-2</v>
      </c>
      <c r="F74" s="4">
        <f t="shared" si="5"/>
        <v>737.47115144901557</v>
      </c>
    </row>
    <row r="75" spans="1:6">
      <c r="A75" s="7">
        <v>43666</v>
      </c>
      <c r="B75" s="1">
        <v>0.33333333333333331</v>
      </c>
      <c r="C75">
        <v>7985.1</v>
      </c>
      <c r="D75">
        <v>7.5</v>
      </c>
      <c r="E75" s="3">
        <f t="shared" si="4"/>
        <v>9.9197127012709108E-2</v>
      </c>
      <c r="F75" s="4">
        <f t="shared" si="5"/>
        <v>737.51810695529628</v>
      </c>
    </row>
    <row r="76" spans="1:6">
      <c r="A76" s="7">
        <v>43676</v>
      </c>
      <c r="B76" s="1">
        <v>0.33333333333333331</v>
      </c>
      <c r="C76">
        <v>7971.3</v>
      </c>
      <c r="D76">
        <v>7.6</v>
      </c>
      <c r="E76" s="3">
        <f t="shared" si="4"/>
        <v>0.10025946424923587</v>
      </c>
      <c r="F76" s="4">
        <f t="shared" si="5"/>
        <v>737.62646535342208</v>
      </c>
    </row>
    <row r="77" spans="1:6">
      <c r="A77" s="7">
        <v>43687</v>
      </c>
      <c r="B77" s="1">
        <v>0.33333333333333331</v>
      </c>
      <c r="C77">
        <v>7927.2</v>
      </c>
      <c r="D77">
        <v>7.6</v>
      </c>
      <c r="E77" s="3">
        <f t="shared" si="4"/>
        <v>0.10334740429171557</v>
      </c>
      <c r="F77" s="4">
        <f t="shared" si="5"/>
        <v>737.94143523775494</v>
      </c>
    </row>
    <row r="78" spans="1:6">
      <c r="A78" s="7">
        <v>43697</v>
      </c>
      <c r="B78" s="1">
        <v>0.33333333333333331</v>
      </c>
      <c r="C78">
        <v>7885.1</v>
      </c>
      <c r="D78">
        <v>7.6</v>
      </c>
      <c r="E78" s="3">
        <f t="shared" si="4"/>
        <v>0.10629706723462912</v>
      </c>
      <c r="F78" s="4">
        <f t="shared" si="5"/>
        <v>738.24230085793215</v>
      </c>
    </row>
    <row r="79" spans="1:6">
      <c r="A79" s="7">
        <v>43707</v>
      </c>
      <c r="B79" s="1">
        <v>0.33333333333333331</v>
      </c>
      <c r="C79">
        <v>7852.4</v>
      </c>
      <c r="D79">
        <v>7.6</v>
      </c>
      <c r="E79" s="3">
        <f t="shared" si="4"/>
        <v>0.10858932557053907</v>
      </c>
      <c r="F79" s="4">
        <f t="shared" si="5"/>
        <v>738.47611120819499</v>
      </c>
    </row>
  </sheetData>
  <phoneticPr fontId="4" type="noConversion"/>
  <pageMargins left="0.69930555555555596" right="0.69930555555555596" top="0.75" bottom="0.75" header="0.3" footer="0.3"/>
  <pageSetup paperSize="9" orientation="portrait" verticalDpi="0" r:id="rId1"/>
  <drawing r:id="rId2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workbookViewId="0">
      <selection activeCell="B2" sqref="B2"/>
    </sheetView>
  </sheetViews>
  <sheetFormatPr defaultColWidth="9" defaultRowHeight="13.5"/>
  <cols>
    <col min="1" max="1" width="11.625" customWidth="1"/>
    <col min="2" max="2" width="13.875" customWidth="1"/>
  </cols>
  <sheetData>
    <row r="1" spans="1:7">
      <c r="A1" t="s">
        <v>0</v>
      </c>
      <c r="B1">
        <v>11261</v>
      </c>
      <c r="C1" t="s">
        <v>45</v>
      </c>
      <c r="D1">
        <v>717.4</v>
      </c>
    </row>
    <row r="2" spans="1:7">
      <c r="A2" t="s">
        <v>2</v>
      </c>
      <c r="B2" s="35">
        <f>3.42624*10^(-10)</f>
        <v>3.4262399999999998E-10</v>
      </c>
    </row>
    <row r="3" spans="1:7">
      <c r="A3" t="s">
        <v>3</v>
      </c>
      <c r="B3">
        <f>-0.000154549</f>
        <v>-1.54549E-4</v>
      </c>
    </row>
    <row r="4" spans="1:7">
      <c r="A4" t="s">
        <v>4</v>
      </c>
      <c r="B4">
        <f>1.49236591</f>
        <v>1.49236591</v>
      </c>
    </row>
    <row r="5" spans="1:7">
      <c r="A5" t="s">
        <v>5</v>
      </c>
      <c r="B5">
        <f>-0.002721116</f>
        <v>-2.721116E-3</v>
      </c>
    </row>
    <row r="6" spans="1:7">
      <c r="A6" t="s">
        <v>6</v>
      </c>
      <c r="B6" t="s">
        <v>7</v>
      </c>
      <c r="C6" t="s">
        <v>8</v>
      </c>
      <c r="D6" t="s">
        <v>9</v>
      </c>
      <c r="E6" t="s">
        <v>10</v>
      </c>
      <c r="F6" t="s">
        <v>11</v>
      </c>
      <c r="G6" t="s">
        <v>12</v>
      </c>
    </row>
    <row r="7" spans="1:7">
      <c r="A7" s="7">
        <v>42262</v>
      </c>
      <c r="B7" s="1">
        <v>0.375</v>
      </c>
      <c r="C7" s="2">
        <v>9829.1</v>
      </c>
      <c r="D7" s="2">
        <v>21.5</v>
      </c>
      <c r="E7" s="3">
        <f>($B$2*C7^2+$B$3*C7+$B$4)-$B$5*D7</f>
        <v>6.4893646222069223E-2</v>
      </c>
      <c r="G7" t="s">
        <v>13</v>
      </c>
    </row>
    <row r="8" spans="1:7">
      <c r="A8" s="7">
        <v>42263</v>
      </c>
      <c r="B8" s="1">
        <v>0.39583333333333298</v>
      </c>
      <c r="C8" s="2">
        <v>8903.7000000000007</v>
      </c>
      <c r="D8" s="2">
        <v>7.4</v>
      </c>
      <c r="E8" s="3">
        <f>($B$2*C8^2+$B$3*C8+$B$4)-$B$5*D8-$E$7</f>
        <v>9.8712407825093218E-2</v>
      </c>
      <c r="F8" s="4">
        <f>$D$1+102*E8</f>
        <v>727.46866559815953</v>
      </c>
      <c r="G8" t="s">
        <v>17</v>
      </c>
    </row>
    <row r="9" spans="1:7">
      <c r="A9" s="7">
        <v>42264</v>
      </c>
      <c r="B9" s="1">
        <v>0.33333333333333298</v>
      </c>
      <c r="C9" s="2">
        <v>8883.6</v>
      </c>
      <c r="D9" s="2">
        <v>8.1</v>
      </c>
      <c r="E9" s="3">
        <f t="shared" ref="E9:E18" si="0">($B$2*C9^2+$B$3*C9+$B$4)-$B$5*D9-$E$7</f>
        <v>0.10360112737200181</v>
      </c>
      <c r="F9" s="4">
        <f t="shared" ref="F9:F51" si="1">$D$1+102*E9</f>
        <v>727.96731499194414</v>
      </c>
      <c r="G9" t="s">
        <v>14</v>
      </c>
    </row>
    <row r="10" spans="1:7">
      <c r="A10" s="7">
        <v>42265</v>
      </c>
      <c r="B10" s="1">
        <v>0.33333333333333298</v>
      </c>
      <c r="C10" s="2">
        <v>8876.9</v>
      </c>
      <c r="D10" s="2">
        <v>7.4</v>
      </c>
      <c r="E10" s="3">
        <f t="shared" si="0"/>
        <v>0.10269105380920346</v>
      </c>
      <c r="F10" s="4">
        <f t="shared" si="1"/>
        <v>727.87448748853876</v>
      </c>
    </row>
    <row r="11" spans="1:7">
      <c r="A11" s="7">
        <v>42266</v>
      </c>
      <c r="B11" s="1">
        <v>0.33333333333333298</v>
      </c>
      <c r="C11" s="2">
        <v>8881.4</v>
      </c>
      <c r="D11" s="2">
        <v>7.2</v>
      </c>
      <c r="E11" s="3">
        <f t="shared" si="0"/>
        <v>0.10147873999820975</v>
      </c>
      <c r="F11" s="4">
        <f t="shared" si="1"/>
        <v>727.75083147981741</v>
      </c>
    </row>
    <row r="12" spans="1:7">
      <c r="A12" s="7">
        <v>42267</v>
      </c>
      <c r="B12" s="1">
        <v>0.33333333333333298</v>
      </c>
      <c r="C12" s="2">
        <v>8884.2999999999993</v>
      </c>
      <c r="D12" s="2">
        <v>7.2</v>
      </c>
      <c r="E12" s="3">
        <f t="shared" si="0"/>
        <v>0.10104820006828061</v>
      </c>
      <c r="F12" s="4">
        <f t="shared" si="1"/>
        <v>727.70691640696464</v>
      </c>
    </row>
    <row r="13" spans="1:7">
      <c r="A13" s="7">
        <v>42268</v>
      </c>
      <c r="B13" s="1">
        <v>0.33333333333333298</v>
      </c>
      <c r="C13" s="2">
        <v>8886.2999999999993</v>
      </c>
      <c r="D13" s="2">
        <v>7.9</v>
      </c>
      <c r="E13" s="3">
        <f t="shared" si="0"/>
        <v>0.10265606053638937</v>
      </c>
      <c r="F13" s="4">
        <f t="shared" si="1"/>
        <v>727.87091817471173</v>
      </c>
    </row>
    <row r="14" spans="1:7">
      <c r="A14" s="7">
        <v>42269</v>
      </c>
      <c r="B14" s="1">
        <v>0.33333333333333298</v>
      </c>
      <c r="C14" s="2">
        <v>8884.7999999999993</v>
      </c>
      <c r="D14" s="2">
        <v>7.6</v>
      </c>
      <c r="E14" s="3">
        <f t="shared" si="0"/>
        <v>0.10206241602833979</v>
      </c>
      <c r="F14" s="4">
        <f t="shared" si="1"/>
        <v>727.81036643489062</v>
      </c>
    </row>
    <row r="15" spans="1:7">
      <c r="A15" s="7">
        <v>42270</v>
      </c>
      <c r="B15" s="1">
        <v>0.33333333333333298</v>
      </c>
      <c r="C15" s="2">
        <v>8881.5</v>
      </c>
      <c r="D15" s="2">
        <v>7.2</v>
      </c>
      <c r="E15" s="3">
        <f t="shared" si="0"/>
        <v>0.10146389369779471</v>
      </c>
      <c r="F15" s="4">
        <f t="shared" si="1"/>
        <v>727.74931715717503</v>
      </c>
    </row>
    <row r="16" spans="1:7">
      <c r="A16" s="7">
        <v>42273</v>
      </c>
      <c r="B16" s="1">
        <v>0.33333333333333298</v>
      </c>
      <c r="C16" s="2">
        <v>8867.4</v>
      </c>
      <c r="D16" s="2">
        <v>7.6</v>
      </c>
      <c r="E16" s="3">
        <f t="shared" si="0"/>
        <v>0.10464573609029296</v>
      </c>
      <c r="F16" s="4">
        <f t="shared" si="1"/>
        <v>728.07386508120987</v>
      </c>
    </row>
    <row r="17" spans="1:6">
      <c r="A17" s="7">
        <v>42280</v>
      </c>
      <c r="B17" s="1">
        <v>0.33333333333333298</v>
      </c>
      <c r="C17" s="2">
        <v>8878.9</v>
      </c>
      <c r="D17" s="2">
        <v>7.1</v>
      </c>
      <c r="E17" s="3">
        <f t="shared" si="0"/>
        <v>0.10157778813564183</v>
      </c>
      <c r="F17" s="4">
        <f t="shared" si="1"/>
        <v>727.76093438983548</v>
      </c>
    </row>
    <row r="18" spans="1:6">
      <c r="A18" s="7">
        <v>42287</v>
      </c>
      <c r="B18" s="1">
        <v>0.33333333333333298</v>
      </c>
      <c r="C18" s="2">
        <v>8851.1</v>
      </c>
      <c r="D18" s="2">
        <v>8.1</v>
      </c>
      <c r="E18" s="3">
        <f t="shared" si="0"/>
        <v>0.10842648902178578</v>
      </c>
      <c r="F18" s="4">
        <f t="shared" si="1"/>
        <v>728.45950188022209</v>
      </c>
    </row>
    <row r="19" spans="1:6">
      <c r="A19" s="7">
        <v>42294</v>
      </c>
      <c r="B19" s="9">
        <v>0.33333333333333298</v>
      </c>
      <c r="C19" s="2">
        <v>8821.1</v>
      </c>
      <c r="D19" s="2">
        <v>7.2</v>
      </c>
      <c r="E19" s="3">
        <f t="shared" ref="E19:E25" si="2">($B$2*C19^2+$B$3*C19+$B$4)-$B$5*D19-$E$7</f>
        <v>0.11043230702620163</v>
      </c>
      <c r="F19" s="4">
        <f t="shared" si="1"/>
        <v>728.6640953166725</v>
      </c>
    </row>
    <row r="20" spans="1:6">
      <c r="A20" s="7">
        <v>42301</v>
      </c>
      <c r="B20" s="9">
        <v>0.33333333333333298</v>
      </c>
      <c r="C20" s="2">
        <v>8819.2000000000007</v>
      </c>
      <c r="D20" s="2">
        <v>7.3</v>
      </c>
      <c r="E20" s="3">
        <f t="shared" si="2"/>
        <v>0.11098657814492199</v>
      </c>
      <c r="F20" s="4">
        <f t="shared" si="1"/>
        <v>728.72063097078205</v>
      </c>
    </row>
    <row r="21" spans="1:6">
      <c r="A21" s="7">
        <v>42485</v>
      </c>
      <c r="B21" s="9">
        <v>0.33333333333333298</v>
      </c>
      <c r="C21">
        <v>8814.5</v>
      </c>
      <c r="D21">
        <v>8.9</v>
      </c>
      <c r="E21" s="3">
        <f t="shared" si="2"/>
        <v>0.11603834791942672</v>
      </c>
      <c r="F21" s="4">
        <f t="shared" si="1"/>
        <v>729.23591148778155</v>
      </c>
    </row>
    <row r="22" spans="1:6">
      <c r="A22" s="7">
        <v>42506</v>
      </c>
      <c r="B22" s="1">
        <v>0.33333333333333298</v>
      </c>
      <c r="C22">
        <v>8845.7000000000007</v>
      </c>
      <c r="D22">
        <v>8.4</v>
      </c>
      <c r="E22" s="3">
        <f t="shared" si="2"/>
        <v>0.11004464634040836</v>
      </c>
      <c r="F22" s="4">
        <f t="shared" si="1"/>
        <v>728.62455392672166</v>
      </c>
    </row>
    <row r="23" spans="1:6">
      <c r="A23" s="7">
        <v>42520</v>
      </c>
      <c r="B23" s="1">
        <v>0.33333333333333298</v>
      </c>
      <c r="C23">
        <v>8890.1</v>
      </c>
      <c r="D23">
        <v>9.1</v>
      </c>
      <c r="E23" s="3">
        <f t="shared" si="2"/>
        <v>0.10535725789722894</v>
      </c>
      <c r="F23" s="4">
        <f t="shared" si="1"/>
        <v>728.14644030551733</v>
      </c>
    </row>
    <row r="24" spans="1:6">
      <c r="A24" s="6">
        <v>42528</v>
      </c>
      <c r="B24" s="1">
        <v>0.33333333333333298</v>
      </c>
      <c r="C24">
        <v>8805.4</v>
      </c>
      <c r="D24">
        <v>8.1</v>
      </c>
      <c r="E24" s="3">
        <f t="shared" si="2"/>
        <v>0.11521291431380667</v>
      </c>
      <c r="F24" s="4">
        <f t="shared" si="1"/>
        <v>729.15171726000824</v>
      </c>
    </row>
    <row r="25" spans="1:6">
      <c r="A25" s="6">
        <v>42544</v>
      </c>
      <c r="B25" s="1">
        <v>0.33333333333333298</v>
      </c>
      <c r="C25">
        <v>8736.4</v>
      </c>
      <c r="D25">
        <v>7.9</v>
      </c>
      <c r="E25" s="3">
        <f t="shared" si="2"/>
        <v>0.12491786543766575</v>
      </c>
      <c r="F25" s="4">
        <f t="shared" si="1"/>
        <v>730.14162227464192</v>
      </c>
    </row>
    <row r="26" spans="1:6">
      <c r="A26" s="7">
        <v>42551</v>
      </c>
      <c r="B26" s="1">
        <v>0.33333333333333298</v>
      </c>
      <c r="C26">
        <v>8798.1</v>
      </c>
      <c r="D26">
        <v>7.9</v>
      </c>
      <c r="E26" s="3">
        <f>($B$2*C26^2+$B$3*C26+$B$4)-$B$5*D26-$E$7</f>
        <v>0.11575286972824333</v>
      </c>
      <c r="F26" s="4">
        <f t="shared" si="1"/>
        <v>729.20679271228084</v>
      </c>
    </row>
    <row r="27" spans="1:6">
      <c r="A27" s="7">
        <v>42561</v>
      </c>
      <c r="B27" s="9">
        <v>0.33333333333333298</v>
      </c>
      <c r="C27">
        <v>8771.4</v>
      </c>
      <c r="D27">
        <v>7.9</v>
      </c>
      <c r="E27" s="3">
        <f>($B$2*C27^2+$B$3*C27+$B$4)-$B$5*D27-$E$7</f>
        <v>0.11971860117401795</v>
      </c>
      <c r="F27" s="4">
        <f t="shared" si="1"/>
        <v>729.61129731974984</v>
      </c>
    </row>
    <row r="28" spans="1:6">
      <c r="A28" s="7">
        <v>42571</v>
      </c>
      <c r="B28" s="1">
        <v>0.33333333333333298</v>
      </c>
      <c r="C28">
        <v>8767.5</v>
      </c>
      <c r="D28">
        <v>7.5</v>
      </c>
      <c r="E28" s="3">
        <f>($B$2*C28^2+$B$3*C28+$B$4)-$B$5*D28-$E$7</f>
        <v>0.11920945980653064</v>
      </c>
      <c r="F28" s="4">
        <f t="shared" si="1"/>
        <v>729.55936490026613</v>
      </c>
    </row>
    <row r="29" spans="1:6">
      <c r="A29" s="7">
        <v>42581</v>
      </c>
      <c r="B29" s="9">
        <v>0.33333333333333298</v>
      </c>
      <c r="C29">
        <v>8807.2999999999993</v>
      </c>
      <c r="D29">
        <v>7.8</v>
      </c>
      <c r="E29" s="3">
        <f>($B$2*C29^2+$B$3*C29+$B$4)-$B$5*D29-$E$7</f>
        <v>0.1141144020278837</v>
      </c>
      <c r="F29" s="4">
        <f t="shared" si="1"/>
        <v>729.03966900684406</v>
      </c>
    </row>
    <row r="30" spans="1:6">
      <c r="A30" s="7">
        <v>42592</v>
      </c>
      <c r="B30" s="1">
        <v>0.33333333333333298</v>
      </c>
      <c r="C30">
        <v>8769.9</v>
      </c>
      <c r="D30">
        <v>7.8</v>
      </c>
      <c r="E30" s="3">
        <f t="shared" ref="E30:E51" si="3">($B$2*C30^2+$B$3*C30+$B$4)-$B$5*D30-$E$7</f>
        <v>0.11966929796846104</v>
      </c>
      <c r="F30" s="4">
        <f t="shared" si="1"/>
        <v>729.60626839278302</v>
      </c>
    </row>
    <row r="31" spans="1:6">
      <c r="A31" s="7">
        <v>42602</v>
      </c>
      <c r="B31" s="1">
        <v>0.33333333333333298</v>
      </c>
      <c r="C31">
        <v>8790.2999999999993</v>
      </c>
      <c r="D31">
        <v>7.8</v>
      </c>
      <c r="E31" s="3">
        <f t="shared" si="3"/>
        <v>0.116639235906143</v>
      </c>
      <c r="F31" s="4">
        <f t="shared" si="1"/>
        <v>729.29720206242655</v>
      </c>
    </row>
    <row r="32" spans="1:6">
      <c r="A32" s="7">
        <v>42612</v>
      </c>
      <c r="B32" s="1">
        <v>0.33333333333333298</v>
      </c>
      <c r="C32">
        <v>8789.1</v>
      </c>
      <c r="D32">
        <v>7.8</v>
      </c>
      <c r="E32" s="3">
        <f t="shared" si="3"/>
        <v>0.11681746695692796</v>
      </c>
      <c r="F32" s="4">
        <f t="shared" si="1"/>
        <v>729.31538162960658</v>
      </c>
    </row>
    <row r="33" spans="1:7">
      <c r="A33" s="7">
        <v>42623</v>
      </c>
      <c r="B33" s="1">
        <v>0.33333333333333298</v>
      </c>
      <c r="C33">
        <v>8788.2000000000007</v>
      </c>
      <c r="D33">
        <v>7.7</v>
      </c>
      <c r="E33" s="3">
        <f t="shared" si="3"/>
        <v>0.11667902929257654</v>
      </c>
      <c r="F33" s="4">
        <f t="shared" si="1"/>
        <v>729.30126098784274</v>
      </c>
    </row>
    <row r="34" spans="1:7">
      <c r="A34" s="7">
        <v>42633</v>
      </c>
      <c r="B34" s="1">
        <v>0.33333333333333331</v>
      </c>
      <c r="C34">
        <v>8727.2999999999993</v>
      </c>
      <c r="D34">
        <v>7.8</v>
      </c>
      <c r="E34" s="3">
        <f t="shared" si="3"/>
        <v>0.12599770004465172</v>
      </c>
      <c r="F34" s="4">
        <f t="shared" si="1"/>
        <v>730.25176540455448</v>
      </c>
    </row>
    <row r="35" spans="1:7">
      <c r="A35" s="7">
        <v>42653</v>
      </c>
      <c r="B35" s="1">
        <v>0.33333333333333331</v>
      </c>
      <c r="C35">
        <v>8402.1</v>
      </c>
      <c r="D35">
        <v>8</v>
      </c>
      <c r="E35" s="3">
        <f t="shared" si="3"/>
        <v>0.17489267760362245</v>
      </c>
      <c r="F35" s="4">
        <f t="shared" si="1"/>
        <v>735.2390531155695</v>
      </c>
      <c r="G35" t="s">
        <v>62</v>
      </c>
    </row>
    <row r="36" spans="1:7">
      <c r="A36" s="7">
        <v>42855</v>
      </c>
      <c r="B36" s="1">
        <v>0.33333333333333331</v>
      </c>
      <c r="C36">
        <v>8423.4</v>
      </c>
      <c r="D36">
        <v>8</v>
      </c>
      <c r="E36" s="3">
        <f t="shared" si="3"/>
        <v>0.17172357457200835</v>
      </c>
      <c r="F36" s="4">
        <f t="shared" si="1"/>
        <v>734.91580460634486</v>
      </c>
    </row>
    <row r="37" spans="1:7">
      <c r="A37" s="7">
        <v>42865</v>
      </c>
      <c r="B37" s="1">
        <v>0.33333333333333331</v>
      </c>
      <c r="C37">
        <v>8368.4</v>
      </c>
      <c r="D37">
        <v>8</v>
      </c>
      <c r="E37" s="3">
        <f t="shared" si="3"/>
        <v>0.17990733951943225</v>
      </c>
      <c r="F37" s="4">
        <f t="shared" si="1"/>
        <v>735.75054863098205</v>
      </c>
    </row>
    <row r="38" spans="1:7">
      <c r="A38" s="7">
        <v>42875</v>
      </c>
      <c r="B38" s="1">
        <v>0.33333333333333331</v>
      </c>
      <c r="C38">
        <v>8435.7000000000007</v>
      </c>
      <c r="D38">
        <v>7.9</v>
      </c>
      <c r="E38" s="3">
        <f t="shared" si="3"/>
        <v>0.16962155915903249</v>
      </c>
      <c r="F38" s="4">
        <f t="shared" si="1"/>
        <v>734.70139903422125</v>
      </c>
    </row>
    <row r="39" spans="1:7">
      <c r="A39" s="7">
        <v>42885</v>
      </c>
      <c r="B39" s="1">
        <v>0.33333333333333331</v>
      </c>
      <c r="C39">
        <v>8450</v>
      </c>
      <c r="D39">
        <v>7.9</v>
      </c>
      <c r="E39" s="3">
        <f t="shared" si="3"/>
        <v>0.16749424033793076</v>
      </c>
      <c r="F39" s="4">
        <f t="shared" si="1"/>
        <v>734.48441251446889</v>
      </c>
    </row>
    <row r="40" spans="1:7">
      <c r="A40" s="7">
        <v>42896</v>
      </c>
      <c r="B40" s="1">
        <v>0.33333333333333331</v>
      </c>
      <c r="C40">
        <v>8448.4</v>
      </c>
      <c r="D40">
        <v>7.8</v>
      </c>
      <c r="E40" s="3">
        <f t="shared" si="3"/>
        <v>0.16746014346208815</v>
      </c>
      <c r="F40" s="4">
        <f t="shared" si="1"/>
        <v>734.48093463313296</v>
      </c>
    </row>
    <row r="41" spans="1:7">
      <c r="A41" s="7">
        <v>42906</v>
      </c>
      <c r="B41" s="1">
        <v>0.33333333333333331</v>
      </c>
      <c r="C41">
        <v>8432.6</v>
      </c>
      <c r="D41">
        <v>7.8</v>
      </c>
      <c r="E41" s="3">
        <f t="shared" si="3"/>
        <v>0.16981063305733302</v>
      </c>
      <c r="F41" s="4">
        <f t="shared" si="1"/>
        <v>734.72068457184798</v>
      </c>
    </row>
    <row r="42" spans="1:7">
      <c r="A42" s="7">
        <v>42926</v>
      </c>
      <c r="B42" s="1">
        <v>0.33333333333333331</v>
      </c>
      <c r="C42">
        <v>8440.4</v>
      </c>
      <c r="D42">
        <v>7.8</v>
      </c>
      <c r="E42" s="3">
        <f t="shared" si="3"/>
        <v>0.16865024339639856</v>
      </c>
      <c r="F42" s="4">
        <f t="shared" si="1"/>
        <v>734.60232482643266</v>
      </c>
    </row>
    <row r="43" spans="1:7">
      <c r="A43" s="7">
        <v>42936</v>
      </c>
      <c r="B43" s="1">
        <v>0.33333333333333331</v>
      </c>
      <c r="C43">
        <v>8445.1</v>
      </c>
      <c r="D43">
        <v>7.8</v>
      </c>
      <c r="E43" s="3">
        <f t="shared" si="3"/>
        <v>0.16795105437089308</v>
      </c>
      <c r="F43" s="4">
        <f t="shared" si="1"/>
        <v>734.53100754583102</v>
      </c>
    </row>
    <row r="44" spans="1:7">
      <c r="A44" s="7">
        <v>42946</v>
      </c>
      <c r="B44" s="1">
        <v>0.33333333333333331</v>
      </c>
      <c r="C44">
        <v>8441.2000000000007</v>
      </c>
      <c r="D44">
        <v>7.9</v>
      </c>
      <c r="E44" s="3">
        <f t="shared" si="3"/>
        <v>0.16880334302945316</v>
      </c>
      <c r="F44" s="4">
        <f t="shared" si="1"/>
        <v>734.61794098900418</v>
      </c>
    </row>
    <row r="45" spans="1:7">
      <c r="A45" s="7">
        <v>42957</v>
      </c>
      <c r="B45" s="1">
        <v>0.33333333333333331</v>
      </c>
      <c r="C45">
        <v>8434.2000000000007</v>
      </c>
      <c r="D45">
        <v>7.9</v>
      </c>
      <c r="E45" s="3">
        <f t="shared" si="3"/>
        <v>0.1698447126101062</v>
      </c>
      <c r="F45" s="4">
        <f t="shared" si="1"/>
        <v>734.72416068623079</v>
      </c>
    </row>
    <row r="46" spans="1:7">
      <c r="A46" s="7">
        <v>42967</v>
      </c>
      <c r="B46" s="1">
        <v>0.33333333333333331</v>
      </c>
      <c r="C46">
        <v>8442.5</v>
      </c>
      <c r="D46">
        <v>8.1</v>
      </c>
      <c r="E46" s="3">
        <f t="shared" si="3"/>
        <v>0.16915417271853075</v>
      </c>
      <c r="F46" s="4">
        <f t="shared" si="1"/>
        <v>734.65372561729009</v>
      </c>
    </row>
    <row r="47" spans="1:7">
      <c r="A47" s="7">
        <v>42977</v>
      </c>
      <c r="B47" s="1">
        <v>0.33333333333333331</v>
      </c>
      <c r="C47">
        <v>8431.4</v>
      </c>
      <c r="D47">
        <v>8</v>
      </c>
      <c r="E47" s="3">
        <f t="shared" si="3"/>
        <v>0.17053338144396987</v>
      </c>
      <c r="F47" s="4">
        <f t="shared" si="1"/>
        <v>734.79440490728496</v>
      </c>
    </row>
    <row r="48" spans="1:7">
      <c r="A48" s="7">
        <v>42988</v>
      </c>
      <c r="B48" s="1">
        <v>0.33333333333333331</v>
      </c>
      <c r="C48">
        <v>8432.5</v>
      </c>
      <c r="D48">
        <v>8</v>
      </c>
      <c r="E48" s="3">
        <f t="shared" si="3"/>
        <v>0.17036973331853086</v>
      </c>
      <c r="F48" s="4">
        <f t="shared" si="1"/>
        <v>734.77771279849014</v>
      </c>
    </row>
    <row r="49" spans="1:6">
      <c r="A49" s="7">
        <v>42998</v>
      </c>
      <c r="B49" s="1">
        <v>0.33333333333333331</v>
      </c>
      <c r="C49">
        <v>8435.7000000000007</v>
      </c>
      <c r="D49">
        <v>8.1</v>
      </c>
      <c r="E49" s="3">
        <f t="shared" si="3"/>
        <v>0.17016578235903249</v>
      </c>
      <c r="F49" s="4">
        <f t="shared" si="1"/>
        <v>734.75690980062132</v>
      </c>
    </row>
    <row r="50" spans="1:6">
      <c r="A50" s="7">
        <v>43008</v>
      </c>
      <c r="B50" s="1">
        <v>0.33333333333333331</v>
      </c>
      <c r="C50">
        <v>8442.4</v>
      </c>
      <c r="D50">
        <v>8</v>
      </c>
      <c r="E50" s="3">
        <f t="shared" si="3"/>
        <v>0.16889693750133303</v>
      </c>
      <c r="F50" s="4">
        <f t="shared" si="1"/>
        <v>734.62748762513593</v>
      </c>
    </row>
    <row r="51" spans="1:6">
      <c r="A51" s="7">
        <v>43018</v>
      </c>
      <c r="B51" s="1">
        <v>0.33333333333333331</v>
      </c>
      <c r="C51">
        <v>8438.5</v>
      </c>
      <c r="D51">
        <v>8.1</v>
      </c>
      <c r="E51" s="3">
        <f t="shared" si="3"/>
        <v>0.16974923337555473</v>
      </c>
      <c r="F51" s="4">
        <f t="shared" si="1"/>
        <v>734.71442180430654</v>
      </c>
    </row>
    <row r="52" spans="1:6">
      <c r="A52" s="7">
        <v>43230</v>
      </c>
      <c r="B52" s="1">
        <v>0.33333333333333331</v>
      </c>
    </row>
    <row r="53" spans="1:6">
      <c r="A53" s="7"/>
      <c r="B53" s="1"/>
    </row>
  </sheetData>
  <phoneticPr fontId="4" type="noConversion"/>
  <pageMargins left="0.69930555555555596" right="0.69930555555555596" top="0.75" bottom="0.75" header="0.3" footer="0.3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9"/>
  <sheetViews>
    <sheetView workbookViewId="0">
      <selection activeCell="B2" sqref="B2"/>
    </sheetView>
  </sheetViews>
  <sheetFormatPr defaultColWidth="9" defaultRowHeight="13.5"/>
  <cols>
    <col min="1" max="1" width="11.625" customWidth="1"/>
    <col min="2" max="2" width="13.875" customWidth="1"/>
  </cols>
  <sheetData>
    <row r="1" spans="1:7">
      <c r="A1" t="s">
        <v>0</v>
      </c>
      <c r="B1">
        <v>11215</v>
      </c>
      <c r="C1" t="s">
        <v>45</v>
      </c>
      <c r="D1">
        <v>708.8</v>
      </c>
    </row>
    <row r="2" spans="1:7">
      <c r="A2" t="s">
        <v>2</v>
      </c>
      <c r="B2" s="34">
        <f>4.82499*10^(-10)</f>
        <v>4.8249900000000003E-10</v>
      </c>
    </row>
    <row r="3" spans="1:7">
      <c r="A3" t="s">
        <v>3</v>
      </c>
      <c r="B3">
        <f>-0.000179513</f>
        <v>-1.7951299999999999E-4</v>
      </c>
    </row>
    <row r="4" spans="1:7">
      <c r="A4" t="s">
        <v>4</v>
      </c>
      <c r="B4" s="36">
        <f>1.66152241</f>
        <v>1.6615224099999999</v>
      </c>
    </row>
    <row r="5" spans="1:7">
      <c r="A5" t="s">
        <v>5</v>
      </c>
      <c r="B5">
        <f>-0.003052249</f>
        <v>-3.0522489999999999E-3</v>
      </c>
    </row>
    <row r="6" spans="1:7">
      <c r="A6" t="s">
        <v>6</v>
      </c>
      <c r="B6" t="s">
        <v>7</v>
      </c>
      <c r="C6" t="s">
        <v>8</v>
      </c>
      <c r="D6" t="s">
        <v>9</v>
      </c>
      <c r="E6" t="s">
        <v>10</v>
      </c>
      <c r="F6" t="s">
        <v>11</v>
      </c>
      <c r="G6" t="s">
        <v>12</v>
      </c>
    </row>
    <row r="7" spans="1:7">
      <c r="A7" s="7">
        <v>42262</v>
      </c>
      <c r="B7" s="1">
        <v>0.375</v>
      </c>
      <c r="C7" s="2">
        <v>9468.9</v>
      </c>
      <c r="D7" s="2">
        <v>19.899999999999999</v>
      </c>
      <c r="E7" s="3">
        <f>($B$2*C7^2+$B$3*C7+$B$4)-$B$5*D7</f>
        <v>6.5732412168757942E-2</v>
      </c>
      <c r="G7" t="s">
        <v>13</v>
      </c>
    </row>
    <row r="8" spans="1:7">
      <c r="A8" s="7">
        <v>42263</v>
      </c>
      <c r="B8" s="1">
        <v>0.39583333333333298</v>
      </c>
      <c r="C8" s="2">
        <v>8095.2</v>
      </c>
      <c r="D8" s="2">
        <v>7.6</v>
      </c>
      <c r="E8" s="3">
        <f>($B$2*C8^2+$B$3*C8+$B$4)-$B$5*D8-$E$7</f>
        <v>0.19741270401577912</v>
      </c>
      <c r="F8" s="4">
        <f>$D$1+102*E8</f>
        <v>728.93609580960947</v>
      </c>
      <c r="G8" t="s">
        <v>17</v>
      </c>
    </row>
    <row r="9" spans="1:7">
      <c r="A9" s="7">
        <v>42264</v>
      </c>
      <c r="B9" s="1">
        <v>0.33333333333333298</v>
      </c>
      <c r="C9" s="2">
        <v>8086.7</v>
      </c>
      <c r="D9" s="2">
        <v>7.5</v>
      </c>
      <c r="E9" s="3">
        <f t="shared" ref="E9:E18" si="0">($B$2*C9^2+$B$3*C9+$B$4)-$B$5*D9-$E$7</f>
        <v>0.19856697373595003</v>
      </c>
      <c r="F9" s="4">
        <f t="shared" ref="F9:F61" si="1">$D$1+102*E9</f>
        <v>729.05383132106681</v>
      </c>
      <c r="G9" t="s">
        <v>14</v>
      </c>
    </row>
    <row r="10" spans="1:7">
      <c r="A10" s="7">
        <v>42265</v>
      </c>
      <c r="B10" s="1">
        <v>0.33333333333333298</v>
      </c>
      <c r="C10" s="2">
        <v>8082.5</v>
      </c>
      <c r="D10" s="2">
        <v>7.5</v>
      </c>
      <c r="E10" s="3">
        <f t="shared" si="0"/>
        <v>0.19928816152006071</v>
      </c>
      <c r="F10" s="4">
        <f t="shared" si="1"/>
        <v>729.12739247504612</v>
      </c>
    </row>
    <row r="11" spans="1:7">
      <c r="A11" s="7">
        <v>42266</v>
      </c>
      <c r="B11" s="1">
        <v>0.33333333333333298</v>
      </c>
      <c r="C11" s="2">
        <v>8086.3</v>
      </c>
      <c r="D11" s="2">
        <v>7.2</v>
      </c>
      <c r="E11" s="3">
        <f t="shared" si="0"/>
        <v>0.19771998285341932</v>
      </c>
      <c r="F11" s="4">
        <f t="shared" si="1"/>
        <v>728.96743825104875</v>
      </c>
    </row>
    <row r="12" spans="1:7">
      <c r="A12" s="7">
        <v>42267</v>
      </c>
      <c r="B12" s="1">
        <v>0.33333333333333298</v>
      </c>
      <c r="C12" s="2">
        <v>8088.6</v>
      </c>
      <c r="D12" s="2">
        <v>6.8</v>
      </c>
      <c r="E12" s="3">
        <f t="shared" si="0"/>
        <v>0.19610415341149187</v>
      </c>
      <c r="F12" s="4">
        <f t="shared" si="1"/>
        <v>728.80262364797215</v>
      </c>
    </row>
    <row r="13" spans="1:7">
      <c r="A13" s="7">
        <v>42268</v>
      </c>
      <c r="B13" s="1">
        <v>0.33333333333333298</v>
      </c>
      <c r="C13" s="2">
        <v>8089.8</v>
      </c>
      <c r="D13" s="2">
        <v>7.8</v>
      </c>
      <c r="E13" s="3">
        <f t="shared" si="0"/>
        <v>0.1989503540856781</v>
      </c>
      <c r="F13" s="4">
        <f t="shared" si="1"/>
        <v>729.09293611673911</v>
      </c>
    </row>
    <row r="14" spans="1:7">
      <c r="A14" s="7">
        <v>42269</v>
      </c>
      <c r="B14" s="1">
        <v>0.33333333333333298</v>
      </c>
      <c r="C14" s="2">
        <v>8087.5</v>
      </c>
      <c r="D14" s="2">
        <v>7.5</v>
      </c>
      <c r="E14" s="3">
        <f t="shared" si="0"/>
        <v>0.19842960656421096</v>
      </c>
      <c r="F14" s="4">
        <f t="shared" si="1"/>
        <v>729.03981986954943</v>
      </c>
    </row>
    <row r="15" spans="1:7">
      <c r="A15" s="7">
        <v>42270</v>
      </c>
      <c r="B15" s="1">
        <v>0.33333333333333298</v>
      </c>
      <c r="C15" s="2">
        <v>8085.4</v>
      </c>
      <c r="D15" s="2">
        <v>7.3</v>
      </c>
      <c r="E15" s="3">
        <f t="shared" si="0"/>
        <v>0.1981797469072489</v>
      </c>
      <c r="F15" s="4">
        <f t="shared" si="1"/>
        <v>729.01433418453939</v>
      </c>
    </row>
    <row r="16" spans="1:7">
      <c r="A16" s="7">
        <v>42273</v>
      </c>
      <c r="B16" s="1">
        <v>0.33333333333333298</v>
      </c>
      <c r="C16" s="2">
        <v>8073.1</v>
      </c>
      <c r="D16" s="2">
        <v>7</v>
      </c>
      <c r="E16" s="3">
        <f t="shared" si="0"/>
        <v>0.19937618564812346</v>
      </c>
      <c r="F16" s="4">
        <f t="shared" si="1"/>
        <v>729.13637093610851</v>
      </c>
    </row>
    <row r="17" spans="1:7">
      <c r="A17" s="7">
        <v>42280</v>
      </c>
      <c r="B17" s="1">
        <v>0.33333333333333298</v>
      </c>
      <c r="C17" s="2">
        <v>8081.1</v>
      </c>
      <c r="D17" s="2">
        <v>6.9</v>
      </c>
      <c r="E17" s="3">
        <f t="shared" si="0"/>
        <v>0.19769721183088981</v>
      </c>
      <c r="F17" s="4">
        <f t="shared" si="1"/>
        <v>728.96511560675071</v>
      </c>
    </row>
    <row r="18" spans="1:7">
      <c r="A18" s="7">
        <v>42287</v>
      </c>
      <c r="B18" s="1">
        <v>0.33333333333333298</v>
      </c>
      <c r="C18" s="2">
        <v>8056.6</v>
      </c>
      <c r="D18" s="2">
        <v>7.6</v>
      </c>
      <c r="E18" s="3">
        <f t="shared" si="0"/>
        <v>0.20404108724013856</v>
      </c>
      <c r="F18" s="4">
        <f t="shared" si="1"/>
        <v>729.61219089849408</v>
      </c>
    </row>
    <row r="19" spans="1:7">
      <c r="A19" s="7">
        <v>42294</v>
      </c>
      <c r="B19" s="9">
        <v>0.33333333333333298</v>
      </c>
      <c r="C19" s="2">
        <v>8031</v>
      </c>
      <c r="D19" s="2">
        <v>6.9</v>
      </c>
      <c r="E19" s="3">
        <f t="shared" ref="E19:E25" si="2">($B$2*C19^2+$B$3*C19+$B$4)-$B$5*D19-$E$7</f>
        <v>0.20630133211678112</v>
      </c>
      <c r="F19" s="4">
        <f t="shared" si="1"/>
        <v>729.84273587591167</v>
      </c>
      <c r="G19" s="2"/>
    </row>
    <row r="20" spans="1:7">
      <c r="A20" s="7">
        <v>42301</v>
      </c>
      <c r="B20" s="9">
        <v>0.33333333333333298</v>
      </c>
      <c r="C20" s="2">
        <v>8027.9</v>
      </c>
      <c r="D20" s="2">
        <v>6.9</v>
      </c>
      <c r="E20" s="3">
        <f t="shared" si="2"/>
        <v>0.20683380236688861</v>
      </c>
      <c r="F20" s="4">
        <f t="shared" si="1"/>
        <v>729.89704784142259</v>
      </c>
      <c r="G20" s="2"/>
    </row>
    <row r="21" spans="1:7">
      <c r="A21" s="7">
        <v>42485</v>
      </c>
      <c r="B21" s="1">
        <v>0.33333333333333298</v>
      </c>
      <c r="C21">
        <v>8005</v>
      </c>
      <c r="D21">
        <v>7.2</v>
      </c>
      <c r="E21" s="3">
        <f t="shared" si="2"/>
        <v>0.21168317361371705</v>
      </c>
      <c r="F21" s="4">
        <f t="shared" si="1"/>
        <v>730.39168370859909</v>
      </c>
    </row>
    <row r="22" spans="1:7">
      <c r="A22" s="7">
        <v>42506</v>
      </c>
      <c r="B22" s="1">
        <v>0.33333333333333298</v>
      </c>
      <c r="C22">
        <v>8039.4</v>
      </c>
      <c r="D22">
        <v>7.2</v>
      </c>
      <c r="E22" s="3">
        <f t="shared" si="2"/>
        <v>0.20577423081298976</v>
      </c>
      <c r="F22" s="4">
        <f t="shared" si="1"/>
        <v>729.78897154292486</v>
      </c>
    </row>
    <row r="23" spans="1:7">
      <c r="A23" s="7">
        <v>42520</v>
      </c>
      <c r="B23" s="1">
        <v>0.33333333333333298</v>
      </c>
      <c r="C23">
        <v>8081.5</v>
      </c>
      <c r="D23">
        <v>8.6</v>
      </c>
      <c r="E23" s="3">
        <f t="shared" si="2"/>
        <v>0.20281734930622483</v>
      </c>
      <c r="F23" s="4">
        <f t="shared" si="1"/>
        <v>729.48736962923488</v>
      </c>
    </row>
    <row r="24" spans="1:7">
      <c r="A24" s="6">
        <v>42528</v>
      </c>
      <c r="B24" s="1">
        <v>0.33333333333333298</v>
      </c>
      <c r="C24">
        <v>8009.2</v>
      </c>
      <c r="D24">
        <v>7.2</v>
      </c>
      <c r="E24" s="3">
        <f t="shared" si="2"/>
        <v>0.21096167172275762</v>
      </c>
      <c r="F24" s="4">
        <f t="shared" si="1"/>
        <v>730.31809051572122</v>
      </c>
    </row>
    <row r="25" spans="1:7">
      <c r="A25" s="6">
        <v>42544</v>
      </c>
      <c r="B25" s="1">
        <v>0.33333333333333298</v>
      </c>
      <c r="C25">
        <v>7950.7</v>
      </c>
      <c r="D25">
        <v>7.1</v>
      </c>
      <c r="E25" s="3">
        <f t="shared" si="2"/>
        <v>0.22070747012903655</v>
      </c>
      <c r="F25" s="4">
        <f t="shared" si="1"/>
        <v>731.31216195316165</v>
      </c>
    </row>
    <row r="26" spans="1:7">
      <c r="A26" s="7">
        <v>42551</v>
      </c>
      <c r="B26" s="1">
        <v>0.33333333333333298</v>
      </c>
      <c r="C26">
        <v>8000.5</v>
      </c>
      <c r="D26">
        <v>7.1</v>
      </c>
      <c r="E26" s="3">
        <f>($B$2*C26^2+$B$3*C26+$B$4)-$B$5*D26-$E$7</f>
        <v>0.21215100534386686</v>
      </c>
      <c r="F26" s="4">
        <f t="shared" si="1"/>
        <v>730.43940254507436</v>
      </c>
    </row>
    <row r="27" spans="1:7">
      <c r="A27" s="7">
        <v>42561</v>
      </c>
      <c r="B27" s="9">
        <v>0.33333333333333298</v>
      </c>
      <c r="C27">
        <v>7979</v>
      </c>
      <c r="D27">
        <v>7.1</v>
      </c>
      <c r="E27" s="3">
        <f>($B$2*C27^2+$B$3*C27+$B$4)-$B$5*D27-$E$7</f>
        <v>0.21584476784930115</v>
      </c>
      <c r="F27" s="4">
        <f t="shared" si="1"/>
        <v>730.81616632062867</v>
      </c>
    </row>
    <row r="28" spans="1:7">
      <c r="A28" s="7">
        <v>42571</v>
      </c>
      <c r="B28" s="1">
        <v>0.33333333333333298</v>
      </c>
      <c r="C28">
        <v>7974.7</v>
      </c>
      <c r="D28">
        <v>7.1</v>
      </c>
      <c r="E28" s="3">
        <f>($B$2*C28^2+$B$3*C28+$B$4)-$B$5*D28-$E$7</f>
        <v>0.21658357387882685</v>
      </c>
      <c r="F28" s="4">
        <f t="shared" si="1"/>
        <v>730.89152453564031</v>
      </c>
    </row>
    <row r="29" spans="1:7">
      <c r="A29" s="7">
        <v>42581</v>
      </c>
      <c r="B29" s="9">
        <v>0.33333333333333298</v>
      </c>
      <c r="C29">
        <v>8007.2</v>
      </c>
      <c r="D29">
        <v>7.1</v>
      </c>
      <c r="E29" s="3">
        <f>($B$2*C29^2+$B$3*C29+$B$4)-$B$5*D29-$E$7</f>
        <v>0.2110000170287902</v>
      </c>
      <c r="F29" s="4">
        <f t="shared" si="1"/>
        <v>730.3220017369365</v>
      </c>
    </row>
    <row r="30" spans="1:7">
      <c r="A30" s="7">
        <v>42592</v>
      </c>
      <c r="B30" s="1">
        <v>0.33333333333333298</v>
      </c>
      <c r="C30">
        <v>7975.5</v>
      </c>
      <c r="D30">
        <v>7.1</v>
      </c>
      <c r="E30" s="3">
        <f t="shared" ref="E30:E61" si="3">($B$2*C30^2+$B$3*C30+$B$4)-$B$5*D30-$E$7</f>
        <v>0.21644612024326701</v>
      </c>
      <c r="F30" s="4">
        <f t="shared" si="1"/>
        <v>730.87750426481318</v>
      </c>
    </row>
    <row r="31" spans="1:7">
      <c r="A31" s="7">
        <v>42602</v>
      </c>
      <c r="B31" s="1">
        <v>0.33333333333333298</v>
      </c>
      <c r="C31">
        <v>7994.4</v>
      </c>
      <c r="D31">
        <v>7.1</v>
      </c>
      <c r="E31" s="3">
        <f t="shared" si="3"/>
        <v>0.21319895775201078</v>
      </c>
      <c r="F31" s="4">
        <f t="shared" si="1"/>
        <v>730.54629369070506</v>
      </c>
    </row>
    <row r="32" spans="1:7">
      <c r="A32" s="7">
        <v>42612</v>
      </c>
      <c r="B32" s="1">
        <v>0.33333333333333298</v>
      </c>
      <c r="C32">
        <v>7993.3</v>
      </c>
      <c r="D32">
        <v>7.1</v>
      </c>
      <c r="E32" s="3">
        <f t="shared" si="3"/>
        <v>0.21338793659782215</v>
      </c>
      <c r="F32" s="4">
        <f t="shared" si="1"/>
        <v>730.56556953297786</v>
      </c>
    </row>
    <row r="33" spans="1:7">
      <c r="A33" s="7">
        <v>42623</v>
      </c>
      <c r="B33" s="1">
        <v>0.33333333333333298</v>
      </c>
      <c r="C33">
        <v>7993.5</v>
      </c>
      <c r="D33">
        <v>7.1</v>
      </c>
      <c r="E33" s="3">
        <f t="shared" si="3"/>
        <v>0.21335357672082497</v>
      </c>
      <c r="F33" s="4">
        <f t="shared" si="1"/>
        <v>730.56206482552409</v>
      </c>
    </row>
    <row r="34" spans="1:7">
      <c r="A34" s="7">
        <v>42633</v>
      </c>
      <c r="B34" s="1">
        <v>0.33333333333333331</v>
      </c>
      <c r="C34">
        <v>7942.7</v>
      </c>
      <c r="D34">
        <v>7.2</v>
      </c>
      <c r="E34" s="3">
        <f t="shared" si="3"/>
        <v>0.22238745063218371</v>
      </c>
      <c r="F34" s="4">
        <f t="shared" si="1"/>
        <v>731.48351996448264</v>
      </c>
    </row>
    <row r="35" spans="1:7">
      <c r="A35" s="7">
        <v>42653</v>
      </c>
      <c r="B35" s="1">
        <v>0.33333333333333331</v>
      </c>
      <c r="C35">
        <v>7662.7</v>
      </c>
      <c r="D35">
        <v>7.2</v>
      </c>
      <c r="E35" s="3">
        <f t="shared" si="3"/>
        <v>0.27054280546169585</v>
      </c>
      <c r="F35" s="4">
        <f t="shared" si="1"/>
        <v>736.39536615709289</v>
      </c>
      <c r="G35" t="s">
        <v>62</v>
      </c>
    </row>
    <row r="36" spans="1:7">
      <c r="A36" s="7">
        <v>42855</v>
      </c>
      <c r="B36" s="1">
        <v>0.33333333333333331</v>
      </c>
      <c r="C36">
        <v>7688.2</v>
      </c>
      <c r="D36">
        <v>7.6</v>
      </c>
      <c r="E36" s="3">
        <f t="shared" si="3"/>
        <v>0.26737499680612298</v>
      </c>
      <c r="F36" s="4">
        <f t="shared" si="1"/>
        <v>736.07224967422451</v>
      </c>
    </row>
    <row r="37" spans="1:7">
      <c r="A37" s="7">
        <v>42865</v>
      </c>
      <c r="B37" s="1">
        <v>0.33333333333333331</v>
      </c>
      <c r="C37">
        <v>7641.4</v>
      </c>
      <c r="D37">
        <v>7.6</v>
      </c>
      <c r="E37" s="3">
        <f t="shared" si="3"/>
        <v>0.27543004822594819</v>
      </c>
      <c r="F37" s="4">
        <f t="shared" si="1"/>
        <v>736.89386491904668</v>
      </c>
    </row>
    <row r="38" spans="1:7">
      <c r="A38" s="7">
        <v>42875</v>
      </c>
      <c r="B38" s="1">
        <v>0.33333333333333331</v>
      </c>
      <c r="C38">
        <v>7700.5</v>
      </c>
      <c r="D38">
        <v>7.6</v>
      </c>
      <c r="E38" s="3">
        <f t="shared" si="3"/>
        <v>0.26525831480416695</v>
      </c>
      <c r="F38" s="4">
        <f t="shared" si="1"/>
        <v>735.85634811002501</v>
      </c>
    </row>
    <row r="39" spans="1:7">
      <c r="A39" s="7">
        <v>42885</v>
      </c>
      <c r="B39" s="1">
        <v>0.33333333333333331</v>
      </c>
      <c r="C39">
        <v>7714.3</v>
      </c>
      <c r="D39">
        <v>7.6</v>
      </c>
      <c r="E39" s="3">
        <f t="shared" si="3"/>
        <v>0.26288367463724271</v>
      </c>
      <c r="F39" s="4">
        <f t="shared" si="1"/>
        <v>735.61413481299871</v>
      </c>
    </row>
    <row r="40" spans="1:7">
      <c r="A40" s="7">
        <v>42896</v>
      </c>
      <c r="B40" s="1">
        <v>0.33333333333333331</v>
      </c>
      <c r="C40">
        <v>7713.3</v>
      </c>
      <c r="D40">
        <v>7.6</v>
      </c>
      <c r="E40" s="3">
        <f t="shared" si="3"/>
        <v>0.26305574383567021</v>
      </c>
      <c r="F40" s="4">
        <f t="shared" si="1"/>
        <v>735.63168587123835</v>
      </c>
    </row>
    <row r="41" spans="1:7">
      <c r="A41" s="7">
        <v>42906</v>
      </c>
      <c r="B41" s="1">
        <v>0.33333333333333331</v>
      </c>
      <c r="C41">
        <v>7700.7</v>
      </c>
      <c r="D41">
        <v>7.6</v>
      </c>
      <c r="E41" s="3">
        <f t="shared" si="3"/>
        <v>0.26522389841688665</v>
      </c>
      <c r="F41" s="4">
        <f t="shared" si="1"/>
        <v>735.85283763852237</v>
      </c>
    </row>
    <row r="42" spans="1:7">
      <c r="A42" s="7">
        <v>42926</v>
      </c>
      <c r="B42" s="1">
        <v>0.33333333333333331</v>
      </c>
      <c r="C42">
        <v>7706.4</v>
      </c>
      <c r="D42">
        <v>7.6</v>
      </c>
      <c r="E42" s="3">
        <f t="shared" si="3"/>
        <v>0.26424304760584127</v>
      </c>
      <c r="F42" s="4">
        <f t="shared" si="1"/>
        <v>735.75279085579575</v>
      </c>
    </row>
    <row r="43" spans="1:7">
      <c r="A43" s="7">
        <v>42936</v>
      </c>
      <c r="B43" s="1">
        <v>0.33333333333333331</v>
      </c>
      <c r="C43">
        <v>7711.3</v>
      </c>
      <c r="D43">
        <v>7.7</v>
      </c>
      <c r="E43" s="3">
        <f t="shared" si="3"/>
        <v>0.26370511002751917</v>
      </c>
      <c r="F43" s="4">
        <f t="shared" si="1"/>
        <v>735.69792122280694</v>
      </c>
    </row>
    <row r="44" spans="1:7">
      <c r="A44" s="7">
        <v>42946</v>
      </c>
      <c r="B44" s="1">
        <v>0.33333333333333331</v>
      </c>
      <c r="C44">
        <v>7706.6</v>
      </c>
      <c r="D44">
        <v>7.7</v>
      </c>
      <c r="E44" s="3">
        <f t="shared" si="3"/>
        <v>0.26451385725725829</v>
      </c>
      <c r="F44" s="4">
        <f t="shared" si="1"/>
        <v>735.7804134402403</v>
      </c>
    </row>
    <row r="45" spans="1:7">
      <c r="A45" s="7">
        <v>42957</v>
      </c>
      <c r="B45" s="1">
        <v>0.33333333333333331</v>
      </c>
      <c r="C45">
        <v>7700.3</v>
      </c>
      <c r="D45">
        <v>7.7</v>
      </c>
      <c r="E45" s="3">
        <f t="shared" si="3"/>
        <v>0.265597956130047</v>
      </c>
      <c r="F45" s="4">
        <f t="shared" si="1"/>
        <v>735.89099152526478</v>
      </c>
    </row>
    <row r="46" spans="1:7">
      <c r="A46" s="7">
        <v>42967</v>
      </c>
      <c r="B46" s="1">
        <v>0.33333333333333331</v>
      </c>
      <c r="C46">
        <v>7707</v>
      </c>
      <c r="D46">
        <v>7.8</v>
      </c>
      <c r="E46" s="3">
        <f t="shared" si="3"/>
        <v>0.26475025177589284</v>
      </c>
      <c r="F46" s="4">
        <f t="shared" si="1"/>
        <v>735.80452568114106</v>
      </c>
    </row>
    <row r="47" spans="1:7">
      <c r="A47" s="7">
        <v>42977</v>
      </c>
      <c r="B47" s="1">
        <v>0.33333333333333331</v>
      </c>
      <c r="C47">
        <v>7697.4</v>
      </c>
      <c r="D47">
        <v>7.7</v>
      </c>
      <c r="E47" s="3">
        <f t="shared" si="3"/>
        <v>0.26609699864297531</v>
      </c>
      <c r="F47" s="4">
        <f t="shared" si="1"/>
        <v>735.94189386158348</v>
      </c>
    </row>
    <row r="48" spans="1:7">
      <c r="A48" s="7">
        <v>42988</v>
      </c>
      <c r="B48" s="1">
        <v>0.33333333333333331</v>
      </c>
      <c r="C48">
        <v>7698.2</v>
      </c>
      <c r="D48">
        <v>7.8</v>
      </c>
      <c r="E48" s="3">
        <f t="shared" si="3"/>
        <v>0.26626455583225872</v>
      </c>
      <c r="F48" s="4">
        <f t="shared" si="1"/>
        <v>735.95898469489032</v>
      </c>
    </row>
    <row r="49" spans="1:6">
      <c r="A49" s="7">
        <v>42998</v>
      </c>
      <c r="B49" s="1">
        <v>0.33333333333333331</v>
      </c>
      <c r="C49">
        <v>7706.2</v>
      </c>
      <c r="D49">
        <v>7.7</v>
      </c>
      <c r="E49" s="3">
        <f t="shared" si="3"/>
        <v>0.26458268779302352</v>
      </c>
      <c r="F49" s="4">
        <f t="shared" si="1"/>
        <v>735.78743415488839</v>
      </c>
    </row>
    <row r="50" spans="1:6">
      <c r="A50" s="7">
        <v>43008</v>
      </c>
      <c r="B50" s="1">
        <v>0.33333333333333331</v>
      </c>
      <c r="C50">
        <v>7705.8</v>
      </c>
      <c r="D50">
        <v>7.7</v>
      </c>
      <c r="E50" s="3">
        <f t="shared" si="3"/>
        <v>0.26465151848318835</v>
      </c>
      <c r="F50" s="4">
        <f t="shared" si="1"/>
        <v>735.79445488528518</v>
      </c>
    </row>
    <row r="51" spans="1:6">
      <c r="A51" s="7">
        <v>43018</v>
      </c>
      <c r="B51" s="1">
        <v>0.33333333333333331</v>
      </c>
      <c r="C51">
        <v>7701.9</v>
      </c>
      <c r="D51">
        <v>7.7</v>
      </c>
      <c r="E51" s="3">
        <f t="shared" si="3"/>
        <v>0.2653226258038035</v>
      </c>
      <c r="F51" s="4">
        <f t="shared" si="1"/>
        <v>735.86290783198797</v>
      </c>
    </row>
    <row r="52" spans="1:6">
      <c r="A52" s="7">
        <v>43230</v>
      </c>
      <c r="B52" s="1">
        <v>0.33333333333333331</v>
      </c>
      <c r="C52">
        <v>7705</v>
      </c>
      <c r="D52">
        <v>7.9</v>
      </c>
      <c r="E52" s="3">
        <f t="shared" si="3"/>
        <v>0.26539963012671708</v>
      </c>
      <c r="F52" s="4">
        <f t="shared" si="1"/>
        <v>735.87076227292505</v>
      </c>
    </row>
    <row r="53" spans="1:6">
      <c r="A53" s="7">
        <v>43240</v>
      </c>
      <c r="B53" s="1">
        <v>0.33333333333333331</v>
      </c>
      <c r="C53">
        <v>7708.6</v>
      </c>
      <c r="D53">
        <v>8.1999999999999993</v>
      </c>
      <c r="E53" s="3">
        <f t="shared" si="3"/>
        <v>0.26569583139442798</v>
      </c>
      <c r="F53" s="4">
        <f t="shared" si="1"/>
        <v>735.90097480223164</v>
      </c>
    </row>
    <row r="54" spans="1:6">
      <c r="A54" s="7">
        <v>43250</v>
      </c>
      <c r="B54" s="1">
        <v>0.33333333333333331</v>
      </c>
      <c r="C54">
        <v>7704</v>
      </c>
      <c r="D54">
        <v>7.9</v>
      </c>
      <c r="E54" s="3">
        <f t="shared" si="3"/>
        <v>0.26557170829962617</v>
      </c>
      <c r="F54" s="4">
        <f t="shared" si="1"/>
        <v>735.88831424656178</v>
      </c>
    </row>
    <row r="55" spans="1:6">
      <c r="A55" s="7">
        <v>43261</v>
      </c>
      <c r="B55" s="1">
        <v>0.33333333333333331</v>
      </c>
      <c r="C55">
        <v>7678.5</v>
      </c>
      <c r="D55">
        <v>7.8</v>
      </c>
      <c r="E55" s="3">
        <f t="shared" si="3"/>
        <v>0.26965480285750476</v>
      </c>
      <c r="F55" s="4">
        <f t="shared" si="1"/>
        <v>736.30478989146548</v>
      </c>
    </row>
    <row r="56" spans="1:6">
      <c r="A56" s="7">
        <v>43271</v>
      </c>
      <c r="B56" s="1">
        <v>0.33333333333333331</v>
      </c>
      <c r="C56">
        <v>7603.6</v>
      </c>
      <c r="D56">
        <v>8.1</v>
      </c>
      <c r="E56" s="3">
        <f t="shared" si="3"/>
        <v>0.28346371876970911</v>
      </c>
      <c r="F56" s="4">
        <f t="shared" si="1"/>
        <v>737.71329931451032</v>
      </c>
    </row>
    <row r="57" spans="1:6">
      <c r="A57" s="7">
        <v>43281</v>
      </c>
      <c r="B57" s="1">
        <v>0.33333333333333331</v>
      </c>
      <c r="C57">
        <v>7637.8</v>
      </c>
      <c r="D57">
        <v>7.9</v>
      </c>
      <c r="E57" s="3">
        <f t="shared" si="3"/>
        <v>0.27696542981055317</v>
      </c>
      <c r="F57" s="4">
        <f t="shared" si="1"/>
        <v>737.05047384067643</v>
      </c>
    </row>
    <row r="58" spans="1:6">
      <c r="A58" s="7">
        <v>43291</v>
      </c>
      <c r="B58" s="1">
        <v>0.33333333333333331</v>
      </c>
      <c r="C58">
        <v>7679.7</v>
      </c>
      <c r="D58">
        <v>8.1</v>
      </c>
      <c r="E58" s="3">
        <f t="shared" si="3"/>
        <v>0.27036395433687499</v>
      </c>
      <c r="F58" s="4">
        <f t="shared" si="1"/>
        <v>736.37712334236119</v>
      </c>
    </row>
    <row r="59" spans="1:6">
      <c r="A59" s="7">
        <v>43301</v>
      </c>
      <c r="B59" s="1">
        <v>0.33333333333333331</v>
      </c>
      <c r="C59">
        <v>7683</v>
      </c>
      <c r="D59">
        <v>8</v>
      </c>
      <c r="E59" s="3">
        <f t="shared" si="3"/>
        <v>0.26949079774525286</v>
      </c>
      <c r="F59" s="4">
        <f t="shared" si="1"/>
        <v>736.28806137001573</v>
      </c>
    </row>
    <row r="60" spans="1:6">
      <c r="A60" s="7">
        <v>43311</v>
      </c>
      <c r="B60" s="1">
        <v>0.33333333333333331</v>
      </c>
      <c r="C60">
        <v>7682.6</v>
      </c>
      <c r="D60">
        <v>7.9</v>
      </c>
      <c r="E60" s="3">
        <f t="shared" si="3"/>
        <v>0.26925441249059923</v>
      </c>
      <c r="F60" s="4">
        <f t="shared" si="1"/>
        <v>736.26395007404108</v>
      </c>
    </row>
    <row r="61" spans="1:6">
      <c r="A61" s="7">
        <v>43322</v>
      </c>
      <c r="B61" s="1">
        <v>0.33333333333333331</v>
      </c>
      <c r="C61">
        <v>7666.8</v>
      </c>
      <c r="D61">
        <v>8</v>
      </c>
      <c r="E61" s="3">
        <f t="shared" si="3"/>
        <v>0.27227892688221977</v>
      </c>
      <c r="F61" s="4">
        <f t="shared" si="1"/>
        <v>736.57245054198643</v>
      </c>
    </row>
    <row r="62" spans="1:6">
      <c r="A62" s="7">
        <v>43332</v>
      </c>
      <c r="B62" s="1">
        <v>0.33333333333333331</v>
      </c>
      <c r="C62">
        <v>7679.8</v>
      </c>
      <c r="D62">
        <v>7.9</v>
      </c>
      <c r="E62" s="3">
        <f t="shared" ref="E62:E79" si="4">($B$2*C62^2+$B$3*C62+$B$4)-$B$5*D62-$E$7</f>
        <v>0.26973629433121393</v>
      </c>
      <c r="F62" s="4">
        <f t="shared" ref="F62:F79" si="5">$D$1+102*E62</f>
        <v>736.31310202178383</v>
      </c>
    </row>
    <row r="63" spans="1:6">
      <c r="A63" s="7">
        <v>43342</v>
      </c>
      <c r="B63" s="1">
        <v>0.33333333333333331</v>
      </c>
      <c r="C63">
        <v>7627.6</v>
      </c>
      <c r="D63">
        <v>7.9</v>
      </c>
      <c r="E63" s="3">
        <f t="shared" si="4"/>
        <v>0.2787213339001603</v>
      </c>
      <c r="F63" s="4">
        <f t="shared" si="5"/>
        <v>737.2295760578163</v>
      </c>
    </row>
    <row r="64" spans="1:6">
      <c r="A64" s="7">
        <v>43353</v>
      </c>
      <c r="B64" s="1">
        <v>0.33333333333333331</v>
      </c>
      <c r="C64">
        <v>7603.5</v>
      </c>
      <c r="D64">
        <v>7.9</v>
      </c>
      <c r="E64" s="3">
        <f t="shared" si="4"/>
        <v>0.28287048652865476</v>
      </c>
      <c r="F64" s="4">
        <f t="shared" si="5"/>
        <v>737.65278962592276</v>
      </c>
    </row>
    <row r="65" spans="1:6">
      <c r="A65" s="7">
        <v>43363</v>
      </c>
      <c r="B65" s="1">
        <v>0.33333333333333331</v>
      </c>
      <c r="C65">
        <v>7658.8</v>
      </c>
      <c r="D65">
        <v>8.1</v>
      </c>
      <c r="E65" s="3">
        <f t="shared" si="4"/>
        <v>0.2739610990888246</v>
      </c>
      <c r="F65" s="4">
        <f t="shared" si="5"/>
        <v>736.74403210706009</v>
      </c>
    </row>
    <row r="66" spans="1:6">
      <c r="A66" s="7">
        <v>43373</v>
      </c>
      <c r="B66" s="1">
        <v>0.33333333333333331</v>
      </c>
      <c r="C66">
        <v>7667.1</v>
      </c>
      <c r="D66">
        <v>7.8</v>
      </c>
      <c r="E66" s="3">
        <f t="shared" si="4"/>
        <v>0.27161684275964459</v>
      </c>
      <c r="F66" s="4">
        <f t="shared" si="5"/>
        <v>736.50491796148367</v>
      </c>
    </row>
    <row r="67" spans="1:6">
      <c r="A67" s="7">
        <v>43383</v>
      </c>
      <c r="B67" s="1">
        <v>0.33333333333333331</v>
      </c>
      <c r="C67">
        <v>7670.3</v>
      </c>
      <c r="D67">
        <v>7.5</v>
      </c>
      <c r="E67" s="3">
        <f t="shared" si="4"/>
        <v>0.27015040735616502</v>
      </c>
      <c r="F67" s="4">
        <f t="shared" si="5"/>
        <v>736.35534155032883</v>
      </c>
    </row>
    <row r="68" spans="1:6">
      <c r="A68" s="7">
        <v>43393</v>
      </c>
      <c r="B68" s="1">
        <v>0.33333333333333331</v>
      </c>
      <c r="C68">
        <v>7674.5</v>
      </c>
      <c r="D68">
        <v>7.2</v>
      </c>
      <c r="E68" s="3">
        <f t="shared" si="4"/>
        <v>0.26851187422891676</v>
      </c>
      <c r="F68" s="4">
        <f t="shared" si="5"/>
        <v>736.18821117134951</v>
      </c>
    </row>
    <row r="69" spans="1:6">
      <c r="A69" s="32">
        <v>43605</v>
      </c>
      <c r="B69" s="1">
        <v>0.33333333333333331</v>
      </c>
      <c r="C69">
        <v>7702.9</v>
      </c>
      <c r="D69">
        <v>7.3</v>
      </c>
      <c r="E69" s="3">
        <f t="shared" si="4"/>
        <v>0.26392964600439861</v>
      </c>
      <c r="F69" s="4">
        <f t="shared" si="5"/>
        <v>735.72082389244861</v>
      </c>
    </row>
    <row r="70" spans="1:6">
      <c r="A70" s="32">
        <v>43615</v>
      </c>
      <c r="B70" s="1">
        <v>0.33333333333333331</v>
      </c>
      <c r="C70">
        <v>7703.5</v>
      </c>
      <c r="D70">
        <v>7.5</v>
      </c>
      <c r="E70" s="3">
        <f t="shared" si="4"/>
        <v>0.26443684814795476</v>
      </c>
      <c r="F70" s="4">
        <f t="shared" si="5"/>
        <v>735.77255851109135</v>
      </c>
    </row>
    <row r="71" spans="1:6">
      <c r="A71" s="32">
        <v>43626</v>
      </c>
      <c r="B71" s="1">
        <v>0.33333333333333331</v>
      </c>
      <c r="C71">
        <v>7705.3</v>
      </c>
      <c r="D71">
        <v>7.5</v>
      </c>
      <c r="E71" s="3">
        <f t="shared" si="4"/>
        <v>0.2641271072630188</v>
      </c>
      <c r="F71" s="4">
        <f t="shared" si="5"/>
        <v>735.74096494082789</v>
      </c>
    </row>
    <row r="72" spans="1:6">
      <c r="A72" s="32">
        <v>43636</v>
      </c>
      <c r="B72" s="1">
        <v>0.33333333333333331</v>
      </c>
      <c r="C72">
        <v>7707.2</v>
      </c>
      <c r="D72">
        <v>7.7</v>
      </c>
      <c r="E72" s="3">
        <f t="shared" si="4"/>
        <v>0.2644106117431102</v>
      </c>
      <c r="F72" s="4">
        <f t="shared" si="5"/>
        <v>735.76988239779723</v>
      </c>
    </row>
    <row r="73" spans="1:6">
      <c r="A73" s="7">
        <v>43646</v>
      </c>
      <c r="B73" s="1">
        <v>0.33333333333333331</v>
      </c>
      <c r="C73">
        <v>7710.5</v>
      </c>
      <c r="D73">
        <v>7.7</v>
      </c>
      <c r="E73" s="3">
        <f t="shared" si="4"/>
        <v>0.26384276762505676</v>
      </c>
      <c r="F73" s="4">
        <f t="shared" si="5"/>
        <v>735.71196229775569</v>
      </c>
    </row>
    <row r="74" spans="1:6">
      <c r="A74" s="7">
        <v>43656</v>
      </c>
      <c r="B74" s="1">
        <v>0.33333333333333331</v>
      </c>
      <c r="C74">
        <v>7698.3</v>
      </c>
      <c r="D74">
        <v>7.8</v>
      </c>
      <c r="E74" s="3">
        <f t="shared" si="4"/>
        <v>0.26624734741184408</v>
      </c>
      <c r="F74" s="4">
        <f t="shared" si="5"/>
        <v>735.95722943600799</v>
      </c>
    </row>
    <row r="75" spans="1:6">
      <c r="A75" s="7">
        <v>43666</v>
      </c>
      <c r="B75" s="1">
        <v>0.33333333333333331</v>
      </c>
      <c r="C75">
        <v>7687.1</v>
      </c>
      <c r="D75">
        <v>7.8</v>
      </c>
      <c r="E75" s="3">
        <f t="shared" si="4"/>
        <v>0.26817475048256068</v>
      </c>
      <c r="F75" s="4">
        <f t="shared" si="5"/>
        <v>736.1538245492211</v>
      </c>
    </row>
    <row r="76" spans="1:6">
      <c r="A76" s="7">
        <v>43676</v>
      </c>
      <c r="B76" s="1">
        <v>0.33333333333333331</v>
      </c>
      <c r="C76">
        <v>7650.3</v>
      </c>
      <c r="D76">
        <v>7.8</v>
      </c>
      <c r="E76" s="3">
        <f t="shared" si="4"/>
        <v>0.27450849857257698</v>
      </c>
      <c r="F76" s="4">
        <f t="shared" si="5"/>
        <v>736.79986685440281</v>
      </c>
    </row>
    <row r="77" spans="1:6">
      <c r="A77" s="7">
        <v>43687</v>
      </c>
      <c r="B77" s="1">
        <v>0.33333333333333331</v>
      </c>
      <c r="C77">
        <v>7627.1</v>
      </c>
      <c r="D77">
        <v>7.9</v>
      </c>
      <c r="E77" s="3">
        <f t="shared" si="4"/>
        <v>0.27880741021141253</v>
      </c>
      <c r="F77" s="4">
        <f t="shared" si="5"/>
        <v>737.23835584156404</v>
      </c>
    </row>
    <row r="78" spans="1:6">
      <c r="A78" s="7">
        <v>43697</v>
      </c>
      <c r="B78" s="1">
        <v>0.33333333333333331</v>
      </c>
      <c r="C78">
        <v>7619.5</v>
      </c>
      <c r="D78">
        <v>7.9</v>
      </c>
      <c r="E78" s="3">
        <f t="shared" si="4"/>
        <v>0.28011579984508661</v>
      </c>
      <c r="F78" s="4">
        <f t="shared" si="5"/>
        <v>737.37181158419878</v>
      </c>
    </row>
    <row r="79" spans="1:6">
      <c r="A79" s="7">
        <v>43707</v>
      </c>
      <c r="B79" s="1">
        <v>0.33333333333333331</v>
      </c>
      <c r="C79">
        <v>7613.4</v>
      </c>
      <c r="D79">
        <v>7.9</v>
      </c>
      <c r="E79" s="3">
        <f t="shared" si="4"/>
        <v>0.28116599500508277</v>
      </c>
      <c r="F79" s="4">
        <f t="shared" si="5"/>
        <v>737.47893149051845</v>
      </c>
    </row>
  </sheetData>
  <phoneticPr fontId="4" type="noConversion"/>
  <pageMargins left="0.69930555555555596" right="0.69930555555555596" top="0.75" bottom="0.75" header="0.3" footer="0.3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9"/>
  <sheetViews>
    <sheetView workbookViewId="0">
      <selection activeCell="B2" sqref="B2"/>
    </sheetView>
  </sheetViews>
  <sheetFormatPr defaultColWidth="9" defaultRowHeight="13.5"/>
  <cols>
    <col min="1" max="1" width="11.375" customWidth="1"/>
    <col min="2" max="2" width="13.875" customWidth="1"/>
  </cols>
  <sheetData>
    <row r="1" spans="1:7">
      <c r="A1" t="s">
        <v>0</v>
      </c>
      <c r="B1">
        <v>50353</v>
      </c>
      <c r="C1" t="s">
        <v>1</v>
      </c>
      <c r="D1">
        <v>727.4</v>
      </c>
    </row>
    <row r="2" spans="1:7">
      <c r="A2" t="s">
        <v>2</v>
      </c>
      <c r="B2" s="33">
        <f>3.7094*10^(-11)</f>
        <v>3.7094E-11</v>
      </c>
    </row>
    <row r="3" spans="1:7">
      <c r="A3" t="s">
        <v>3</v>
      </c>
      <c r="B3">
        <f>-0.000071918</f>
        <v>-7.1917999999999998E-5</v>
      </c>
    </row>
    <row r="4" spans="1:7">
      <c r="A4" t="s">
        <v>4</v>
      </c>
      <c r="B4">
        <f>0.70855246</f>
        <v>0.70855246000000005</v>
      </c>
    </row>
    <row r="5" spans="1:7">
      <c r="A5" t="s">
        <v>5</v>
      </c>
      <c r="B5">
        <f>-0.000969306</f>
        <v>-9.6930599999999997E-4</v>
      </c>
    </row>
    <row r="6" spans="1:7">
      <c r="A6" t="s">
        <v>6</v>
      </c>
      <c r="B6" t="s">
        <v>7</v>
      </c>
      <c r="C6" t="s">
        <v>8</v>
      </c>
      <c r="D6" t="s">
        <v>9</v>
      </c>
      <c r="E6" t="s">
        <v>10</v>
      </c>
      <c r="F6" t="s">
        <v>11</v>
      </c>
      <c r="G6" t="s">
        <v>12</v>
      </c>
    </row>
    <row r="7" spans="1:7">
      <c r="A7" t="s">
        <v>40</v>
      </c>
      <c r="B7" s="1">
        <v>0.375</v>
      </c>
      <c r="C7" s="2">
        <v>9427.2000000000007</v>
      </c>
      <c r="D7" s="2">
        <v>18.399999999999999</v>
      </c>
      <c r="E7" s="3">
        <f>($B$2*C7^2+$B$3*C7+$B$4)-$B$5*D7</f>
        <v>5.169894247146499E-2</v>
      </c>
      <c r="G7" t="s">
        <v>13</v>
      </c>
    </row>
    <row r="8" spans="1:7">
      <c r="A8" t="s">
        <v>41</v>
      </c>
      <c r="B8" s="1">
        <v>0.39583333333333298</v>
      </c>
      <c r="C8" s="2">
        <v>9347</v>
      </c>
      <c r="D8" s="2">
        <v>30.8</v>
      </c>
      <c r="E8" s="3">
        <f>($B$2*C8^2+$B$3*C8+$B$4)-$B$5*D8-$E$7</f>
        <v>1.7731365903981069E-2</v>
      </c>
      <c r="F8" s="4">
        <f>$D$1+102*E8</f>
        <v>729.20859932220606</v>
      </c>
      <c r="G8" t="s">
        <v>17</v>
      </c>
    </row>
    <row r="9" spans="1:7">
      <c r="A9" t="s">
        <v>34</v>
      </c>
      <c r="B9" s="1">
        <v>0.33333333333333298</v>
      </c>
      <c r="C9" s="2">
        <v>9210.2999999999993</v>
      </c>
      <c r="D9" s="2">
        <v>25.1</v>
      </c>
      <c r="E9" s="3">
        <f t="shared" ref="E9:E18" si="0">($B$2*C9^2+$B$3*C9+$B$4)-$B$5*D9-$E$7</f>
        <v>2.1943412878717594E-2</v>
      </c>
      <c r="F9" s="4">
        <f t="shared" ref="F9:F61" si="1">$D$1+102*E9</f>
        <v>729.63822811362922</v>
      </c>
      <c r="G9" t="s">
        <v>14</v>
      </c>
    </row>
    <row r="10" spans="1:7">
      <c r="A10" t="s">
        <v>35</v>
      </c>
      <c r="B10" s="1">
        <v>0.33333333333333298</v>
      </c>
      <c r="C10" s="2">
        <v>9216.6</v>
      </c>
      <c r="D10" s="2">
        <v>25.6</v>
      </c>
      <c r="E10" s="3">
        <f t="shared" si="0"/>
        <v>2.1979288701517774E-2</v>
      </c>
      <c r="F10" s="4">
        <f t="shared" si="1"/>
        <v>729.64188744755484</v>
      </c>
    </row>
    <row r="11" spans="1:7">
      <c r="A11" t="s">
        <v>27</v>
      </c>
      <c r="B11" s="1">
        <v>0.33333333333333298</v>
      </c>
      <c r="C11" s="2">
        <v>9232</v>
      </c>
      <c r="D11" s="2">
        <v>25.9</v>
      </c>
      <c r="E11" s="3">
        <f t="shared" si="0"/>
        <v>2.1173082019991102E-2</v>
      </c>
      <c r="F11" s="4">
        <f t="shared" si="1"/>
        <v>729.55965436603913</v>
      </c>
    </row>
    <row r="12" spans="1:7">
      <c r="A12" t="s">
        <v>36</v>
      </c>
      <c r="B12" s="1">
        <v>0.33333333333333298</v>
      </c>
      <c r="C12" s="2">
        <v>9240.7000000000007</v>
      </c>
      <c r="D12" s="2">
        <v>26.2</v>
      </c>
      <c r="E12" s="3">
        <f t="shared" si="0"/>
        <v>2.0844148689095079E-2</v>
      </c>
      <c r="F12" s="4">
        <f t="shared" si="1"/>
        <v>729.52610316628773</v>
      </c>
    </row>
    <row r="13" spans="1:7">
      <c r="A13" t="s">
        <v>37</v>
      </c>
      <c r="B13" s="1">
        <v>0.33333333333333298</v>
      </c>
      <c r="C13" s="2">
        <v>9254.7000000000007</v>
      </c>
      <c r="D13" s="2">
        <v>26.8</v>
      </c>
      <c r="E13" s="3">
        <f t="shared" si="0"/>
        <v>2.0428485246241426E-2</v>
      </c>
      <c r="F13" s="4">
        <f t="shared" si="1"/>
        <v>729.48370549511662</v>
      </c>
    </row>
    <row r="14" spans="1:7">
      <c r="A14" t="s">
        <v>38</v>
      </c>
      <c r="B14" s="1">
        <v>0.33333333333333298</v>
      </c>
      <c r="C14" s="2">
        <v>9255.5</v>
      </c>
      <c r="D14" s="2">
        <v>26.9</v>
      </c>
      <c r="E14" s="3">
        <f t="shared" si="0"/>
        <v>2.0468430740128579E-2</v>
      </c>
      <c r="F14" s="4">
        <f t="shared" si="1"/>
        <v>729.48777993549311</v>
      </c>
    </row>
    <row r="15" spans="1:7">
      <c r="A15" t="s">
        <v>39</v>
      </c>
      <c r="B15" s="1">
        <v>0.33333333333333298</v>
      </c>
      <c r="C15" s="2">
        <v>9256</v>
      </c>
      <c r="D15" s="2">
        <v>27</v>
      </c>
      <c r="E15" s="3">
        <f t="shared" si="0"/>
        <v>2.0529745672919139E-2</v>
      </c>
      <c r="F15" s="4">
        <f t="shared" si="1"/>
        <v>729.49403405863768</v>
      </c>
    </row>
    <row r="16" spans="1:7">
      <c r="A16" t="s">
        <v>28</v>
      </c>
      <c r="B16" s="1">
        <v>0.33333333333333298</v>
      </c>
      <c r="C16" s="2">
        <v>9233.9</v>
      </c>
      <c r="D16" s="2">
        <v>27.3</v>
      </c>
      <c r="E16" s="3">
        <f t="shared" si="0"/>
        <v>2.2394767670770768E-2</v>
      </c>
      <c r="F16" s="4">
        <f t="shared" si="1"/>
        <v>729.68426630241856</v>
      </c>
    </row>
    <row r="17" spans="1:7">
      <c r="A17" t="s">
        <v>29</v>
      </c>
      <c r="B17" s="1">
        <v>0.33333333333333298</v>
      </c>
      <c r="C17" s="2">
        <v>9206.1</v>
      </c>
      <c r="D17" s="2">
        <v>27.1</v>
      </c>
      <c r="E17" s="3">
        <f t="shared" si="0"/>
        <v>2.4181211299362793E-2</v>
      </c>
      <c r="F17" s="4">
        <f t="shared" si="1"/>
        <v>729.86648355253499</v>
      </c>
    </row>
    <row r="18" spans="1:7">
      <c r="A18" t="s">
        <v>30</v>
      </c>
      <c r="B18" s="1">
        <v>0.33333333333333298</v>
      </c>
      <c r="C18" s="2">
        <v>9130.1</v>
      </c>
      <c r="D18" s="2">
        <v>26.4</v>
      </c>
      <c r="E18" s="3">
        <f t="shared" si="0"/>
        <v>2.8916772711150091E-2</v>
      </c>
      <c r="F18" s="4">
        <f t="shared" si="1"/>
        <v>730.3495108165373</v>
      </c>
    </row>
    <row r="19" spans="1:7">
      <c r="A19" t="s">
        <v>31</v>
      </c>
      <c r="B19" s="9">
        <v>0.33333333333333298</v>
      </c>
      <c r="C19" s="2">
        <v>9039.9</v>
      </c>
      <c r="D19" s="2">
        <v>24.5</v>
      </c>
      <c r="E19" s="3">
        <f t="shared" ref="E19:E25" si="2">($B$2*C19^2+$B$3*C19+$B$4)-$B$5*D19-$E$7</f>
        <v>3.3501300293354005E-2</v>
      </c>
      <c r="F19" s="4">
        <f t="shared" si="1"/>
        <v>730.81713262992207</v>
      </c>
      <c r="G19" s="2"/>
    </row>
    <row r="20" spans="1:7">
      <c r="A20" t="s">
        <v>32</v>
      </c>
      <c r="B20" s="9">
        <v>0.33333333333333298</v>
      </c>
      <c r="C20" s="2">
        <v>8947.7000000000007</v>
      </c>
      <c r="D20" s="2">
        <v>23.1</v>
      </c>
      <c r="E20" s="3">
        <f t="shared" si="2"/>
        <v>3.8713592699782376E-2</v>
      </c>
      <c r="F20" s="4">
        <f t="shared" si="1"/>
        <v>731.34878645537776</v>
      </c>
      <c r="G20" s="2"/>
    </row>
    <row r="21" spans="1:7">
      <c r="A21" t="s">
        <v>42</v>
      </c>
      <c r="B21" s="1">
        <v>0.33333333333333298</v>
      </c>
      <c r="C21">
        <v>8670.5</v>
      </c>
      <c r="D21" s="2">
        <v>10.5</v>
      </c>
      <c r="E21" s="3">
        <f t="shared" si="2"/>
        <v>4.6254848319388628E-2</v>
      </c>
      <c r="F21" s="4">
        <f t="shared" si="1"/>
        <v>732.11799452857758</v>
      </c>
    </row>
    <row r="22" spans="1:7">
      <c r="A22" t="s">
        <v>46</v>
      </c>
      <c r="B22" s="1">
        <v>0.33333333333333298</v>
      </c>
      <c r="C22">
        <v>8831.6</v>
      </c>
      <c r="D22" s="2">
        <v>10.1</v>
      </c>
      <c r="E22" s="3">
        <f t="shared" si="2"/>
        <v>3.4385725928159735E-2</v>
      </c>
      <c r="F22" s="4">
        <f t="shared" si="1"/>
        <v>730.9073440446723</v>
      </c>
    </row>
    <row r="23" spans="1:7">
      <c r="A23" t="s">
        <v>44</v>
      </c>
      <c r="B23" s="1">
        <v>0.33333333333333298</v>
      </c>
      <c r="C23">
        <v>8901.5</v>
      </c>
      <c r="D23" s="2">
        <v>11</v>
      </c>
      <c r="E23" s="3">
        <f t="shared" si="2"/>
        <v>3.0277012761796604E-2</v>
      </c>
      <c r="F23" s="4">
        <f t="shared" si="1"/>
        <v>730.48825530170325</v>
      </c>
    </row>
    <row r="24" spans="1:7">
      <c r="A24" s="5" t="s">
        <v>47</v>
      </c>
      <c r="B24" s="1">
        <v>0.33333333333333298</v>
      </c>
      <c r="C24">
        <v>8797.4</v>
      </c>
      <c r="D24" s="2">
        <v>10</v>
      </c>
      <c r="E24" s="3">
        <f t="shared" si="2"/>
        <v>3.6726026517850494E-2</v>
      </c>
      <c r="F24" s="4">
        <f t="shared" si="1"/>
        <v>731.1460547048207</v>
      </c>
    </row>
    <row r="25" spans="1:7">
      <c r="A25" s="6">
        <v>42544</v>
      </c>
      <c r="B25" s="1">
        <v>0.33333333333333298</v>
      </c>
      <c r="C25">
        <v>8623.7999999999993</v>
      </c>
      <c r="D25" s="2">
        <v>10.199999999999999</v>
      </c>
      <c r="E25" s="3">
        <f t="shared" si="2"/>
        <v>4.9292668379900428E-2</v>
      </c>
      <c r="F25" s="4">
        <f t="shared" si="1"/>
        <v>732.42785217474977</v>
      </c>
    </row>
    <row r="26" spans="1:7">
      <c r="A26" s="7">
        <v>42551</v>
      </c>
      <c r="B26" s="1">
        <v>0.33333333333333298</v>
      </c>
      <c r="C26">
        <v>8742.4</v>
      </c>
      <c r="D26">
        <v>10</v>
      </c>
      <c r="E26" s="3">
        <f>($B$2*C26^2+$B$3*C26+$B$4)-$B$5*D26-$E$7</f>
        <v>4.0645732344084515E-2</v>
      </c>
      <c r="F26" s="4">
        <f t="shared" si="1"/>
        <v>731.54586469909657</v>
      </c>
    </row>
    <row r="27" spans="1:7">
      <c r="A27" s="7">
        <v>42561</v>
      </c>
      <c r="B27" s="9">
        <v>0.33333333333333298</v>
      </c>
      <c r="C27">
        <v>8694.7999999999993</v>
      </c>
      <c r="D27">
        <v>10</v>
      </c>
      <c r="E27" s="3">
        <f>($B$2*C27^2+$B$3*C27+$B$4)-$B$5*D27-$E$7</f>
        <v>4.4038240726436903E-2</v>
      </c>
      <c r="F27" s="4">
        <f t="shared" si="1"/>
        <v>731.89190055409654</v>
      </c>
    </row>
    <row r="28" spans="1:7">
      <c r="A28" s="7">
        <v>42571</v>
      </c>
      <c r="B28" s="1">
        <v>0.33333333333333298</v>
      </c>
      <c r="C28">
        <v>8722.2000000000007</v>
      </c>
      <c r="D28" s="2">
        <v>10.5</v>
      </c>
      <c r="E28" s="3">
        <f>($B$2*C28^2+$B$3*C28+$B$4)-$B$5*D28-$E$7</f>
        <v>4.2570042740261979E-2</v>
      </c>
      <c r="F28" s="4">
        <f t="shared" si="1"/>
        <v>731.74214435950671</v>
      </c>
    </row>
    <row r="29" spans="1:7">
      <c r="A29" s="7">
        <v>42581</v>
      </c>
      <c r="B29" s="9">
        <v>0.33333333333333298</v>
      </c>
      <c r="C29">
        <v>8742.1</v>
      </c>
      <c r="D29" s="2">
        <v>10.7</v>
      </c>
      <c r="E29" s="3">
        <f>($B$2*C29^2+$B$3*C29+$B$4)-$B$5*D29-$E$7</f>
        <v>4.134562737307157E-2</v>
      </c>
      <c r="F29" s="4">
        <f t="shared" si="1"/>
        <v>731.61725399205329</v>
      </c>
    </row>
    <row r="30" spans="1:7">
      <c r="A30" s="7">
        <v>42592</v>
      </c>
      <c r="B30" s="1">
        <v>0.33333333333333298</v>
      </c>
      <c r="C30">
        <v>8664.2000000000007</v>
      </c>
      <c r="D30">
        <v>10.9</v>
      </c>
      <c r="E30" s="3">
        <f t="shared" ref="E30:E52" si="3">($B$2*C30^2+$B$3*C30+$B$4)-$B$5*D30-$E$7</f>
        <v>4.7091603135209242E-2</v>
      </c>
      <c r="F30" s="4">
        <f t="shared" si="1"/>
        <v>732.20334351979136</v>
      </c>
    </row>
    <row r="31" spans="1:7">
      <c r="A31" s="7">
        <v>42602</v>
      </c>
      <c r="B31" s="1">
        <v>0.33333333333333298</v>
      </c>
      <c r="C31">
        <v>8787.2999999999993</v>
      </c>
      <c r="D31">
        <v>10.6</v>
      </c>
      <c r="E31" s="3">
        <f t="shared" si="3"/>
        <v>3.802739382054636E-2</v>
      </c>
      <c r="F31" s="4">
        <f t="shared" si="1"/>
        <v>731.27879416969574</v>
      </c>
    </row>
    <row r="32" spans="1:7">
      <c r="A32" s="7">
        <v>42612</v>
      </c>
      <c r="B32" s="1">
        <v>0.33333333333333298</v>
      </c>
      <c r="C32">
        <v>8781.9</v>
      </c>
      <c r="D32">
        <v>10.5</v>
      </c>
      <c r="E32" s="3">
        <f t="shared" si="3"/>
        <v>3.8315301176260461E-2</v>
      </c>
      <c r="F32" s="4">
        <f t="shared" si="1"/>
        <v>731.30816071997856</v>
      </c>
    </row>
    <row r="33" spans="1:7">
      <c r="A33" s="7">
        <v>42623</v>
      </c>
      <c r="B33" s="1">
        <v>0.33333333333333298</v>
      </c>
      <c r="C33">
        <v>8811.4</v>
      </c>
      <c r="D33">
        <v>10.199999999999999</v>
      </c>
      <c r="E33" s="3">
        <f t="shared" si="3"/>
        <v>3.592218024943139E-2</v>
      </c>
      <c r="F33" s="4">
        <f t="shared" si="1"/>
        <v>731.06406238544196</v>
      </c>
    </row>
    <row r="34" spans="1:7">
      <c r="A34" s="7">
        <v>42633</v>
      </c>
      <c r="B34" s="1">
        <v>0.33333333333333331</v>
      </c>
      <c r="C34">
        <v>8718.6</v>
      </c>
      <c r="D34">
        <v>9.9</v>
      </c>
      <c r="E34" s="3">
        <f t="shared" si="3"/>
        <v>4.2245034923735353E-2</v>
      </c>
      <c r="F34" s="4">
        <f t="shared" si="1"/>
        <v>731.70899356222094</v>
      </c>
    </row>
    <row r="35" spans="1:7">
      <c r="A35" s="7">
        <v>42653</v>
      </c>
      <c r="B35" s="1">
        <v>0.33333333333333331</v>
      </c>
      <c r="C35">
        <v>7991.6</v>
      </c>
      <c r="D35">
        <v>10.199999999999999</v>
      </c>
      <c r="E35" s="3">
        <f t="shared" si="3"/>
        <v>9.4369583112287617E-2</v>
      </c>
      <c r="F35" s="4">
        <f t="shared" si="1"/>
        <v>737.02569747745326</v>
      </c>
      <c r="G35" t="s">
        <v>62</v>
      </c>
    </row>
    <row r="36" spans="1:7">
      <c r="A36" s="7">
        <v>42855</v>
      </c>
      <c r="B36" s="1">
        <v>0.33333333333333331</v>
      </c>
      <c r="C36">
        <v>7974.6</v>
      </c>
      <c r="D36">
        <v>8</v>
      </c>
      <c r="E36" s="3">
        <f t="shared" si="3"/>
        <v>9.3449647658500043E-2</v>
      </c>
      <c r="F36" s="4">
        <f t="shared" si="1"/>
        <v>736.93186406116695</v>
      </c>
    </row>
    <row r="37" spans="1:7">
      <c r="A37" s="7">
        <v>42865</v>
      </c>
      <c r="B37" s="1">
        <v>0.33333333333333331</v>
      </c>
      <c r="C37">
        <v>7867.2</v>
      </c>
      <c r="D37">
        <v>7.8</v>
      </c>
      <c r="E37" s="3">
        <f t="shared" si="3"/>
        <v>0.10091666758118407</v>
      </c>
      <c r="F37" s="4">
        <f t="shared" si="1"/>
        <v>737.6935000932807</v>
      </c>
    </row>
    <row r="38" spans="1:7">
      <c r="A38" s="7">
        <v>42875</v>
      </c>
      <c r="B38" s="1">
        <v>0.33333333333333331</v>
      </c>
      <c r="C38">
        <v>7971.6</v>
      </c>
      <c r="D38">
        <v>7.7</v>
      </c>
      <c r="E38" s="3">
        <f t="shared" si="3"/>
        <v>9.3372835333471751E-2</v>
      </c>
      <c r="F38" s="4">
        <f t="shared" si="1"/>
        <v>736.92402920401412</v>
      </c>
    </row>
    <row r="39" spans="1:7">
      <c r="A39" s="7">
        <v>42885</v>
      </c>
      <c r="B39" s="1">
        <v>0.33333333333333331</v>
      </c>
      <c r="C39">
        <v>7993.6</v>
      </c>
      <c r="D39">
        <v>7.7</v>
      </c>
      <c r="E39" s="3">
        <f t="shared" si="3"/>
        <v>9.1803668022305232E-2</v>
      </c>
      <c r="F39" s="4">
        <f t="shared" si="1"/>
        <v>736.7639741382751</v>
      </c>
    </row>
    <row r="40" spans="1:7">
      <c r="A40" s="7">
        <v>42896</v>
      </c>
      <c r="B40" s="1">
        <v>0.33333333333333331</v>
      </c>
      <c r="C40">
        <v>7992.9</v>
      </c>
      <c r="D40">
        <v>7.8</v>
      </c>
      <c r="E40" s="3">
        <f t="shared" si="3"/>
        <v>9.1950526120043688E-2</v>
      </c>
      <c r="F40" s="4">
        <f t="shared" si="1"/>
        <v>736.77895366424445</v>
      </c>
    </row>
    <row r="41" spans="1:7">
      <c r="A41" s="7">
        <v>42906</v>
      </c>
      <c r="B41" s="1">
        <v>0.33333333333333331</v>
      </c>
      <c r="C41">
        <v>7966.9</v>
      </c>
      <c r="D41">
        <v>8</v>
      </c>
      <c r="E41" s="3">
        <f t="shared" si="3"/>
        <v>9.3998862986692452E-2</v>
      </c>
      <c r="F41" s="4">
        <f t="shared" si="1"/>
        <v>736.98788402464265</v>
      </c>
    </row>
    <row r="42" spans="1:7">
      <c r="A42" s="7">
        <v>42926</v>
      </c>
      <c r="B42" s="1">
        <v>0.33333333333333331</v>
      </c>
      <c r="C42">
        <v>7956</v>
      </c>
      <c r="D42">
        <v>8.1</v>
      </c>
      <c r="E42" s="3">
        <f t="shared" si="3"/>
        <v>9.4873261766519071E-2</v>
      </c>
      <c r="F42" s="4">
        <f t="shared" si="1"/>
        <v>737.07707270018489</v>
      </c>
    </row>
    <row r="43" spans="1:7">
      <c r="A43" s="7">
        <v>42936</v>
      </c>
      <c r="B43" s="1">
        <v>0.33333333333333331</v>
      </c>
      <c r="C43">
        <v>7973.6</v>
      </c>
      <c r="D43">
        <v>8.3000000000000007</v>
      </c>
      <c r="E43" s="3">
        <f t="shared" si="3"/>
        <v>9.3811765875969358E-2</v>
      </c>
      <c r="F43" s="4">
        <f t="shared" si="1"/>
        <v>736.96880011934888</v>
      </c>
    </row>
    <row r="44" spans="1:7">
      <c r="A44" s="7">
        <v>42946</v>
      </c>
      <c r="B44" s="1">
        <v>0.33333333333333331</v>
      </c>
      <c r="C44">
        <v>7961.5</v>
      </c>
      <c r="D44">
        <v>8.5</v>
      </c>
      <c r="E44" s="3">
        <f t="shared" si="3"/>
        <v>9.4868682607116658E-2</v>
      </c>
      <c r="F44" s="4">
        <f t="shared" si="1"/>
        <v>737.07660562592582</v>
      </c>
    </row>
    <row r="45" spans="1:7">
      <c r="A45" s="7">
        <v>42957</v>
      </c>
      <c r="B45" s="1">
        <v>0.33333333333333331</v>
      </c>
      <c r="C45">
        <v>7949.3</v>
      </c>
      <c r="D45">
        <v>8.8000000000000007</v>
      </c>
      <c r="E45" s="3">
        <f t="shared" si="3"/>
        <v>9.6029673625491155E-2</v>
      </c>
      <c r="F45" s="4">
        <f t="shared" si="1"/>
        <v>737.19502670980012</v>
      </c>
    </row>
    <row r="46" spans="1:7">
      <c r="A46" s="7">
        <v>42967</v>
      </c>
      <c r="B46" s="1">
        <v>0.33333333333333331</v>
      </c>
      <c r="C46">
        <v>7970.9</v>
      </c>
      <c r="D46">
        <v>9.1999999999999993</v>
      </c>
      <c r="E46" s="3">
        <f t="shared" si="3"/>
        <v>9.4876722973705321E-2</v>
      </c>
      <c r="F46" s="4">
        <f t="shared" si="1"/>
        <v>737.07742574331792</v>
      </c>
    </row>
    <row r="47" spans="1:7">
      <c r="A47" s="7">
        <v>42977</v>
      </c>
      <c r="B47" s="1">
        <v>0.33333333333333331</v>
      </c>
      <c r="C47">
        <v>7953.2</v>
      </c>
      <c r="D47">
        <v>9.4</v>
      </c>
      <c r="E47" s="3">
        <f t="shared" si="3"/>
        <v>9.633307758609759E-2</v>
      </c>
      <c r="F47" s="4">
        <f t="shared" si="1"/>
        <v>737.2259739137819</v>
      </c>
    </row>
    <row r="48" spans="1:7">
      <c r="A48" s="7">
        <v>42988</v>
      </c>
      <c r="B48" s="1">
        <v>0.33333333333333331</v>
      </c>
      <c r="C48">
        <v>7957.8</v>
      </c>
      <c r="D48">
        <v>9.4</v>
      </c>
      <c r="E48" s="3">
        <f t="shared" si="3"/>
        <v>9.6004969718214081E-2</v>
      </c>
      <c r="F48" s="4">
        <f t="shared" si="1"/>
        <v>737.19250691125785</v>
      </c>
    </row>
    <row r="49" spans="1:6">
      <c r="A49" s="7">
        <v>42998</v>
      </c>
      <c r="B49" s="1">
        <v>0.33333333333333331</v>
      </c>
      <c r="C49">
        <v>7964.7</v>
      </c>
      <c r="D49">
        <v>9.4</v>
      </c>
      <c r="E49" s="3">
        <f t="shared" si="3"/>
        <v>9.5512810859797612E-2</v>
      </c>
      <c r="F49" s="4">
        <f t="shared" si="1"/>
        <v>737.14230670769939</v>
      </c>
    </row>
    <row r="50" spans="1:6">
      <c r="A50" s="7">
        <v>43008</v>
      </c>
      <c r="B50" s="1">
        <v>0.33333333333333331</v>
      </c>
      <c r="C50">
        <v>7982.8</v>
      </c>
      <c r="D50">
        <v>9.4</v>
      </c>
      <c r="E50" s="3">
        <f t="shared" si="3"/>
        <v>9.4221802233624016E-2</v>
      </c>
      <c r="F50" s="4">
        <f t="shared" si="1"/>
        <v>737.01062382782959</v>
      </c>
    </row>
    <row r="51" spans="1:6">
      <c r="A51" s="7">
        <v>43018</v>
      </c>
      <c r="B51" s="1">
        <v>0.33333333333333331</v>
      </c>
      <c r="C51">
        <v>7968.5</v>
      </c>
      <c r="D51">
        <v>9.4</v>
      </c>
      <c r="E51" s="3">
        <f t="shared" si="3"/>
        <v>9.5241768359056553E-2</v>
      </c>
      <c r="F51" s="4">
        <f t="shared" si="1"/>
        <v>737.1146603726238</v>
      </c>
    </row>
    <row r="52" spans="1:6">
      <c r="A52" s="7">
        <v>43230</v>
      </c>
      <c r="B52" s="1">
        <v>0.33333333333333331</v>
      </c>
      <c r="C52">
        <v>7887.1</v>
      </c>
      <c r="D52">
        <v>5.0999999999999996</v>
      </c>
      <c r="E52" s="3">
        <f t="shared" si="3"/>
        <v>9.6880002542267654E-2</v>
      </c>
      <c r="F52" s="4">
        <f t="shared" si="1"/>
        <v>737.28176025931123</v>
      </c>
    </row>
    <row r="53" spans="1:6">
      <c r="A53" s="7">
        <v>43240</v>
      </c>
      <c r="B53" s="1">
        <v>0.33333333333333331</v>
      </c>
      <c r="C53">
        <v>7895.8</v>
      </c>
      <c r="D53">
        <v>5.4</v>
      </c>
      <c r="E53" s="3">
        <f>($B$2*C53^2+$B$3*C53+$B$4)-$B$5*D53-$E$7</f>
        <v>9.6550201165033142E-2</v>
      </c>
      <c r="F53" s="4">
        <f t="shared" si="1"/>
        <v>737.24812051883339</v>
      </c>
    </row>
    <row r="54" spans="1:6">
      <c r="A54" s="7">
        <v>43250</v>
      </c>
      <c r="B54" s="1">
        <v>0.33333333333333331</v>
      </c>
      <c r="C54">
        <v>7889.8</v>
      </c>
      <c r="D54">
        <v>5.0999999999999996</v>
      </c>
      <c r="E54" s="3">
        <f>($B$2*C54^2+$B$3*C54+$B$4)-$B$5*D54-$E$7</f>
        <v>9.6687404058754825E-2</v>
      </c>
      <c r="F54" s="4">
        <f t="shared" si="1"/>
        <v>737.26211521399296</v>
      </c>
    </row>
    <row r="55" spans="1:6">
      <c r="A55" s="7">
        <v>43261</v>
      </c>
      <c r="B55" s="1">
        <v>0.33333333333333331</v>
      </c>
      <c r="C55">
        <v>7843.7</v>
      </c>
      <c r="D55">
        <v>5.0999999999999996</v>
      </c>
      <c r="E55" s="3">
        <f>($B$2*C55^2+$B$3*C55+$B$4)-$B$5*D55-$E$7</f>
        <v>9.9975919048255937E-2</v>
      </c>
      <c r="F55" s="4">
        <f t="shared" si="1"/>
        <v>737.59754374292208</v>
      </c>
    </row>
    <row r="56" spans="1:6">
      <c r="A56" s="7">
        <v>43271</v>
      </c>
      <c r="B56" s="1">
        <v>0.33333333333333331</v>
      </c>
      <c r="C56">
        <v>7708.2</v>
      </c>
      <c r="D56">
        <v>5.6</v>
      </c>
      <c r="E56" s="3">
        <f>($B$2*C56^2+$B$3*C56+$B$4)-$B$5*D56-$E$7</f>
        <v>0.11012729351305568</v>
      </c>
      <c r="F56" s="4">
        <f t="shared" si="1"/>
        <v>738.63298393833168</v>
      </c>
    </row>
    <row r="57" spans="1:6">
      <c r="A57" s="7">
        <v>43281</v>
      </c>
      <c r="B57" s="1">
        <v>0.33333333333333331</v>
      </c>
      <c r="C57">
        <v>7765.9</v>
      </c>
      <c r="D57">
        <v>5.5</v>
      </c>
      <c r="E57" s="3">
        <f>($B$2*C57^2+$B$3*C57+$B$4)-$B$5*D57-$E$7</f>
        <v>0.10591381389756925</v>
      </c>
      <c r="F57" s="4">
        <f t="shared" si="1"/>
        <v>738.20320901755201</v>
      </c>
    </row>
    <row r="58" spans="1:6">
      <c r="A58" s="7">
        <v>43291</v>
      </c>
      <c r="B58" s="1">
        <v>0.33333333333333331</v>
      </c>
      <c r="C58">
        <v>7860.1</v>
      </c>
      <c r="D58">
        <v>6.2</v>
      </c>
      <c r="E58" s="3">
        <f t="shared" ref="E58:E61" si="4">($B$2*C58^2+$B$3*C58+$B$4)-$B$5*D58-$E$7</f>
        <v>9.987225372307397E-2</v>
      </c>
      <c r="F58" s="4">
        <f t="shared" si="1"/>
        <v>737.5869698797535</v>
      </c>
    </row>
    <row r="59" spans="1:6">
      <c r="A59" s="7">
        <v>43301</v>
      </c>
      <c r="B59" s="1">
        <v>0.33333333333333331</v>
      </c>
      <c r="C59">
        <v>7851.9</v>
      </c>
      <c r="D59">
        <v>6</v>
      </c>
      <c r="E59" s="3">
        <f t="shared" si="4"/>
        <v>0.10026334099146449</v>
      </c>
      <c r="F59" s="4">
        <f t="shared" si="1"/>
        <v>737.62686078112938</v>
      </c>
    </row>
    <row r="60" spans="1:6">
      <c r="A60" s="7">
        <v>43311</v>
      </c>
      <c r="B60" s="1">
        <v>0.33333333333333331</v>
      </c>
      <c r="C60">
        <v>7854.1</v>
      </c>
      <c r="D60">
        <v>5.9</v>
      </c>
      <c r="E60" s="3">
        <f t="shared" si="4"/>
        <v>0.10000947250786522</v>
      </c>
      <c r="F60" s="4">
        <f t="shared" si="1"/>
        <v>737.60096619580224</v>
      </c>
    </row>
    <row r="61" spans="1:6">
      <c r="A61" s="7">
        <v>43322</v>
      </c>
      <c r="B61" s="1">
        <v>0.33333333333333331</v>
      </c>
      <c r="C61">
        <v>7822.8</v>
      </c>
      <c r="D61">
        <v>6.5</v>
      </c>
      <c r="E61" s="3">
        <f t="shared" si="4"/>
        <v>0.10282388796539997</v>
      </c>
      <c r="F61" s="4">
        <f t="shared" si="1"/>
        <v>737.88803657247081</v>
      </c>
    </row>
    <row r="62" spans="1:6">
      <c r="A62" s="7">
        <v>43332</v>
      </c>
      <c r="B62" s="1">
        <v>0.33333333333333331</v>
      </c>
      <c r="C62">
        <v>7854.3</v>
      </c>
      <c r="D62">
        <v>5.6</v>
      </c>
      <c r="E62" s="3">
        <f t="shared" ref="E62:E79" si="5">($B$2*C62^2+$B$3*C62+$B$4)-$B$5*D62-$E$7</f>
        <v>9.9704413645343173E-2</v>
      </c>
      <c r="F62" s="4">
        <f t="shared" ref="F62:F79" si="6">$D$1+102*E62</f>
        <v>737.56985019182503</v>
      </c>
    </row>
    <row r="63" spans="1:6">
      <c r="A63" s="7">
        <v>43342</v>
      </c>
      <c r="B63" s="1">
        <v>0.33333333333333331</v>
      </c>
      <c r="C63">
        <v>7802.3</v>
      </c>
      <c r="D63">
        <v>5.8</v>
      </c>
      <c r="E63" s="3">
        <f t="shared" si="5"/>
        <v>0.10360781101748238</v>
      </c>
      <c r="F63" s="4">
        <f t="shared" si="6"/>
        <v>737.96799672378313</v>
      </c>
    </row>
    <row r="64" spans="1:6">
      <c r="A64" s="7">
        <v>43353</v>
      </c>
      <c r="B64" s="1">
        <v>0.33333333333333331</v>
      </c>
      <c r="C64">
        <v>7714.9</v>
      </c>
      <c r="D64">
        <v>6.6</v>
      </c>
      <c r="E64" s="3">
        <f t="shared" si="5"/>
        <v>0.11061858201301407</v>
      </c>
      <c r="F64" s="4">
        <f t="shared" si="6"/>
        <v>738.6830953653274</v>
      </c>
    </row>
    <row r="65" spans="1:6">
      <c r="A65" s="7">
        <v>43363</v>
      </c>
      <c r="B65" s="1">
        <v>0.33333333333333331</v>
      </c>
      <c r="C65">
        <v>7819</v>
      </c>
      <c r="D65">
        <v>7</v>
      </c>
      <c r="E65" s="3">
        <f t="shared" si="5"/>
        <v>0.10357962454106916</v>
      </c>
      <c r="F65" s="4">
        <f t="shared" si="6"/>
        <v>737.96512170318908</v>
      </c>
    </row>
    <row r="66" spans="1:6">
      <c r="A66" s="7">
        <v>43373</v>
      </c>
      <c r="B66" s="1">
        <v>0.33333333333333331</v>
      </c>
      <c r="C66">
        <v>7830.3</v>
      </c>
      <c r="D66">
        <v>6.7</v>
      </c>
      <c r="E66" s="3">
        <f t="shared" si="5"/>
        <v>0.10248271893608553</v>
      </c>
      <c r="F66" s="4">
        <f t="shared" si="6"/>
        <v>737.85323733148073</v>
      </c>
    </row>
    <row r="67" spans="1:6">
      <c r="A67" s="7">
        <v>43383</v>
      </c>
      <c r="B67" s="1">
        <v>0.33333333333333331</v>
      </c>
      <c r="C67">
        <v>7837.2</v>
      </c>
      <c r="D67">
        <v>6.5</v>
      </c>
      <c r="E67" s="3">
        <f t="shared" si="5"/>
        <v>0.10179663361077605</v>
      </c>
      <c r="F67" s="4">
        <f t="shared" si="6"/>
        <v>737.78325662829911</v>
      </c>
    </row>
    <row r="68" spans="1:6">
      <c r="A68" s="7">
        <v>43393</v>
      </c>
      <c r="B68" s="1">
        <v>0.33333333333333331</v>
      </c>
      <c r="C68">
        <v>7841.4</v>
      </c>
      <c r="D68">
        <v>6.2</v>
      </c>
      <c r="E68" s="3">
        <f t="shared" si="5"/>
        <v>0.10120622885512733</v>
      </c>
      <c r="F68" s="4">
        <f t="shared" si="6"/>
        <v>737.72303534322293</v>
      </c>
    </row>
    <row r="69" spans="1:6">
      <c r="A69" s="32">
        <v>43605</v>
      </c>
      <c r="B69" s="1">
        <v>0.33333333333333331</v>
      </c>
      <c r="C69">
        <v>7881.6</v>
      </c>
      <c r="D69">
        <v>5.3</v>
      </c>
      <c r="E69" s="3">
        <f t="shared" si="5"/>
        <v>9.7466195659399721E-2</v>
      </c>
      <c r="F69" s="4">
        <f t="shared" si="6"/>
        <v>737.34155195725873</v>
      </c>
    </row>
    <row r="70" spans="1:6">
      <c r="A70" s="32">
        <v>43615</v>
      </c>
      <c r="B70" s="1">
        <v>0.33333333333333331</v>
      </c>
      <c r="C70">
        <v>7882.4</v>
      </c>
      <c r="D70">
        <v>5.4</v>
      </c>
      <c r="E70" s="3">
        <f t="shared" si="5"/>
        <v>9.7506059659252561E-2</v>
      </c>
      <c r="F70" s="4">
        <f t="shared" si="6"/>
        <v>737.3456180852437</v>
      </c>
    </row>
    <row r="71" spans="1:6">
      <c r="A71" s="32">
        <v>43626</v>
      </c>
      <c r="B71" s="1">
        <v>0.33333333333333331</v>
      </c>
      <c r="C71">
        <v>7884.3</v>
      </c>
      <c r="D71">
        <v>5.7</v>
      </c>
      <c r="E71" s="3">
        <f t="shared" si="5"/>
        <v>9.7661318474195138E-2</v>
      </c>
      <c r="F71" s="4">
        <f t="shared" si="6"/>
        <v>737.36145448436787</v>
      </c>
    </row>
    <row r="72" spans="1:6">
      <c r="A72" s="32">
        <v>43636</v>
      </c>
      <c r="B72" s="1">
        <v>0.33333333333333331</v>
      </c>
      <c r="C72">
        <v>7886.1</v>
      </c>
      <c r="D72">
        <v>6</v>
      </c>
      <c r="E72" s="3">
        <f t="shared" si="5"/>
        <v>9.7823710851186782E-2</v>
      </c>
      <c r="F72" s="4">
        <f t="shared" si="6"/>
        <v>737.37801850682104</v>
      </c>
    </row>
    <row r="73" spans="1:6">
      <c r="A73" s="7">
        <v>43646</v>
      </c>
      <c r="B73" s="1">
        <v>0.33333333333333331</v>
      </c>
      <c r="C73">
        <v>7886.9</v>
      </c>
      <c r="D73">
        <v>6</v>
      </c>
      <c r="E73" s="3">
        <f t="shared" si="5"/>
        <v>9.7766644518116438E-2</v>
      </c>
      <c r="F73" s="4">
        <f t="shared" si="6"/>
        <v>737.37219774084781</v>
      </c>
    </row>
    <row r="74" spans="1:6">
      <c r="A74" s="7">
        <v>43656</v>
      </c>
      <c r="B74" s="1">
        <v>0.33333333333333331</v>
      </c>
      <c r="C74">
        <v>7879.2</v>
      </c>
      <c r="D74">
        <v>6.4</v>
      </c>
      <c r="E74" s="3">
        <f t="shared" si="5"/>
        <v>9.8703632344723166E-2</v>
      </c>
      <c r="F74" s="4">
        <f t="shared" si="6"/>
        <v>737.4677704991617</v>
      </c>
    </row>
    <row r="75" spans="1:6">
      <c r="A75" s="7">
        <v>43666</v>
      </c>
      <c r="B75" s="1">
        <v>0.33333333333333331</v>
      </c>
      <c r="C75">
        <v>7868.4</v>
      </c>
      <c r="D75">
        <v>6.8</v>
      </c>
      <c r="E75" s="3">
        <f t="shared" si="5"/>
        <v>9.9861760416799686E-2</v>
      </c>
      <c r="F75" s="4">
        <f t="shared" si="6"/>
        <v>737.58589956251353</v>
      </c>
    </row>
    <row r="76" spans="1:6">
      <c r="A76" s="7">
        <v>43676</v>
      </c>
      <c r="B76" s="1">
        <v>0.33333333333333331</v>
      </c>
      <c r="C76">
        <v>7827.2</v>
      </c>
      <c r="D76">
        <v>6.8</v>
      </c>
      <c r="E76" s="3">
        <f t="shared" si="5"/>
        <v>0.10280079485823997</v>
      </c>
      <c r="F76" s="4">
        <f t="shared" si="6"/>
        <v>737.88568107554045</v>
      </c>
    </row>
    <row r="77" spans="1:6">
      <c r="A77" s="7">
        <v>43687</v>
      </c>
      <c r="B77" s="1">
        <v>0.33333333333333331</v>
      </c>
      <c r="C77">
        <v>7796.2</v>
      </c>
      <c r="D77">
        <v>7</v>
      </c>
      <c r="E77" s="3">
        <f t="shared" si="5"/>
        <v>0.10520614849185249</v>
      </c>
      <c r="F77" s="4">
        <f t="shared" si="6"/>
        <v>738.13102714616889</v>
      </c>
    </row>
    <row r="78" spans="1:6">
      <c r="A78" s="7">
        <v>43697</v>
      </c>
      <c r="B78" s="1">
        <v>0.33333333333333331</v>
      </c>
      <c r="C78">
        <v>7757.8</v>
      </c>
      <c r="D78">
        <v>7</v>
      </c>
      <c r="E78" s="3">
        <f t="shared" si="5"/>
        <v>0.10794564442493403</v>
      </c>
      <c r="F78" s="4">
        <f t="shared" si="6"/>
        <v>738.41045573134329</v>
      </c>
    </row>
    <row r="79" spans="1:6">
      <c r="A79" s="7">
        <v>43707</v>
      </c>
      <c r="B79" s="1">
        <v>0.33333333333333331</v>
      </c>
      <c r="C79">
        <v>7738</v>
      </c>
      <c r="D79">
        <v>7.2</v>
      </c>
      <c r="E79" s="3">
        <f t="shared" si="5"/>
        <v>0.10955210096107106</v>
      </c>
      <c r="F79" s="4">
        <f t="shared" si="6"/>
        <v>738.57431429802921</v>
      </c>
    </row>
  </sheetData>
  <phoneticPr fontId="4" type="noConversion"/>
  <pageMargins left="0.69930555555555596" right="0.69930555555555596" top="0.75" bottom="0.75" header="0.3" footer="0.3"/>
  <drawing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0"/>
  <sheetViews>
    <sheetView workbookViewId="0">
      <selection activeCell="B2" sqref="B2"/>
    </sheetView>
  </sheetViews>
  <sheetFormatPr defaultColWidth="9" defaultRowHeight="13.5"/>
  <cols>
    <col min="1" max="1" width="11.625" customWidth="1"/>
    <col min="2" max="2" width="13.875" customWidth="1"/>
    <col min="5" max="5" width="10.875" customWidth="1"/>
  </cols>
  <sheetData>
    <row r="1" spans="1:7">
      <c r="A1" t="s">
        <v>0</v>
      </c>
      <c r="B1">
        <v>50350</v>
      </c>
      <c r="C1" t="s">
        <v>1</v>
      </c>
      <c r="D1">
        <v>727.4</v>
      </c>
    </row>
    <row r="2" spans="1:7">
      <c r="A2" t="s">
        <v>2</v>
      </c>
      <c r="B2" s="34">
        <f>2.99914*10^-10</f>
        <v>2.9991400000000004E-10</v>
      </c>
    </row>
    <row r="3" spans="1:7">
      <c r="A3" t="s">
        <v>3</v>
      </c>
      <c r="B3">
        <v>-7.0739000000000002E-5</v>
      </c>
    </row>
    <row r="4" spans="1:7">
      <c r="A4" t="s">
        <v>4</v>
      </c>
      <c r="B4">
        <v>0.50843411000000005</v>
      </c>
    </row>
    <row r="5" spans="1:7">
      <c r="A5" t="s">
        <v>5</v>
      </c>
      <c r="B5">
        <v>-1.0657209999999999E-3</v>
      </c>
    </row>
    <row r="6" spans="1:7">
      <c r="A6" t="s">
        <v>6</v>
      </c>
      <c r="B6" t="s">
        <v>7</v>
      </c>
      <c r="C6" t="s">
        <v>8</v>
      </c>
      <c r="D6" t="s">
        <v>9</v>
      </c>
      <c r="E6" t="s">
        <v>10</v>
      </c>
      <c r="F6" t="s">
        <v>11</v>
      </c>
      <c r="G6" t="s">
        <v>12</v>
      </c>
    </row>
    <row r="7" spans="1:7">
      <c r="A7" s="7">
        <v>42249</v>
      </c>
      <c r="B7" s="1">
        <v>0.91666666666666696</v>
      </c>
      <c r="C7" s="2">
        <v>7332.2</v>
      </c>
      <c r="D7" s="2">
        <v>14.9</v>
      </c>
      <c r="E7" s="3">
        <f>($B$2*C7^2+$B$3*C7+$B$4)-$B$5*D7</f>
        <v>2.176458069251188E-2</v>
      </c>
      <c r="G7" t="s">
        <v>13</v>
      </c>
    </row>
    <row r="8" spans="1:7">
      <c r="A8" s="7">
        <v>42249</v>
      </c>
      <c r="B8" s="1">
        <v>0.95833333333333304</v>
      </c>
      <c r="C8" s="2">
        <v>7169.6</v>
      </c>
      <c r="D8" s="2">
        <v>9.3000000000000007</v>
      </c>
      <c r="E8" s="3">
        <f>($B$2*C8^2+$B$3*C8+$B$4)-$B$5*D8-$E$7</f>
        <v>4.8269287833704079E-3</v>
      </c>
      <c r="F8" s="4">
        <f>$D$1+102*E8</f>
        <v>727.89234673590374</v>
      </c>
      <c r="G8" t="s">
        <v>17</v>
      </c>
    </row>
    <row r="9" spans="1:7">
      <c r="A9" s="7">
        <v>42250</v>
      </c>
      <c r="B9" s="1">
        <v>0.33333333333333298</v>
      </c>
      <c r="C9" s="2">
        <v>7152.5</v>
      </c>
      <c r="D9" s="2">
        <v>8.4</v>
      </c>
      <c r="E9" s="3">
        <f t="shared" ref="E9:E19" si="0">($B$2*C9^2+$B$3*C9+$B$4)-$B$5*D9-$E$7</f>
        <v>5.0039654724505916E-3</v>
      </c>
      <c r="F9" s="4">
        <f t="shared" ref="F9:F62" si="1">$D$1+102*E9</f>
        <v>727.91040447818989</v>
      </c>
      <c r="G9" t="s">
        <v>25</v>
      </c>
    </row>
    <row r="10" spans="1:7">
      <c r="A10" s="7">
        <v>42251</v>
      </c>
      <c r="B10" s="1">
        <v>0.33333333333333298</v>
      </c>
      <c r="C10" s="2">
        <v>7088.1</v>
      </c>
      <c r="D10" s="2">
        <v>8.4</v>
      </c>
      <c r="E10" s="3">
        <f t="shared" si="0"/>
        <v>9.2845075505896407E-3</v>
      </c>
      <c r="F10" s="4">
        <f t="shared" si="1"/>
        <v>728.34701977016016</v>
      </c>
    </row>
    <row r="11" spans="1:7">
      <c r="A11" s="7">
        <v>42252</v>
      </c>
      <c r="B11" s="1">
        <v>0.33333333333333298</v>
      </c>
      <c r="C11" s="2">
        <v>7149.6</v>
      </c>
      <c r="D11" s="2">
        <v>8.6999999999999993</v>
      </c>
      <c r="E11" s="3">
        <f t="shared" si="0"/>
        <v>5.5163856123943353E-3</v>
      </c>
      <c r="F11" s="4">
        <f t="shared" si="1"/>
        <v>727.9626713324642</v>
      </c>
    </row>
    <row r="12" spans="1:7">
      <c r="A12" s="7">
        <v>42253</v>
      </c>
      <c r="B12" s="1">
        <v>0.33333333333333298</v>
      </c>
      <c r="C12" s="2">
        <v>7145.3</v>
      </c>
      <c r="D12" s="2">
        <v>8.4</v>
      </c>
      <c r="E12" s="3">
        <f t="shared" si="0"/>
        <v>5.4824118776483771E-3</v>
      </c>
      <c r="F12" s="4">
        <f t="shared" si="1"/>
        <v>727.95920601152011</v>
      </c>
    </row>
    <row r="13" spans="1:7">
      <c r="A13" s="7">
        <v>42254</v>
      </c>
      <c r="B13" s="1">
        <v>0.33333333333333298</v>
      </c>
      <c r="C13" s="2">
        <v>7146.4</v>
      </c>
      <c r="D13" s="2">
        <v>8.1999999999999993</v>
      </c>
      <c r="E13" s="3">
        <f t="shared" si="0"/>
        <v>5.1961696866535678E-3</v>
      </c>
      <c r="F13" s="4">
        <f t="shared" si="1"/>
        <v>727.93000930803862</v>
      </c>
    </row>
    <row r="14" spans="1:7">
      <c r="A14" s="7">
        <v>42255</v>
      </c>
      <c r="B14" s="1">
        <v>0.33333333333333298</v>
      </c>
      <c r="C14" s="2">
        <v>7109.2</v>
      </c>
      <c r="D14" s="2">
        <v>9.1</v>
      </c>
      <c r="E14" s="3">
        <f t="shared" si="0"/>
        <v>8.6277624971691121E-3</v>
      </c>
      <c r="F14" s="4">
        <f t="shared" si="1"/>
        <v>728.28003177471123</v>
      </c>
    </row>
    <row r="15" spans="1:7">
      <c r="A15" s="7">
        <v>42259</v>
      </c>
      <c r="B15" s="1">
        <v>0.33333333333333298</v>
      </c>
      <c r="C15" s="2">
        <v>7285.8</v>
      </c>
      <c r="D15" s="2">
        <v>22.7</v>
      </c>
      <c r="E15" s="3">
        <f t="shared" si="0"/>
        <v>1.1391489171667123E-2</v>
      </c>
      <c r="F15" s="4">
        <f t="shared" si="1"/>
        <v>728.56193189551004</v>
      </c>
    </row>
    <row r="16" spans="1:7">
      <c r="A16" s="7">
        <v>42266</v>
      </c>
      <c r="B16" s="1">
        <v>0.33333333333333298</v>
      </c>
      <c r="C16" s="2">
        <v>7285.2</v>
      </c>
      <c r="D16" s="2">
        <v>20.399999999999999</v>
      </c>
      <c r="E16" s="3">
        <f t="shared" si="0"/>
        <v>8.9801522435306591E-3</v>
      </c>
      <c r="F16" s="4">
        <f t="shared" si="1"/>
        <v>728.31597552884011</v>
      </c>
    </row>
    <row r="17" spans="1:6">
      <c r="A17" s="7">
        <v>42273</v>
      </c>
      <c r="B17" s="1">
        <v>0.33333333333333298</v>
      </c>
      <c r="C17" s="2">
        <v>7171.3</v>
      </c>
      <c r="D17" s="2">
        <v>17.3</v>
      </c>
      <c r="E17" s="3">
        <f t="shared" si="0"/>
        <v>1.3239752245730804E-2</v>
      </c>
      <c r="F17" s="4">
        <f t="shared" si="1"/>
        <v>728.75045472906447</v>
      </c>
    </row>
    <row r="18" spans="1:6">
      <c r="A18" s="7">
        <v>42280</v>
      </c>
      <c r="B18" s="1">
        <v>0.33333333333333298</v>
      </c>
      <c r="C18" s="2">
        <v>7027.9</v>
      </c>
      <c r="D18" s="2">
        <v>15.2</v>
      </c>
      <c r="E18" s="3">
        <f t="shared" si="0"/>
        <v>2.0535036271944924E-2</v>
      </c>
      <c r="F18" s="4">
        <f t="shared" si="1"/>
        <v>729.49457369973834</v>
      </c>
    </row>
    <row r="19" spans="1:6">
      <c r="A19" s="7">
        <v>42287</v>
      </c>
      <c r="B19" s="1">
        <v>0.33333333333333298</v>
      </c>
      <c r="C19" s="2">
        <v>6933.6</v>
      </c>
      <c r="D19" s="2">
        <v>14.8</v>
      </c>
      <c r="E19" s="3">
        <f t="shared" si="0"/>
        <v>2.63845779619176E-2</v>
      </c>
      <c r="F19" s="4">
        <f t="shared" si="1"/>
        <v>730.09122695211556</v>
      </c>
    </row>
    <row r="20" spans="1:6">
      <c r="A20" s="7">
        <v>42294</v>
      </c>
      <c r="B20" s="9">
        <v>0.33333333333333298</v>
      </c>
      <c r="C20" s="2">
        <v>6816.2</v>
      </c>
      <c r="D20" s="2">
        <v>12.7</v>
      </c>
      <c r="E20" s="3">
        <f t="shared" ref="E20:E26" si="2">($B$2*C20^2+$B$3*C20+$B$4)-$B$5*D20-$E$7</f>
        <v>3.1967193329398284E-2</v>
      </c>
      <c r="F20" s="4">
        <f t="shared" si="1"/>
        <v>730.6606537195986</v>
      </c>
    </row>
    <row r="21" spans="1:6">
      <c r="A21" s="7">
        <v>42301</v>
      </c>
      <c r="B21" s="9">
        <v>0.33333333333333298</v>
      </c>
      <c r="C21" s="2">
        <v>6619.8</v>
      </c>
      <c r="D21" s="2">
        <v>11.1</v>
      </c>
      <c r="E21" s="3">
        <f t="shared" si="2"/>
        <v>4.3363757148812694E-2</v>
      </c>
      <c r="F21" s="4">
        <f t="shared" si="1"/>
        <v>731.82310322917886</v>
      </c>
    </row>
    <row r="22" spans="1:6">
      <c r="A22" s="7">
        <v>42485</v>
      </c>
      <c r="B22" s="1">
        <v>0.33333333333333298</v>
      </c>
      <c r="C22">
        <v>6563.1</v>
      </c>
      <c r="D22">
        <v>7.5</v>
      </c>
      <c r="E22" s="3">
        <f t="shared" si="2"/>
        <v>4.331388600226966E-2</v>
      </c>
      <c r="F22" s="4">
        <f t="shared" si="1"/>
        <v>731.81801637223145</v>
      </c>
    </row>
    <row r="23" spans="1:6">
      <c r="A23" s="7">
        <v>42506</v>
      </c>
      <c r="B23" s="1">
        <v>0.33333333333333298</v>
      </c>
      <c r="C23">
        <v>6959.5</v>
      </c>
      <c r="D23">
        <v>8.1</v>
      </c>
      <c r="E23" s="3">
        <f t="shared" si="2"/>
        <v>1.7520025603426644E-2</v>
      </c>
      <c r="F23" s="4">
        <f t="shared" si="1"/>
        <v>729.18704261154949</v>
      </c>
    </row>
    <row r="24" spans="1:6">
      <c r="A24" s="7">
        <v>42520</v>
      </c>
      <c r="B24" s="1">
        <v>0.33333333333333298</v>
      </c>
      <c r="C24">
        <v>7016.1</v>
      </c>
      <c r="D24">
        <v>8.5</v>
      </c>
      <c r="E24" s="3">
        <f t="shared" si="2"/>
        <v>1.417972426379608E-2</v>
      </c>
      <c r="F24" s="4">
        <f t="shared" si="1"/>
        <v>728.84633187490715</v>
      </c>
    </row>
    <row r="25" spans="1:6">
      <c r="A25" s="6">
        <v>42528</v>
      </c>
      <c r="B25" s="1">
        <v>0.33333333333333298</v>
      </c>
      <c r="C25">
        <v>6961.5</v>
      </c>
      <c r="D25">
        <v>8.5</v>
      </c>
      <c r="E25" s="3">
        <f t="shared" si="2"/>
        <v>1.7813186209014654E-2</v>
      </c>
      <c r="F25" s="4">
        <f t="shared" si="1"/>
        <v>729.21694499331943</v>
      </c>
    </row>
    <row r="26" spans="1:6">
      <c r="A26" s="6">
        <v>42544</v>
      </c>
      <c r="B26" s="1">
        <v>0.33333333333333298</v>
      </c>
      <c r="C26">
        <v>6647.6</v>
      </c>
      <c r="D26">
        <v>9.1999999999999993</v>
      </c>
      <c r="E26" s="3">
        <f t="shared" si="2"/>
        <v>3.948296144511277E-2</v>
      </c>
      <c r="F26" s="4">
        <f t="shared" si="1"/>
        <v>731.42726206740144</v>
      </c>
    </row>
    <row r="27" spans="1:6">
      <c r="A27" s="7">
        <v>42551</v>
      </c>
      <c r="B27" s="1">
        <v>0.33333333333333298</v>
      </c>
      <c r="C27">
        <v>6839.1</v>
      </c>
      <c r="D27">
        <v>9.4</v>
      </c>
      <c r="E27" s="3">
        <f>($B$2*C27^2+$B$3*C27+$B$4)-$B$5*D27-$E$7</f>
        <v>2.6924175947650446E-2</v>
      </c>
      <c r="F27" s="4">
        <f t="shared" si="1"/>
        <v>730.14626594666038</v>
      </c>
    </row>
    <row r="28" spans="1:6">
      <c r="A28" s="7">
        <v>42561</v>
      </c>
      <c r="B28" s="9">
        <v>0.33333333333333298</v>
      </c>
      <c r="C28">
        <v>6759.8</v>
      </c>
      <c r="D28">
        <v>9.6</v>
      </c>
      <c r="E28" s="3">
        <f>($B$2*C28^2+$B$3*C28+$B$4)-$B$5*D28-$E$7</f>
        <v>3.2423497758428711E-2</v>
      </c>
      <c r="F28" s="4">
        <f t="shared" si="1"/>
        <v>730.70719677135969</v>
      </c>
    </row>
    <row r="29" spans="1:6">
      <c r="A29" s="7">
        <v>42571</v>
      </c>
      <c r="B29" s="1">
        <v>0.33333333333333298</v>
      </c>
      <c r="C29">
        <v>6884</v>
      </c>
      <c r="D29">
        <v>9.9</v>
      </c>
      <c r="E29" s="3">
        <f>($B$2*C29^2+$B$3*C29+$B$4)-$B$5*D29-$E$7</f>
        <v>2.4465652514272171E-2</v>
      </c>
      <c r="F29" s="4">
        <f t="shared" si="1"/>
        <v>729.89549655645578</v>
      </c>
    </row>
    <row r="30" spans="1:6">
      <c r="A30" s="7">
        <v>42581</v>
      </c>
      <c r="B30" s="9">
        <v>0.33333333333333298</v>
      </c>
      <c r="C30">
        <v>6824.3</v>
      </c>
      <c r="D30">
        <v>9.9</v>
      </c>
      <c r="E30" s="3">
        <f>($B$2*C30^2+$B$3*C30+$B$4)-$B$5*D30-$E$7</f>
        <v>2.8443325542425998E-2</v>
      </c>
      <c r="F30" s="4">
        <f t="shared" si="1"/>
        <v>730.30121920532747</v>
      </c>
    </row>
    <row r="31" spans="1:6">
      <c r="A31" s="7">
        <v>42592</v>
      </c>
      <c r="B31" s="1">
        <v>0.33333333333333298</v>
      </c>
      <c r="C31">
        <v>6675.9</v>
      </c>
      <c r="D31">
        <v>10.1</v>
      </c>
      <c r="E31" s="3">
        <f t="shared" ref="E31:E62" si="3">($B$2*C31^2+$B$3*C31+$B$4)-$B$5*D31-$E$7</f>
        <v>3.855328073337852E-2</v>
      </c>
      <c r="F31" s="4">
        <f t="shared" si="1"/>
        <v>731.3324346348046</v>
      </c>
    </row>
    <row r="32" spans="1:6">
      <c r="A32" s="7">
        <v>42602</v>
      </c>
      <c r="B32" s="1">
        <v>0.33333333333333298</v>
      </c>
      <c r="C32">
        <v>7054.4</v>
      </c>
      <c r="D32">
        <v>10</v>
      </c>
      <c r="E32" s="3">
        <f t="shared" si="3"/>
        <v>1.3230625763383248E-2</v>
      </c>
      <c r="F32" s="4">
        <f t="shared" si="1"/>
        <v>728.74952382786512</v>
      </c>
    </row>
    <row r="33" spans="1:7">
      <c r="A33" s="7">
        <v>42612</v>
      </c>
      <c r="B33" s="1">
        <v>0.33333333333333298</v>
      </c>
      <c r="C33">
        <v>7003.4</v>
      </c>
      <c r="D33">
        <v>10.3</v>
      </c>
      <c r="E33" s="3">
        <f t="shared" si="3"/>
        <v>1.6943008380894034E-2</v>
      </c>
      <c r="F33" s="4">
        <f t="shared" si="1"/>
        <v>729.12818685485115</v>
      </c>
    </row>
    <row r="34" spans="1:7">
      <c r="A34" s="7">
        <v>42623</v>
      </c>
      <c r="B34" s="1">
        <v>0.33333333333333298</v>
      </c>
      <c r="C34">
        <v>7160.5</v>
      </c>
      <c r="D34">
        <v>10.8</v>
      </c>
      <c r="E34" s="3">
        <f t="shared" si="3"/>
        <v>7.0301252251065982E-3</v>
      </c>
      <c r="F34" s="4">
        <f t="shared" si="1"/>
        <v>728.1170727729608</v>
      </c>
    </row>
    <row r="35" spans="1:7">
      <c r="A35" s="7">
        <v>42633</v>
      </c>
      <c r="B35" s="1">
        <v>0.33333333333333331</v>
      </c>
      <c r="C35">
        <v>7114.9</v>
      </c>
      <c r="D35">
        <v>10.199999999999999</v>
      </c>
      <c r="E35" s="3">
        <f t="shared" si="3"/>
        <v>9.4211595355153561E-3</v>
      </c>
      <c r="F35" s="4">
        <f t="shared" si="1"/>
        <v>728.3609582726225</v>
      </c>
    </row>
    <row r="36" spans="1:7">
      <c r="A36" s="7">
        <v>42653</v>
      </c>
      <c r="B36" s="1">
        <v>0.33333333333333331</v>
      </c>
      <c r="C36">
        <v>5963</v>
      </c>
      <c r="D36">
        <v>12</v>
      </c>
      <c r="E36" s="3">
        <f t="shared" si="3"/>
        <v>8.8305677073754169E-2</v>
      </c>
      <c r="F36" s="4">
        <f t="shared" si="1"/>
        <v>736.40717906152292</v>
      </c>
      <c r="G36" t="s">
        <v>62</v>
      </c>
    </row>
    <row r="37" spans="1:7">
      <c r="A37" s="7">
        <v>42855</v>
      </c>
      <c r="B37" s="1">
        <v>0.33333333333333331</v>
      </c>
      <c r="C37">
        <v>5857.4</v>
      </c>
      <c r="D37">
        <v>7</v>
      </c>
      <c r="E37" s="3">
        <f t="shared" si="3"/>
        <v>9.0072747549898802E-2</v>
      </c>
      <c r="F37" s="4">
        <f t="shared" si="1"/>
        <v>736.58742025008962</v>
      </c>
    </row>
    <row r="38" spans="1:7">
      <c r="A38" s="7">
        <v>42865</v>
      </c>
      <c r="B38" s="1">
        <v>0.33333333333333331</v>
      </c>
      <c r="C38">
        <v>5740</v>
      </c>
      <c r="D38">
        <v>6.9</v>
      </c>
      <c r="E38" s="3">
        <f t="shared" si="3"/>
        <v>9.7862590713888142E-2</v>
      </c>
      <c r="F38" s="4">
        <f t="shared" si="1"/>
        <v>737.38198425281655</v>
      </c>
    </row>
    <row r="39" spans="1:7">
      <c r="A39" s="7">
        <v>42875</v>
      </c>
      <c r="B39" s="1">
        <v>0.33333333333333331</v>
      </c>
      <c r="C39">
        <v>5849.6</v>
      </c>
      <c r="D39">
        <v>7</v>
      </c>
      <c r="E39" s="3">
        <f t="shared" si="3"/>
        <v>9.0597125222954378E-2</v>
      </c>
      <c r="F39" s="4">
        <f t="shared" si="1"/>
        <v>736.64090677274135</v>
      </c>
    </row>
    <row r="40" spans="1:7">
      <c r="A40" s="7">
        <v>42885</v>
      </c>
      <c r="B40" s="1">
        <v>0.33333333333333331</v>
      </c>
      <c r="C40">
        <v>5884.5</v>
      </c>
      <c r="D40">
        <v>7.2</v>
      </c>
      <c r="E40" s="3">
        <f t="shared" si="3"/>
        <v>8.8464299131226665E-2</v>
      </c>
      <c r="F40" s="4">
        <f t="shared" si="1"/>
        <v>736.42335851138512</v>
      </c>
    </row>
    <row r="41" spans="1:7">
      <c r="A41" s="7">
        <v>42896</v>
      </c>
      <c r="B41" s="1">
        <v>0.33333333333333331</v>
      </c>
      <c r="C41">
        <v>5892.7</v>
      </c>
      <c r="D41">
        <v>7.4</v>
      </c>
      <c r="E41" s="3">
        <f t="shared" si="3"/>
        <v>8.8126347137945232E-2</v>
      </c>
      <c r="F41" s="4">
        <f t="shared" si="1"/>
        <v>736.38888740807045</v>
      </c>
    </row>
    <row r="42" spans="1:7">
      <c r="A42" s="7">
        <v>42906</v>
      </c>
      <c r="B42" s="1">
        <v>0.33333333333333331</v>
      </c>
      <c r="C42">
        <v>5868.4</v>
      </c>
      <c r="D42">
        <v>7.5</v>
      </c>
      <c r="E42" s="3">
        <f t="shared" si="3"/>
        <v>8.9866163097292007E-2</v>
      </c>
      <c r="F42" s="4">
        <f t="shared" si="1"/>
        <v>736.56634863592376</v>
      </c>
    </row>
    <row r="43" spans="1:7">
      <c r="A43" s="7">
        <v>42926</v>
      </c>
      <c r="B43" s="1">
        <v>0.33333333333333331</v>
      </c>
      <c r="C43">
        <v>5825.9</v>
      </c>
      <c r="D43">
        <v>8.1999999999999993</v>
      </c>
      <c r="E43" s="3">
        <f t="shared" si="3"/>
        <v>9.3469515714958512E-2</v>
      </c>
      <c r="F43" s="4">
        <f t="shared" si="1"/>
        <v>736.93389060292577</v>
      </c>
    </row>
    <row r="44" spans="1:7">
      <c r="A44" s="7">
        <v>42936</v>
      </c>
      <c r="B44" s="1">
        <v>0.33333333333333331</v>
      </c>
      <c r="C44">
        <v>5843</v>
      </c>
      <c r="D44">
        <v>8.4</v>
      </c>
      <c r="E44" s="3">
        <f t="shared" si="3"/>
        <v>9.2532867311674177E-2</v>
      </c>
      <c r="F44" s="4">
        <f t="shared" si="1"/>
        <v>736.83835246579076</v>
      </c>
    </row>
    <row r="45" spans="1:7">
      <c r="A45" s="7">
        <v>42946</v>
      </c>
      <c r="B45" s="1">
        <v>0.33333333333333331</v>
      </c>
      <c r="C45">
        <v>5834.4</v>
      </c>
      <c r="D45">
        <v>8.8000000000000007</v>
      </c>
      <c r="E45" s="3">
        <f t="shared" si="3"/>
        <v>9.3537392056279228E-2</v>
      </c>
      <c r="F45" s="4">
        <f t="shared" si="1"/>
        <v>736.94081398974049</v>
      </c>
    </row>
    <row r="46" spans="1:7">
      <c r="A46" s="7">
        <v>42957</v>
      </c>
      <c r="B46" s="1">
        <v>0.33333333333333331</v>
      </c>
      <c r="C46">
        <v>5816.6</v>
      </c>
      <c r="D46">
        <v>9.1</v>
      </c>
      <c r="E46" s="3">
        <f t="shared" si="3"/>
        <v>9.5054064051629972E-2</v>
      </c>
      <c r="F46" s="4">
        <f t="shared" si="1"/>
        <v>737.09551453326628</v>
      </c>
    </row>
    <row r="47" spans="1:7">
      <c r="A47" s="7">
        <v>42967</v>
      </c>
      <c r="B47" s="1">
        <v>0.33333333333333331</v>
      </c>
      <c r="C47">
        <v>5842.5</v>
      </c>
      <c r="D47">
        <v>9.4</v>
      </c>
      <c r="E47" s="3">
        <f t="shared" si="3"/>
        <v>9.3632205489150633E-2</v>
      </c>
      <c r="F47" s="4">
        <f t="shared" si="1"/>
        <v>736.95048495989329</v>
      </c>
    </row>
    <row r="48" spans="1:7">
      <c r="A48" s="7">
        <v>42977</v>
      </c>
      <c r="B48" s="1">
        <v>0.33333333333333331</v>
      </c>
      <c r="C48">
        <v>5821.2</v>
      </c>
      <c r="D48">
        <v>9.5</v>
      </c>
      <c r="E48" s="3">
        <f t="shared" si="3"/>
        <v>9.5171008611716318E-2</v>
      </c>
      <c r="F48" s="4">
        <f t="shared" si="1"/>
        <v>737.10744287839509</v>
      </c>
    </row>
    <row r="49" spans="1:6">
      <c r="A49" s="7">
        <v>42988</v>
      </c>
      <c r="B49" s="1">
        <v>0.33333333333333331</v>
      </c>
      <c r="C49">
        <v>5822.4</v>
      </c>
      <c r="D49">
        <v>9.6999999999999993</v>
      </c>
      <c r="E49" s="3">
        <f t="shared" si="3"/>
        <v>9.530345650609684E-2</v>
      </c>
      <c r="F49" s="4">
        <f t="shared" si="1"/>
        <v>737.12095256362181</v>
      </c>
    </row>
    <row r="50" spans="1:6">
      <c r="A50" s="7">
        <v>42998</v>
      </c>
      <c r="B50" s="1">
        <v>0.33333333333333331</v>
      </c>
      <c r="C50">
        <v>5829.5</v>
      </c>
      <c r="D50">
        <v>9.6</v>
      </c>
      <c r="E50" s="3">
        <f t="shared" si="3"/>
        <v>9.471944893844661E-2</v>
      </c>
      <c r="F50" s="4">
        <f t="shared" si="1"/>
        <v>737.06138379172148</v>
      </c>
    </row>
    <row r="51" spans="1:6">
      <c r="A51" s="7">
        <v>43008</v>
      </c>
      <c r="B51" s="1">
        <v>0.33333333333333331</v>
      </c>
      <c r="C51">
        <v>5859.6</v>
      </c>
      <c r="D51">
        <v>9.5</v>
      </c>
      <c r="E51" s="3">
        <f t="shared" si="3"/>
        <v>9.2589155253042371E-2</v>
      </c>
      <c r="F51" s="4">
        <f t="shared" si="1"/>
        <v>736.84409383581033</v>
      </c>
    </row>
    <row r="52" spans="1:6">
      <c r="A52" s="7">
        <v>43018</v>
      </c>
      <c r="B52" s="1">
        <v>0.33333333333333331</v>
      </c>
      <c r="C52">
        <v>5832.3</v>
      </c>
      <c r="D52">
        <v>9.5</v>
      </c>
      <c r="E52" s="3">
        <f t="shared" si="3"/>
        <v>9.4424600742285231E-2</v>
      </c>
      <c r="F52" s="4">
        <f t="shared" si="1"/>
        <v>737.03130927571306</v>
      </c>
    </row>
    <row r="53" spans="1:6">
      <c r="A53" s="7">
        <v>43230</v>
      </c>
      <c r="B53" s="1">
        <v>0.33333333333333331</v>
      </c>
      <c r="C53">
        <v>5784.2</v>
      </c>
      <c r="D53">
        <v>6</v>
      </c>
      <c r="E53" s="3">
        <f t="shared" si="3"/>
        <v>9.3929545100099127E-2</v>
      </c>
      <c r="F53" s="4">
        <f t="shared" si="1"/>
        <v>736.98081360021013</v>
      </c>
    </row>
    <row r="54" spans="1:6">
      <c r="A54" s="7">
        <v>43240</v>
      </c>
      <c r="B54" s="1">
        <v>0.33333333333333331</v>
      </c>
      <c r="C54">
        <v>5791.8</v>
      </c>
      <c r="D54">
        <v>6.1</v>
      </c>
      <c r="E54" s="3">
        <f t="shared" si="3"/>
        <v>9.3524886514025518E-2</v>
      </c>
      <c r="F54" s="4">
        <f t="shared" si="1"/>
        <v>736.93953842443057</v>
      </c>
    </row>
    <row r="55" spans="1:6">
      <c r="A55" s="7">
        <v>43250</v>
      </c>
      <c r="B55" s="1">
        <v>0.33333333333333331</v>
      </c>
      <c r="C55">
        <v>5785</v>
      </c>
      <c r="D55">
        <v>5.9</v>
      </c>
      <c r="E55" s="3">
        <f t="shared" si="3"/>
        <v>9.376915761213811E-2</v>
      </c>
      <c r="F55" s="4">
        <f t="shared" si="1"/>
        <v>736.96445407643807</v>
      </c>
    </row>
    <row r="56" spans="1:6">
      <c r="A56" s="7">
        <v>43261</v>
      </c>
      <c r="B56" s="1">
        <v>0.33333333333333331</v>
      </c>
      <c r="C56">
        <v>5732.4</v>
      </c>
      <c r="D56">
        <v>6</v>
      </c>
      <c r="E56" s="3">
        <f t="shared" si="3"/>
        <v>9.7414908640248848E-2</v>
      </c>
      <c r="F56" s="4">
        <f t="shared" si="1"/>
        <v>737.33632068130532</v>
      </c>
    </row>
    <row r="57" spans="1:6">
      <c r="A57" s="7">
        <v>43271</v>
      </c>
      <c r="B57" s="1">
        <v>0.33333333333333331</v>
      </c>
      <c r="C57">
        <v>5580.5</v>
      </c>
      <c r="D57">
        <v>6.9</v>
      </c>
      <c r="E57" s="3">
        <f t="shared" si="3"/>
        <v>0.10860393057218667</v>
      </c>
      <c r="F57" s="4">
        <f t="shared" si="1"/>
        <v>738.47760091836301</v>
      </c>
    </row>
    <row r="58" spans="1:6">
      <c r="A58" s="7">
        <v>43281</v>
      </c>
      <c r="B58" s="1">
        <v>0.33333333333333331</v>
      </c>
      <c r="C58">
        <v>5638.8</v>
      </c>
      <c r="D58">
        <v>6.8</v>
      </c>
      <c r="E58" s="3">
        <f t="shared" si="3"/>
        <v>0.10456944407786031</v>
      </c>
      <c r="F58" s="4">
        <f t="shared" si="1"/>
        <v>738.06608329594178</v>
      </c>
    </row>
    <row r="59" spans="1:6">
      <c r="A59" s="7">
        <v>43291</v>
      </c>
      <c r="B59" s="1">
        <v>0.33333333333333331</v>
      </c>
      <c r="C59">
        <v>5744.7</v>
      </c>
      <c r="D59">
        <v>6.5</v>
      </c>
      <c r="E59" s="3">
        <f t="shared" si="3"/>
        <v>9.7120017798772412E-2</v>
      </c>
      <c r="F59" s="4">
        <f t="shared" si="1"/>
        <v>737.30624181547478</v>
      </c>
    </row>
    <row r="60" spans="1:6">
      <c r="A60" s="7">
        <v>43301</v>
      </c>
      <c r="B60" s="1">
        <v>0.33333333333333331</v>
      </c>
      <c r="C60">
        <v>5727.9</v>
      </c>
      <c r="D60">
        <v>6.6</v>
      </c>
      <c r="E60" s="3">
        <f t="shared" si="3"/>
        <v>9.8357199770384901E-2</v>
      </c>
      <c r="F60" s="4">
        <f t="shared" si="1"/>
        <v>737.43243437657929</v>
      </c>
    </row>
    <row r="61" spans="1:6">
      <c r="A61" s="7">
        <v>43311</v>
      </c>
      <c r="B61" s="1">
        <v>0.33333333333333331</v>
      </c>
      <c r="C61">
        <v>5730.2</v>
      </c>
      <c r="D61">
        <v>6.5</v>
      </c>
      <c r="E61" s="3">
        <f t="shared" si="3"/>
        <v>9.8095831792972737E-2</v>
      </c>
      <c r="F61" s="4">
        <f t="shared" si="1"/>
        <v>737.40577484288315</v>
      </c>
    </row>
    <row r="62" spans="1:6">
      <c r="A62" s="7">
        <v>43322</v>
      </c>
      <c r="B62" s="1">
        <v>0.33333333333333331</v>
      </c>
      <c r="C62">
        <v>5689.7</v>
      </c>
      <c r="D62">
        <v>7.2</v>
      </c>
      <c r="E62" s="3">
        <f t="shared" si="3"/>
        <v>0.10156805398348445</v>
      </c>
      <c r="F62" s="4">
        <f t="shared" si="1"/>
        <v>737.75994150631539</v>
      </c>
    </row>
    <row r="63" spans="1:6">
      <c r="A63" s="7">
        <v>43332</v>
      </c>
      <c r="B63" s="1">
        <v>0.33333333333333331</v>
      </c>
      <c r="C63">
        <v>5723.4</v>
      </c>
      <c r="D63">
        <v>6.9</v>
      </c>
      <c r="E63" s="3">
        <f t="shared" ref="E63:E80" si="4">($B$2*C63^2+$B$3*C63+$B$4)-$B$5*D63-$E$7</f>
        <v>9.8979786747038057E-2</v>
      </c>
      <c r="F63" s="4">
        <f t="shared" ref="F63:F80" si="5">$D$1+102*E63</f>
        <v>737.49593824819783</v>
      </c>
    </row>
    <row r="64" spans="1:6">
      <c r="A64" s="7">
        <v>43342</v>
      </c>
      <c r="B64" s="1">
        <v>0.33333333333333331</v>
      </c>
      <c r="C64">
        <v>5692.3</v>
      </c>
      <c r="D64">
        <v>7.2</v>
      </c>
      <c r="E64" s="3">
        <f t="shared" si="4"/>
        <v>0.10139300799846918</v>
      </c>
      <c r="F64" s="4">
        <f t="shared" si="5"/>
        <v>737.74208681584378</v>
      </c>
    </row>
    <row r="65" spans="1:6">
      <c r="A65" s="7">
        <v>43353</v>
      </c>
      <c r="B65" s="1">
        <v>0.33333333333333331</v>
      </c>
      <c r="C65">
        <v>5574.5</v>
      </c>
      <c r="D65">
        <v>7.4</v>
      </c>
      <c r="E65" s="3">
        <f t="shared" si="4"/>
        <v>0.10954115182816662</v>
      </c>
      <c r="F65" s="4">
        <f t="shared" si="5"/>
        <v>738.57319748647296</v>
      </c>
    </row>
    <row r="66" spans="1:6">
      <c r="A66" s="7">
        <v>43363</v>
      </c>
      <c r="B66" s="1">
        <v>0.33333333333333331</v>
      </c>
      <c r="C66">
        <v>5676.2</v>
      </c>
      <c r="D66">
        <v>7.6</v>
      </c>
      <c r="E66" s="3">
        <f t="shared" si="4"/>
        <v>0.10290330018429436</v>
      </c>
      <c r="F66" s="4">
        <f t="shared" si="5"/>
        <v>737.89613661879798</v>
      </c>
    </row>
    <row r="67" spans="1:6">
      <c r="A67" s="7">
        <v>43373</v>
      </c>
      <c r="B67" s="1">
        <v>0.33333333333333331</v>
      </c>
      <c r="C67">
        <v>5682.3</v>
      </c>
      <c r="D67">
        <v>7.5</v>
      </c>
      <c r="E67" s="3">
        <f t="shared" si="4"/>
        <v>0.10238600028062522</v>
      </c>
      <c r="F67" s="4">
        <f t="shared" si="5"/>
        <v>737.84337202862378</v>
      </c>
    </row>
    <row r="68" spans="1:6">
      <c r="A68" s="7">
        <v>43383</v>
      </c>
      <c r="B68" s="1">
        <v>0.33333333333333331</v>
      </c>
      <c r="C68">
        <v>5685.7</v>
      </c>
      <c r="D68">
        <v>7.4</v>
      </c>
      <c r="E68" s="3">
        <f t="shared" si="4"/>
        <v>0.10205050761662207</v>
      </c>
      <c r="F68" s="4">
        <f t="shared" si="5"/>
        <v>737.80915177689542</v>
      </c>
    </row>
    <row r="69" spans="1:6">
      <c r="A69" s="7">
        <v>43393</v>
      </c>
      <c r="B69" s="1">
        <v>0.33333333333333331</v>
      </c>
      <c r="C69">
        <v>5688.1</v>
      </c>
      <c r="D69">
        <v>7.2</v>
      </c>
      <c r="E69" s="3">
        <f t="shared" si="4"/>
        <v>0.10167577660506971</v>
      </c>
      <c r="F69" s="4">
        <f t="shared" si="5"/>
        <v>737.77092921371707</v>
      </c>
    </row>
    <row r="70" spans="1:6">
      <c r="A70" s="32">
        <v>43605</v>
      </c>
      <c r="B70" s="1">
        <v>0.33333333333333331</v>
      </c>
      <c r="C70">
        <v>5710.2</v>
      </c>
      <c r="D70">
        <v>6.8</v>
      </c>
      <c r="E70" s="3">
        <f t="shared" si="4"/>
        <v>9.9761705370460779E-2</v>
      </c>
      <c r="F70" s="4">
        <f t="shared" si="5"/>
        <v>737.57569394778693</v>
      </c>
    </row>
    <row r="71" spans="1:6">
      <c r="A71" s="32">
        <v>43615</v>
      </c>
      <c r="B71" s="1">
        <v>0.33333333333333331</v>
      </c>
      <c r="C71">
        <v>5711.2</v>
      </c>
      <c r="D71">
        <v>6.9</v>
      </c>
      <c r="E71" s="3">
        <f t="shared" si="4"/>
        <v>9.9800963908220353E-2</v>
      </c>
      <c r="F71" s="4">
        <f t="shared" si="5"/>
        <v>737.57969831863841</v>
      </c>
    </row>
    <row r="72" spans="1:6">
      <c r="A72" s="32">
        <v>43626</v>
      </c>
      <c r="B72" s="1">
        <v>0.33333333333333331</v>
      </c>
      <c r="C72">
        <v>5712.3</v>
      </c>
      <c r="D72">
        <v>7.2</v>
      </c>
      <c r="E72" s="3">
        <f t="shared" si="4"/>
        <v>0.1000466359825572</v>
      </c>
      <c r="F72" s="4">
        <f t="shared" si="5"/>
        <v>737.60475687022085</v>
      </c>
    </row>
    <row r="73" spans="1:6">
      <c r="A73" s="32">
        <v>43636</v>
      </c>
      <c r="B73" s="1">
        <v>0.33333333333333331</v>
      </c>
      <c r="C73">
        <v>5714.1</v>
      </c>
      <c r="D73">
        <v>7.4</v>
      </c>
      <c r="E73" s="3">
        <f t="shared" si="4"/>
        <v>0.10013861846975045</v>
      </c>
      <c r="F73" s="4">
        <f t="shared" si="5"/>
        <v>737.61413908391455</v>
      </c>
    </row>
    <row r="74" spans="1:6">
      <c r="A74" s="7">
        <v>43646</v>
      </c>
      <c r="B74" s="1">
        <v>0.33333333333333331</v>
      </c>
      <c r="C74">
        <v>5719.2</v>
      </c>
      <c r="D74">
        <v>7.2</v>
      </c>
      <c r="E74" s="3">
        <f t="shared" si="4"/>
        <v>9.9582193304105115E-2</v>
      </c>
      <c r="F74" s="4">
        <f t="shared" si="5"/>
        <v>737.55738371701875</v>
      </c>
    </row>
    <row r="75" spans="1:6">
      <c r="A75" s="7">
        <v>43656</v>
      </c>
      <c r="B75" s="1">
        <v>0.33333333333333331</v>
      </c>
      <c r="C75">
        <v>5698.2</v>
      </c>
      <c r="D75">
        <v>7</v>
      </c>
      <c r="E75" s="3">
        <f t="shared" si="4"/>
        <v>0.10078265910392953</v>
      </c>
      <c r="F75" s="4">
        <f t="shared" si="5"/>
        <v>737.67983122860073</v>
      </c>
    </row>
    <row r="76" spans="1:6">
      <c r="A76" s="7">
        <v>43666</v>
      </c>
      <c r="B76" s="1">
        <v>0.33333333333333331</v>
      </c>
      <c r="C76">
        <v>5687.3</v>
      </c>
      <c r="D76">
        <v>6.8</v>
      </c>
      <c r="E76" s="3">
        <f t="shared" si="4"/>
        <v>0.10130335009169725</v>
      </c>
      <c r="F76" s="4">
        <f t="shared" si="5"/>
        <v>737.7329417093531</v>
      </c>
    </row>
    <row r="77" spans="1:6">
      <c r="A77" s="7">
        <v>43676</v>
      </c>
      <c r="B77" s="1">
        <v>0.33333333333333331</v>
      </c>
      <c r="C77">
        <v>5671.5</v>
      </c>
      <c r="D77">
        <v>6.4</v>
      </c>
      <c r="E77" s="3">
        <f t="shared" si="4"/>
        <v>0.10194091261403465</v>
      </c>
      <c r="F77" s="4">
        <f t="shared" si="5"/>
        <v>737.79797308663149</v>
      </c>
    </row>
    <row r="78" spans="1:6">
      <c r="A78" s="7">
        <v>43687</v>
      </c>
      <c r="B78" s="1">
        <v>0.33333333333333331</v>
      </c>
      <c r="C78">
        <v>5621.3</v>
      </c>
      <c r="D78">
        <v>6</v>
      </c>
      <c r="E78" s="3">
        <f t="shared" si="4"/>
        <v>0.10489570119931083</v>
      </c>
      <c r="F78" s="4">
        <f t="shared" si="5"/>
        <v>738.09936152232967</v>
      </c>
    </row>
    <row r="79" spans="1:6">
      <c r="A79" s="7">
        <v>43697</v>
      </c>
      <c r="B79" s="1">
        <v>0.33333333333333331</v>
      </c>
      <c r="C79">
        <v>5597.5</v>
      </c>
      <c r="D79">
        <v>5.2</v>
      </c>
      <c r="E79" s="3">
        <f t="shared" si="4"/>
        <v>0.10564663332995064</v>
      </c>
      <c r="F79" s="4">
        <f t="shared" si="5"/>
        <v>738.17595659965491</v>
      </c>
    </row>
    <row r="80" spans="1:6">
      <c r="A80" s="7">
        <v>43707</v>
      </c>
      <c r="B80" s="1">
        <v>0.33333333333333331</v>
      </c>
      <c r="C80">
        <v>5578.7</v>
      </c>
      <c r="D80">
        <v>4.3</v>
      </c>
      <c r="E80" s="3">
        <f t="shared" si="4"/>
        <v>0.10595436193163082</v>
      </c>
      <c r="F80" s="4">
        <f t="shared" si="5"/>
        <v>738.20734491702638</v>
      </c>
    </row>
  </sheetData>
  <phoneticPr fontId="4" type="noConversion"/>
  <pageMargins left="0.69930555555555596" right="0.69930555555555596" top="0.75" bottom="0.75" header="0.3" footer="0.3"/>
  <pageSetup paperSize="9" orientation="portrait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6"/>
  <sheetViews>
    <sheetView workbookViewId="0">
      <selection activeCell="G34" sqref="G34"/>
    </sheetView>
  </sheetViews>
  <sheetFormatPr defaultColWidth="9" defaultRowHeight="13.5"/>
  <cols>
    <col min="1" max="1" width="11" customWidth="1"/>
    <col min="2" max="2" width="13.875" customWidth="1"/>
    <col min="5" max="5" width="10.875" customWidth="1"/>
  </cols>
  <sheetData>
    <row r="1" spans="1:7">
      <c r="A1" t="s">
        <v>0</v>
      </c>
      <c r="B1">
        <v>50400</v>
      </c>
      <c r="C1" t="s">
        <v>1</v>
      </c>
      <c r="D1">
        <v>730</v>
      </c>
    </row>
    <row r="2" spans="1:7">
      <c r="A2" t="s">
        <v>2</v>
      </c>
      <c r="B2" s="35">
        <v>5.8138699999999997E-10</v>
      </c>
    </row>
    <row r="3" spans="1:7">
      <c r="A3" t="s">
        <v>3</v>
      </c>
      <c r="B3">
        <v>-7.3745999999999995E-5</v>
      </c>
    </row>
    <row r="4" spans="1:7">
      <c r="A4" t="s">
        <v>4</v>
      </c>
      <c r="B4">
        <v>0.57980606999999995</v>
      </c>
    </row>
    <row r="5" spans="1:7">
      <c r="A5" t="s">
        <v>5</v>
      </c>
      <c r="B5">
        <v>-8.8747900000000005E-4</v>
      </c>
    </row>
    <row r="6" spans="1:7">
      <c r="A6" t="s">
        <v>6</v>
      </c>
      <c r="B6" t="s">
        <v>7</v>
      </c>
      <c r="C6" t="s">
        <v>8</v>
      </c>
      <c r="D6" t="s">
        <v>9</v>
      </c>
      <c r="E6" t="s">
        <v>10</v>
      </c>
      <c r="F6" t="s">
        <v>11</v>
      </c>
      <c r="G6" t="s">
        <v>12</v>
      </c>
    </row>
    <row r="7" spans="1:7">
      <c r="A7" s="7">
        <v>42615</v>
      </c>
      <c r="B7" s="1">
        <v>0.70833333333333337</v>
      </c>
      <c r="C7" s="2">
        <v>8449.2999999999993</v>
      </c>
      <c r="D7" s="2">
        <v>16.7</v>
      </c>
      <c r="E7" s="3">
        <f>($B$2*C7^2+$B$3*C7+$B$4)-$B$5*D7</f>
        <v>1.3030499244169691E-2</v>
      </c>
      <c r="G7" t="s">
        <v>13</v>
      </c>
    </row>
    <row r="8" spans="1:7">
      <c r="A8" s="7">
        <v>42633</v>
      </c>
      <c r="B8" s="1">
        <v>0.70833333333333337</v>
      </c>
      <c r="C8" s="2">
        <v>8338.6</v>
      </c>
      <c r="D8" s="2">
        <v>13.2</v>
      </c>
      <c r="E8" s="3">
        <f>($B$2*C8^2+$B$3*C8+$B$4)-$B$5*D8-$E$7</f>
        <v>3.977044163324785E-3</v>
      </c>
      <c r="F8" s="4">
        <f>$D$1+102*E8</f>
        <v>730.40565850465907</v>
      </c>
      <c r="G8" t="s">
        <v>17</v>
      </c>
    </row>
    <row r="9" spans="1:7">
      <c r="A9" s="7">
        <v>42634</v>
      </c>
      <c r="B9" s="1">
        <v>0.33333333333333331</v>
      </c>
      <c r="C9" s="2">
        <v>8339.2000000000007</v>
      </c>
      <c r="D9" s="2">
        <v>13.2</v>
      </c>
      <c r="E9" s="3">
        <f t="shared" ref="E9:E29" si="0">($B$2*C9^2+$B$3*C9+$B$4)-$B$5*D9-$E$7</f>
        <v>3.938614316989943E-3</v>
      </c>
      <c r="F9" s="4">
        <f t="shared" ref="F9:F38" si="1">$D$1+102*E9</f>
        <v>730.40173866033297</v>
      </c>
      <c r="G9" t="s">
        <v>25</v>
      </c>
    </row>
    <row r="10" spans="1:7">
      <c r="A10" s="7">
        <v>42635</v>
      </c>
      <c r="B10" s="1">
        <v>0.33333333333333331</v>
      </c>
      <c r="C10" s="2">
        <v>7993.2</v>
      </c>
      <c r="D10" s="2">
        <v>16.399999999999999</v>
      </c>
      <c r="E10" s="3">
        <f t="shared" si="0"/>
        <v>2.9009239133565179E-2</v>
      </c>
      <c r="F10" s="4">
        <f t="shared" si="1"/>
        <v>732.95894239162362</v>
      </c>
    </row>
    <row r="11" spans="1:7">
      <c r="A11" s="7">
        <v>42636</v>
      </c>
      <c r="B11" s="1">
        <v>0.33333333333333331</v>
      </c>
      <c r="C11" s="2">
        <v>7959.1</v>
      </c>
      <c r="D11" s="2">
        <v>27</v>
      </c>
      <c r="E11" s="3">
        <f t="shared" si="0"/>
        <v>4.0614996053017806E-2</v>
      </c>
      <c r="F11" s="4">
        <f t="shared" si="1"/>
        <v>734.14272959740777</v>
      </c>
    </row>
    <row r="12" spans="1:7">
      <c r="A12" s="7">
        <v>42653</v>
      </c>
      <c r="B12" s="1">
        <v>0.33333333333333331</v>
      </c>
      <c r="C12" s="2">
        <v>7208.3</v>
      </c>
      <c r="D12" s="2">
        <v>16.899999999999999</v>
      </c>
      <c r="E12" s="3">
        <f t="shared" si="0"/>
        <v>8.0399303561820762E-2</v>
      </c>
      <c r="F12" s="4">
        <f t="shared" si="1"/>
        <v>738.20072896330566</v>
      </c>
      <c r="G12" t="s">
        <v>62</v>
      </c>
    </row>
    <row r="13" spans="1:7">
      <c r="A13" s="7">
        <v>42855</v>
      </c>
      <c r="B13" s="1">
        <v>0.33333333333333331</v>
      </c>
      <c r="C13" s="2">
        <v>7068.1</v>
      </c>
      <c r="D13" s="2">
        <v>6.9</v>
      </c>
      <c r="E13" s="3">
        <f t="shared" si="0"/>
        <v>8.0700026867795357E-2</v>
      </c>
      <c r="F13" s="4">
        <f t="shared" si="1"/>
        <v>738.23140274051514</v>
      </c>
    </row>
    <row r="14" spans="1:7">
      <c r="A14" s="7">
        <v>42865</v>
      </c>
      <c r="B14" s="1">
        <v>0.33333333333333331</v>
      </c>
      <c r="C14" s="2">
        <v>6948.2</v>
      </c>
      <c r="D14" s="2">
        <v>7</v>
      </c>
      <c r="E14" s="3">
        <f t="shared" si="0"/>
        <v>8.8653867704284212E-2</v>
      </c>
      <c r="F14" s="4">
        <f t="shared" si="1"/>
        <v>739.04269450583695</v>
      </c>
    </row>
    <row r="15" spans="1:7">
      <c r="A15" s="7">
        <v>42875</v>
      </c>
      <c r="B15" s="1">
        <v>0.33333333333333331</v>
      </c>
      <c r="C15" s="2">
        <v>7044.4</v>
      </c>
      <c r="D15" s="2">
        <v>6.9</v>
      </c>
      <c r="E15" s="3">
        <f t="shared" si="0"/>
        <v>8.2253352738106619E-2</v>
      </c>
      <c r="F15" s="4">
        <f t="shared" si="1"/>
        <v>738.38984197928687</v>
      </c>
    </row>
    <row r="16" spans="1:7">
      <c r="A16" s="7">
        <v>42885</v>
      </c>
      <c r="B16" s="1">
        <v>0.33333333333333331</v>
      </c>
      <c r="C16" s="2">
        <v>7074.5</v>
      </c>
      <c r="D16" s="2">
        <v>7</v>
      </c>
      <c r="E16" s="3">
        <f t="shared" si="0"/>
        <v>8.0369423240027021E-2</v>
      </c>
      <c r="F16" s="4">
        <f t="shared" si="1"/>
        <v>738.19768117048272</v>
      </c>
    </row>
    <row r="17" spans="1:6">
      <c r="A17" s="7">
        <v>42896</v>
      </c>
      <c r="B17" s="1">
        <v>0.33333333333333331</v>
      </c>
      <c r="C17" s="2">
        <v>7073.2</v>
      </c>
      <c r="D17" s="2">
        <v>7.1</v>
      </c>
      <c r="E17" s="3">
        <f t="shared" si="0"/>
        <v>8.0543348064509246E-2</v>
      </c>
      <c r="F17" s="4">
        <f t="shared" si="1"/>
        <v>738.21542150257994</v>
      </c>
    </row>
    <row r="18" spans="1:6">
      <c r="A18" s="7">
        <v>42906</v>
      </c>
      <c r="B18" s="1">
        <v>0.33333333333333331</v>
      </c>
      <c r="C18" s="2">
        <v>7053.5</v>
      </c>
      <c r="D18" s="2">
        <v>7.3</v>
      </c>
      <c r="E18" s="3">
        <f t="shared" si="0"/>
        <v>8.2011842393771045E-2</v>
      </c>
      <c r="F18" s="4">
        <f t="shared" si="1"/>
        <v>738.36520792416468</v>
      </c>
    </row>
    <row r="19" spans="1:6">
      <c r="A19" s="7">
        <v>42926</v>
      </c>
      <c r="B19" s="1">
        <v>0.33333333333333331</v>
      </c>
      <c r="C19" s="2">
        <v>7066.9</v>
      </c>
      <c r="D19" s="2">
        <v>8.8000000000000007</v>
      </c>
      <c r="E19" s="3">
        <f t="shared" si="0"/>
        <v>8.2464870681501448E-2</v>
      </c>
      <c r="F19" s="4">
        <f t="shared" si="1"/>
        <v>738.41141680951318</v>
      </c>
    </row>
    <row r="20" spans="1:6">
      <c r="A20" s="7">
        <v>42936</v>
      </c>
      <c r="B20" s="9">
        <v>0.33333333333333331</v>
      </c>
      <c r="C20" s="2">
        <v>7070</v>
      </c>
      <c r="D20" s="2">
        <v>9.3000000000000007</v>
      </c>
      <c r="E20" s="3">
        <f t="shared" si="0"/>
        <v>8.270547651213031E-2</v>
      </c>
      <c r="F20" s="4">
        <f t="shared" si="1"/>
        <v>738.43595860423727</v>
      </c>
    </row>
    <row r="21" spans="1:6">
      <c r="A21" s="7">
        <v>42946</v>
      </c>
      <c r="B21" s="9">
        <v>0.33333333333333331</v>
      </c>
      <c r="C21" s="2">
        <v>7086.8</v>
      </c>
      <c r="D21" s="2">
        <v>10</v>
      </c>
      <c r="E21" s="3">
        <f t="shared" si="0"/>
        <v>8.222605274742123E-2</v>
      </c>
      <c r="F21" s="4">
        <f t="shared" si="1"/>
        <v>738.38705738023691</v>
      </c>
    </row>
    <row r="22" spans="1:6">
      <c r="A22" s="7">
        <v>42957</v>
      </c>
      <c r="B22" s="1">
        <v>0.33333333333333331</v>
      </c>
      <c r="C22" s="2">
        <v>7071</v>
      </c>
      <c r="D22" s="2">
        <v>10.6</v>
      </c>
      <c r="E22" s="3">
        <f t="shared" si="0"/>
        <v>8.379367460569731E-2</v>
      </c>
      <c r="F22" s="4">
        <f t="shared" si="1"/>
        <v>738.54695480978114</v>
      </c>
    </row>
    <row r="23" spans="1:6">
      <c r="A23" s="7">
        <v>42967</v>
      </c>
      <c r="B23" s="1">
        <v>0.33333333333333331</v>
      </c>
      <c r="C23" s="2">
        <v>7098.3</v>
      </c>
      <c r="D23" s="2">
        <v>11</v>
      </c>
      <c r="E23" s="3">
        <f t="shared" si="0"/>
        <v>8.2360293623858702E-2</v>
      </c>
      <c r="F23" s="4">
        <f t="shared" si="1"/>
        <v>738.40074994963356</v>
      </c>
    </row>
    <row r="24" spans="1:6">
      <c r="A24" s="7">
        <v>42977</v>
      </c>
      <c r="B24" s="1">
        <v>0.33333333333333331</v>
      </c>
      <c r="C24" s="2">
        <v>7078.4</v>
      </c>
      <c r="D24" s="2">
        <v>11.4</v>
      </c>
      <c r="E24" s="3">
        <f t="shared" si="0"/>
        <v>8.4018811857109035E-2</v>
      </c>
      <c r="F24" s="4">
        <f t="shared" si="1"/>
        <v>738.56991880942508</v>
      </c>
    </row>
    <row r="25" spans="1:6">
      <c r="A25" s="6">
        <v>42988</v>
      </c>
      <c r="B25" s="1">
        <v>0.33333333333333331</v>
      </c>
      <c r="C25" s="2">
        <v>7078.9</v>
      </c>
      <c r="D25" s="2">
        <v>11</v>
      </c>
      <c r="E25" s="3">
        <f t="shared" si="0"/>
        <v>8.3631062692196598E-2</v>
      </c>
      <c r="F25" s="4">
        <f t="shared" si="1"/>
        <v>738.53036839460401</v>
      </c>
    </row>
    <row r="26" spans="1:6">
      <c r="A26" s="6">
        <v>42998</v>
      </c>
      <c r="B26" s="1">
        <v>0.33333333333333331</v>
      </c>
      <c r="C26" s="2">
        <v>7083.2</v>
      </c>
      <c r="D26" s="2">
        <v>10.9</v>
      </c>
      <c r="E26" s="3">
        <f t="shared" si="0"/>
        <v>8.3260611733777135E-2</v>
      </c>
      <c r="F26" s="4">
        <f t="shared" si="1"/>
        <v>738.49258239684525</v>
      </c>
    </row>
    <row r="27" spans="1:6">
      <c r="A27" s="7">
        <v>43008</v>
      </c>
      <c r="B27" s="1">
        <v>0.33333333333333331</v>
      </c>
      <c r="C27" s="2">
        <v>7103.7</v>
      </c>
      <c r="D27" s="2">
        <v>10.7</v>
      </c>
      <c r="E27" s="3">
        <f t="shared" si="0"/>
        <v>8.1740408557998398E-2</v>
      </c>
      <c r="F27" s="4">
        <f t="shared" si="1"/>
        <v>738.33752167291584</v>
      </c>
    </row>
    <row r="28" spans="1:6">
      <c r="A28" s="7">
        <v>43018</v>
      </c>
      <c r="B28" s="9">
        <v>0.33333333333333331</v>
      </c>
      <c r="C28" s="2">
        <v>7085.6</v>
      </c>
      <c r="D28" s="2">
        <v>10.5</v>
      </c>
      <c r="E28" s="3">
        <f t="shared" si="0"/>
        <v>8.2748399868478623E-2</v>
      </c>
      <c r="F28" s="4">
        <f t="shared" si="1"/>
        <v>738.44033678658479</v>
      </c>
    </row>
    <row r="29" spans="1:6">
      <c r="A29" s="7">
        <v>43230</v>
      </c>
      <c r="B29" s="1">
        <v>0.33333333333333331</v>
      </c>
      <c r="C29" s="2">
        <v>7044.3</v>
      </c>
      <c r="D29" s="2">
        <v>6.5</v>
      </c>
      <c r="E29" s="3">
        <f t="shared" si="0"/>
        <v>8.1904916639403927E-2</v>
      </c>
      <c r="F29" s="4">
        <f t="shared" si="1"/>
        <v>738.35430149721924</v>
      </c>
    </row>
    <row r="30" spans="1:6">
      <c r="A30" s="7">
        <v>43240</v>
      </c>
      <c r="B30" s="9">
        <v>0.33333333333333331</v>
      </c>
      <c r="C30" s="2">
        <v>7051.8</v>
      </c>
      <c r="D30" s="2">
        <v>6.5</v>
      </c>
      <c r="E30" s="3">
        <f t="shared" ref="E30:E38" si="2">($B$2*C30^2+$B$3*C30+$B$4)-$B$5*D30-$E$7</f>
        <v>8.1413286309084135E-2</v>
      </c>
      <c r="F30" s="4">
        <f t="shared" si="1"/>
        <v>738.30415520352653</v>
      </c>
    </row>
    <row r="31" spans="1:6">
      <c r="A31" s="7">
        <v>43250</v>
      </c>
      <c r="B31" s="1">
        <v>0.33333333333333331</v>
      </c>
      <c r="C31" s="2">
        <v>7041</v>
      </c>
      <c r="D31" s="2">
        <v>6.6</v>
      </c>
      <c r="E31" s="3">
        <f t="shared" si="2"/>
        <v>8.221000260537735E-2</v>
      </c>
      <c r="F31" s="4">
        <f t="shared" si="1"/>
        <v>738.38542026574851</v>
      </c>
    </row>
    <row r="32" spans="1:6">
      <c r="A32" s="7">
        <v>43261</v>
      </c>
      <c r="B32" s="1">
        <v>0.33333333333333331</v>
      </c>
      <c r="C32" s="2">
        <v>6999</v>
      </c>
      <c r="D32" s="2">
        <v>6.8</v>
      </c>
      <c r="E32" s="3">
        <f t="shared" si="2"/>
        <v>8.5141998119217299E-2</v>
      </c>
      <c r="F32" s="4">
        <f t="shared" si="1"/>
        <v>738.68448380816017</v>
      </c>
    </row>
    <row r="33" spans="1:6">
      <c r="A33" s="7">
        <v>43271</v>
      </c>
      <c r="B33" s="1">
        <v>0.33333333333333331</v>
      </c>
      <c r="C33" s="2">
        <v>6845.7</v>
      </c>
      <c r="D33" s="2">
        <v>7.3</v>
      </c>
      <c r="E33" s="3">
        <f t="shared" si="2"/>
        <v>9.5657068005005924E-2</v>
      </c>
      <c r="F33" s="4">
        <f t="shared" si="1"/>
        <v>739.75702093651057</v>
      </c>
    </row>
    <row r="34" spans="1:6">
      <c r="A34" s="7">
        <v>43281</v>
      </c>
      <c r="B34" s="1">
        <v>0.33333333333333331</v>
      </c>
      <c r="C34" s="2">
        <v>6900.3</v>
      </c>
      <c r="D34" s="2">
        <v>7.3</v>
      </c>
      <c r="E34" s="3">
        <f t="shared" si="2"/>
        <v>9.206688572033514E-2</v>
      </c>
      <c r="F34" s="4">
        <f t="shared" si="1"/>
        <v>739.39082234347416</v>
      </c>
    </row>
    <row r="35" spans="1:6">
      <c r="A35" s="7">
        <v>43291</v>
      </c>
      <c r="B35" s="1">
        <v>0.33333333333333331</v>
      </c>
      <c r="C35" s="2">
        <v>7014.3</v>
      </c>
      <c r="D35" s="2">
        <v>7.5</v>
      </c>
      <c r="E35" s="3">
        <f t="shared" si="2"/>
        <v>8.4759571021057897E-2</v>
      </c>
      <c r="F35" s="4">
        <f t="shared" si="1"/>
        <v>738.64547624414786</v>
      </c>
    </row>
    <row r="36" spans="1:6">
      <c r="A36" s="7">
        <v>43301</v>
      </c>
      <c r="B36" s="1">
        <v>0.33333333333333331</v>
      </c>
      <c r="C36" s="2">
        <v>6992.9</v>
      </c>
      <c r="D36" s="2">
        <v>7.6</v>
      </c>
      <c r="E36" s="3">
        <f t="shared" si="2"/>
        <v>8.6252210195748996E-2</v>
      </c>
      <c r="F36" s="4">
        <f t="shared" si="1"/>
        <v>738.79772543996637</v>
      </c>
    </row>
    <row r="37" spans="1:6">
      <c r="A37" s="7">
        <v>43311</v>
      </c>
      <c r="B37" s="1">
        <v>0.33333333333333331</v>
      </c>
      <c r="C37" s="2">
        <v>6994</v>
      </c>
      <c r="D37" s="2">
        <v>7.7</v>
      </c>
      <c r="E37" s="3">
        <f t="shared" si="2"/>
        <v>8.6268782477762318E-2</v>
      </c>
      <c r="F37" s="4">
        <f t="shared" si="1"/>
        <v>738.79941581273181</v>
      </c>
    </row>
    <row r="38" spans="1:6">
      <c r="A38" s="7">
        <v>43322</v>
      </c>
      <c r="B38" s="1">
        <v>0.33333333333333331</v>
      </c>
      <c r="C38" s="2">
        <v>6955.4</v>
      </c>
      <c r="D38" s="2">
        <v>7.7</v>
      </c>
      <c r="E38" s="3">
        <f t="shared" si="2"/>
        <v>8.8802332084795266E-2</v>
      </c>
      <c r="F38" s="4">
        <f t="shared" si="1"/>
        <v>739.05783787264909</v>
      </c>
    </row>
    <row r="39" spans="1:6">
      <c r="A39" s="7">
        <v>43332</v>
      </c>
      <c r="B39" s="1">
        <v>0.33333333333333331</v>
      </c>
      <c r="C39" s="2">
        <v>6991</v>
      </c>
      <c r="D39" s="2">
        <v>8.1999999999999993</v>
      </c>
      <c r="E39" s="3">
        <f t="shared" ref="E39:E56" si="3">($B$2*C39^2+$B$3*C39+$B$4)-$B$5*D39-$E$7</f>
        <v>8.6909367886177272E-2</v>
      </c>
      <c r="F39" s="4">
        <f t="shared" ref="F39:F56" si="4">$D$1+102*E39</f>
        <v>738.86475552439003</v>
      </c>
    </row>
    <row r="40" spans="1:6">
      <c r="A40" s="7">
        <v>43342</v>
      </c>
      <c r="B40" s="1">
        <v>0.33333333333333331</v>
      </c>
      <c r="C40" s="2">
        <v>6917.6</v>
      </c>
      <c r="D40" s="2">
        <v>8.6</v>
      </c>
      <c r="E40" s="3">
        <f t="shared" si="3"/>
        <v>9.2083782990827368E-2</v>
      </c>
      <c r="F40" s="4">
        <f t="shared" si="4"/>
        <v>739.39254586506445</v>
      </c>
    </row>
    <row r="41" spans="1:6">
      <c r="A41" s="7">
        <v>43353</v>
      </c>
      <c r="B41" s="1">
        <v>0.33333333333333331</v>
      </c>
      <c r="C41" s="2">
        <v>6839.9</v>
      </c>
      <c r="D41" s="2">
        <v>9.1</v>
      </c>
      <c r="E41" s="3">
        <f t="shared" si="3"/>
        <v>9.7636108551428194E-2</v>
      </c>
      <c r="F41" s="4">
        <f t="shared" si="4"/>
        <v>739.95888307224573</v>
      </c>
    </row>
    <row r="42" spans="1:6">
      <c r="A42" s="7">
        <v>43363</v>
      </c>
      <c r="B42" s="1">
        <v>0.33333333333333331</v>
      </c>
      <c r="C42" s="2">
        <v>6941.5</v>
      </c>
      <c r="D42" s="2">
        <v>9.1</v>
      </c>
      <c r="E42" s="3">
        <f t="shared" si="3"/>
        <v>9.0957567354491134E-2</v>
      </c>
      <c r="F42" s="4">
        <f t="shared" si="4"/>
        <v>739.27767187015809</v>
      </c>
    </row>
    <row r="43" spans="1:6">
      <c r="A43" s="7">
        <v>43373</v>
      </c>
      <c r="B43" s="1">
        <v>0.33333333333333331</v>
      </c>
      <c r="C43" s="2">
        <v>6957.6</v>
      </c>
      <c r="D43" s="2">
        <v>8.6999999999999993</v>
      </c>
      <c r="E43" s="3">
        <f t="shared" si="3"/>
        <v>8.9545365326923393E-2</v>
      </c>
      <c r="F43" s="4">
        <f t="shared" si="4"/>
        <v>739.13362726334617</v>
      </c>
    </row>
    <row r="44" spans="1:6">
      <c r="A44" s="7">
        <v>43383</v>
      </c>
      <c r="B44" s="1">
        <v>0.33333333333333331</v>
      </c>
      <c r="C44" s="2">
        <v>6960.3</v>
      </c>
      <c r="D44" s="2">
        <v>8.5</v>
      </c>
      <c r="E44" s="3">
        <f t="shared" si="3"/>
        <v>8.9190602879467132E-2</v>
      </c>
      <c r="F44" s="4">
        <f t="shared" si="4"/>
        <v>739.09744149370567</v>
      </c>
    </row>
    <row r="45" spans="1:6">
      <c r="A45" s="7">
        <v>43393</v>
      </c>
      <c r="B45" s="1">
        <v>0.33333333333333331</v>
      </c>
      <c r="C45" s="2">
        <v>6967.2</v>
      </c>
      <c r="D45" s="2">
        <v>8.1999999999999993</v>
      </c>
      <c r="E45" s="3">
        <f t="shared" si="3"/>
        <v>8.8471382924820333E-2</v>
      </c>
      <c r="F45" s="4">
        <f t="shared" si="4"/>
        <v>739.02408105833172</v>
      </c>
    </row>
    <row r="46" spans="1:6">
      <c r="A46" s="32">
        <v>43605</v>
      </c>
      <c r="B46" s="1">
        <v>0.33333333333333331</v>
      </c>
      <c r="C46" s="2">
        <v>6992.7</v>
      </c>
      <c r="D46" s="2">
        <v>7.5</v>
      </c>
      <c r="E46" s="3">
        <f t="shared" si="3"/>
        <v>8.6176585286543525E-2</v>
      </c>
      <c r="F46" s="4">
        <f t="shared" si="4"/>
        <v>738.79001169922742</v>
      </c>
    </row>
    <row r="47" spans="1:6">
      <c r="A47" s="32">
        <v>43615</v>
      </c>
      <c r="B47" s="1">
        <v>0.33333333333333331</v>
      </c>
      <c r="C47" s="2">
        <v>6992.9</v>
      </c>
      <c r="D47" s="2">
        <v>7.7</v>
      </c>
      <c r="E47" s="3">
        <f t="shared" si="3"/>
        <v>8.6340958095748987E-2</v>
      </c>
      <c r="F47" s="4">
        <f t="shared" si="4"/>
        <v>738.80677772576644</v>
      </c>
    </row>
    <row r="48" spans="1:6">
      <c r="A48" s="32">
        <v>43626</v>
      </c>
      <c r="B48" s="1">
        <v>0.33333333333333331</v>
      </c>
      <c r="C48" s="2">
        <v>6993.3</v>
      </c>
      <c r="D48" s="2">
        <v>7.9</v>
      </c>
      <c r="E48" s="3">
        <f t="shared" si="3"/>
        <v>8.6492208053692746E-2</v>
      </c>
      <c r="F48" s="4">
        <f t="shared" si="4"/>
        <v>738.82220522147668</v>
      </c>
    </row>
    <row r="49" spans="1:6">
      <c r="A49" s="32">
        <v>43636</v>
      </c>
      <c r="B49" s="1">
        <v>0.33333333333333331</v>
      </c>
      <c r="C49" s="2">
        <v>6994.2</v>
      </c>
      <c r="D49" s="2">
        <v>8.1</v>
      </c>
      <c r="E49" s="3">
        <f t="shared" si="3"/>
        <v>8.6610651389289015E-2</v>
      </c>
      <c r="F49" s="4">
        <f t="shared" si="4"/>
        <v>738.83428644170749</v>
      </c>
    </row>
    <row r="50" spans="1:6">
      <c r="A50" s="7">
        <v>43646</v>
      </c>
      <c r="B50" s="1">
        <v>0.33333333333333331</v>
      </c>
      <c r="C50" s="2">
        <v>6990.1</v>
      </c>
      <c r="D50" s="2">
        <v>8.1</v>
      </c>
      <c r="E50" s="3">
        <f t="shared" si="3"/>
        <v>8.6879675799370157E-2</v>
      </c>
      <c r="F50" s="4">
        <f t="shared" si="4"/>
        <v>738.86172693153571</v>
      </c>
    </row>
    <row r="51" spans="1:6">
      <c r="A51" s="7">
        <v>43656</v>
      </c>
      <c r="B51" s="1">
        <v>0.33333333333333331</v>
      </c>
      <c r="C51" s="2">
        <v>6979.2</v>
      </c>
      <c r="D51" s="2">
        <v>8.1999999999999993</v>
      </c>
      <c r="E51" s="3">
        <f t="shared" si="3"/>
        <v>8.7683729992702034E-2</v>
      </c>
      <c r="F51" s="4">
        <f t="shared" si="4"/>
        <v>738.94374045925565</v>
      </c>
    </row>
    <row r="52" spans="1:6">
      <c r="A52" s="7">
        <v>43666</v>
      </c>
      <c r="B52" s="1">
        <v>0.33333333333333331</v>
      </c>
      <c r="C52" s="2">
        <v>6959.3</v>
      </c>
      <c r="D52" s="2">
        <v>8.1999999999999993</v>
      </c>
      <c r="E52" s="3">
        <f t="shared" si="3"/>
        <v>8.8990012504981911E-2</v>
      </c>
      <c r="F52" s="4">
        <f t="shared" si="4"/>
        <v>739.07698127550816</v>
      </c>
    </row>
    <row r="53" spans="1:6">
      <c r="A53" s="7">
        <v>43676</v>
      </c>
      <c r="B53" s="1">
        <v>0.33333333333333331</v>
      </c>
      <c r="C53" s="2">
        <v>6947.2</v>
      </c>
      <c r="D53" s="2">
        <v>8.1999999999999993</v>
      </c>
      <c r="E53" s="3">
        <f t="shared" si="3"/>
        <v>8.9784509899364387E-2</v>
      </c>
      <c r="F53" s="4">
        <f t="shared" si="4"/>
        <v>739.1580200097352</v>
      </c>
    </row>
    <row r="54" spans="1:6">
      <c r="A54" s="7">
        <v>43687</v>
      </c>
      <c r="B54" s="1">
        <v>0.33333333333333331</v>
      </c>
      <c r="C54" s="2">
        <v>6921.5</v>
      </c>
      <c r="D54" s="2">
        <v>8.3000000000000007</v>
      </c>
      <c r="E54" s="3">
        <f t="shared" si="3"/>
        <v>9.1561308794871066E-2</v>
      </c>
      <c r="F54" s="4">
        <f t="shared" si="4"/>
        <v>739.33925349707681</v>
      </c>
    </row>
    <row r="55" spans="1:6">
      <c r="A55" s="7">
        <v>43697</v>
      </c>
      <c r="B55" s="1">
        <v>0.33333333333333331</v>
      </c>
      <c r="C55" s="2">
        <v>6900.3</v>
      </c>
      <c r="D55" s="2">
        <v>8.3000000000000007</v>
      </c>
      <c r="E55" s="3">
        <f t="shared" si="3"/>
        <v>9.2954364720335136E-2</v>
      </c>
      <c r="F55" s="4">
        <f t="shared" si="4"/>
        <v>739.48134520147414</v>
      </c>
    </row>
    <row r="56" spans="1:6">
      <c r="A56" s="7">
        <v>43707</v>
      </c>
      <c r="B56" s="1">
        <v>0.33333333333333331</v>
      </c>
      <c r="C56" s="2">
        <v>6828.8</v>
      </c>
      <c r="D56" s="2">
        <v>8.3000000000000007</v>
      </c>
      <c r="E56" s="3">
        <f t="shared" si="3"/>
        <v>9.7656496421623606E-2</v>
      </c>
      <c r="F56" s="4">
        <f t="shared" si="4"/>
        <v>739.96096263500556</v>
      </c>
    </row>
  </sheetData>
  <phoneticPr fontId="5" type="noConversion"/>
  <pageMargins left="0.69930555555555596" right="0.69930555555555596" top="0.75" bottom="0.75" header="0.3" footer="0.3"/>
  <pageSetup paperSize="9" orientation="portrait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"/>
  <sheetViews>
    <sheetView tabSelected="1" workbookViewId="0">
      <selection activeCell="D15" sqref="D15"/>
    </sheetView>
  </sheetViews>
  <sheetFormatPr defaultColWidth="9" defaultRowHeight="13.5"/>
  <cols>
    <col min="1" max="1" width="11.625" customWidth="1"/>
    <col min="2" max="2" width="13.875" customWidth="1"/>
    <col min="5" max="5" width="10.875" customWidth="1"/>
  </cols>
  <sheetData>
    <row r="1" spans="1:7">
      <c r="A1" t="s">
        <v>0</v>
      </c>
      <c r="B1">
        <v>50384</v>
      </c>
      <c r="C1" t="s">
        <v>1</v>
      </c>
      <c r="D1">
        <v>730.5</v>
      </c>
    </row>
    <row r="2" spans="1:7">
      <c r="A2" t="s">
        <v>2</v>
      </c>
      <c r="B2" s="34">
        <v>4.3394100000000001E-10</v>
      </c>
    </row>
    <row r="3" spans="1:7">
      <c r="A3" t="s">
        <v>3</v>
      </c>
      <c r="B3">
        <v>-7.3021000000000004E-5</v>
      </c>
    </row>
    <row r="4" spans="1:7">
      <c r="A4" t="s">
        <v>4</v>
      </c>
      <c r="B4">
        <v>0.64039228999999998</v>
      </c>
    </row>
    <row r="5" spans="1:7">
      <c r="A5" t="s">
        <v>5</v>
      </c>
      <c r="B5">
        <v>-9.3975899999999997E-4</v>
      </c>
    </row>
    <row r="6" spans="1:7">
      <c r="A6" t="s">
        <v>6</v>
      </c>
      <c r="B6" t="s">
        <v>7</v>
      </c>
      <c r="C6" t="s">
        <v>8</v>
      </c>
      <c r="D6" t="s">
        <v>9</v>
      </c>
      <c r="E6" t="s">
        <v>10</v>
      </c>
      <c r="F6" t="s">
        <v>11</v>
      </c>
      <c r="G6" t="s">
        <v>12</v>
      </c>
    </row>
    <row r="7" spans="1:7">
      <c r="A7" s="7">
        <v>42615</v>
      </c>
      <c r="B7" s="1">
        <v>0.70833333333333337</v>
      </c>
      <c r="C7" s="2">
        <v>9143.9</v>
      </c>
      <c r="D7" s="2">
        <v>15.7</v>
      </c>
      <c r="E7" s="3">
        <f>($B$2*C7^2+$B$3*C7+$B$4)-$B$5*D7</f>
        <v>2.3731985085614513E-2</v>
      </c>
      <c r="G7" t="s">
        <v>13</v>
      </c>
    </row>
    <row r="8" spans="1:7">
      <c r="A8" s="7">
        <v>42633</v>
      </c>
      <c r="B8" s="1">
        <v>0.70833333333333337</v>
      </c>
      <c r="C8" s="2">
        <v>9126.2000000000007</v>
      </c>
      <c r="D8" s="2">
        <v>13.8</v>
      </c>
      <c r="E8" s="3">
        <f>($B$2*C8^2+$B$3*C8+$B$4)-$B$5*D8-$E$7</f>
        <v>-6.3339857471451932E-4</v>
      </c>
      <c r="F8" s="4">
        <f>$D$1+102*E8</f>
        <v>730.43539334537911</v>
      </c>
      <c r="G8" t="s">
        <v>17</v>
      </c>
    </row>
    <row r="9" spans="1:7">
      <c r="A9" s="7">
        <v>42634</v>
      </c>
      <c r="B9" s="1">
        <v>0.33333333333333331</v>
      </c>
      <c r="C9" s="2">
        <v>9101</v>
      </c>
      <c r="D9" s="2">
        <v>12</v>
      </c>
      <c r="E9" s="3">
        <f t="shared" ref="E9:E37" si="0">($B$2*C9^2+$B$3*C9+$B$4)-$B$5*D9-$E$7</f>
        <v>-6.841557154736097E-4</v>
      </c>
      <c r="F9" s="4">
        <f t="shared" ref="F9:F37" si="1">$D$1+102*E9</f>
        <v>730.4302161170217</v>
      </c>
      <c r="G9" t="s">
        <v>25</v>
      </c>
    </row>
    <row r="10" spans="1:7">
      <c r="A10" s="7">
        <v>42635</v>
      </c>
      <c r="B10" s="1">
        <v>0.33333333333333331</v>
      </c>
      <c r="C10" s="2">
        <v>8852.2000000000007</v>
      </c>
      <c r="D10" s="2">
        <v>18</v>
      </c>
      <c r="E10" s="3">
        <f t="shared" si="0"/>
        <v>2.1183714449699811E-2</v>
      </c>
      <c r="F10" s="4">
        <f t="shared" si="1"/>
        <v>732.66073887386938</v>
      </c>
    </row>
    <row r="11" spans="1:7">
      <c r="A11" s="7">
        <v>42653</v>
      </c>
      <c r="B11" s="1">
        <v>0.33333333333333331</v>
      </c>
      <c r="C11" s="2">
        <v>8004.7</v>
      </c>
      <c r="D11" s="2">
        <v>13.3</v>
      </c>
      <c r="E11" s="3">
        <f t="shared" si="0"/>
        <v>7.245276686334215E-2</v>
      </c>
      <c r="F11" s="4">
        <f t="shared" si="1"/>
        <v>737.89018222006086</v>
      </c>
      <c r="G11" t="s">
        <v>62</v>
      </c>
    </row>
    <row r="12" spans="1:7">
      <c r="A12" s="7">
        <v>42855</v>
      </c>
      <c r="B12" s="1">
        <v>0.33333333333333331</v>
      </c>
      <c r="C12" s="2">
        <v>7915.7</v>
      </c>
      <c r="D12" s="2">
        <v>7</v>
      </c>
      <c r="E12" s="3">
        <f t="shared" si="0"/>
        <v>7.2416296390962545E-2</v>
      </c>
      <c r="F12" s="4">
        <f t="shared" si="1"/>
        <v>737.88646223187823</v>
      </c>
    </row>
    <row r="13" spans="1:7">
      <c r="A13" s="7">
        <v>42865</v>
      </c>
      <c r="B13" s="1">
        <v>0.33333333333333331</v>
      </c>
      <c r="C13" s="2">
        <v>7794.7</v>
      </c>
      <c r="D13" s="2">
        <v>7.1</v>
      </c>
      <c r="E13" s="3">
        <f t="shared" si="0"/>
        <v>8.0520909501908183E-2</v>
      </c>
      <c r="F13" s="4">
        <f t="shared" si="1"/>
        <v>738.71313276919466</v>
      </c>
    </row>
    <row r="14" spans="1:7">
      <c r="A14" s="7">
        <v>42875</v>
      </c>
      <c r="B14" s="1">
        <v>0.33333333333333331</v>
      </c>
      <c r="C14" s="2">
        <v>7892.3</v>
      </c>
      <c r="D14" s="2">
        <v>7.2</v>
      </c>
      <c r="E14" s="3">
        <f t="shared" si="0"/>
        <v>7.415242169068724E-2</v>
      </c>
      <c r="F14" s="4">
        <f t="shared" si="1"/>
        <v>738.06354701245004</v>
      </c>
    </row>
    <row r="15" spans="1:7">
      <c r="A15" s="7">
        <v>42885</v>
      </c>
      <c r="B15" s="1">
        <v>0.33333333333333331</v>
      </c>
      <c r="C15" s="2">
        <v>7928.1</v>
      </c>
      <c r="D15" s="2">
        <v>7.5</v>
      </c>
      <c r="E15" s="3">
        <f t="shared" si="0"/>
        <v>7.2065968893718371E-2</v>
      </c>
      <c r="F15" s="4">
        <f t="shared" si="1"/>
        <v>737.85072882715929</v>
      </c>
    </row>
    <row r="16" spans="1:7">
      <c r="A16" s="7">
        <v>42896</v>
      </c>
      <c r="B16" s="1">
        <v>0.33333333333333331</v>
      </c>
      <c r="C16" s="2">
        <v>7925.6</v>
      </c>
      <c r="D16" s="2">
        <v>7.7</v>
      </c>
      <c r="E16" s="3">
        <f t="shared" si="0"/>
        <v>7.2419274267639264E-2</v>
      </c>
      <c r="F16" s="4">
        <f t="shared" si="1"/>
        <v>737.88676597529923</v>
      </c>
    </row>
    <row r="17" spans="1:6">
      <c r="A17" s="7">
        <v>42906</v>
      </c>
      <c r="B17" s="1">
        <v>0.33333333333333331</v>
      </c>
      <c r="C17" s="2">
        <v>7909.4</v>
      </c>
      <c r="D17" s="2">
        <v>8.1999999999999993</v>
      </c>
      <c r="E17" s="3">
        <f t="shared" si="0"/>
        <v>7.3960776384732196E-2</v>
      </c>
      <c r="F17" s="4">
        <f t="shared" si="1"/>
        <v>738.04399919124273</v>
      </c>
    </row>
    <row r="18" spans="1:6">
      <c r="A18" s="7">
        <v>42926</v>
      </c>
      <c r="B18" s="1">
        <v>0.33333333333333331</v>
      </c>
      <c r="C18" s="2">
        <v>7918.5</v>
      </c>
      <c r="D18" s="2">
        <v>9.4</v>
      </c>
      <c r="E18" s="3">
        <f t="shared" si="0"/>
        <v>7.4486498294992695E-2</v>
      </c>
      <c r="F18" s="4">
        <f t="shared" si="1"/>
        <v>738.09762282608926</v>
      </c>
    </row>
    <row r="19" spans="1:6">
      <c r="A19" s="7">
        <v>42936</v>
      </c>
      <c r="B19" s="1">
        <v>0.33333333333333331</v>
      </c>
      <c r="C19" s="2">
        <v>7928.5</v>
      </c>
      <c r="D19" s="37">
        <v>10.4</v>
      </c>
      <c r="E19" s="3">
        <f t="shared" si="0"/>
        <v>7.476481392526263E-2</v>
      </c>
      <c r="F19" s="4">
        <f t="shared" si="1"/>
        <v>738.12601102037684</v>
      </c>
    </row>
    <row r="20" spans="1:6">
      <c r="A20" s="7">
        <v>42946</v>
      </c>
      <c r="B20" s="9">
        <v>0.33333333333333331</v>
      </c>
      <c r="C20" s="2">
        <v>7947.3</v>
      </c>
      <c r="D20" s="2">
        <v>11.1</v>
      </c>
      <c r="E20" s="3">
        <f t="shared" si="0"/>
        <v>7.4179366643185335E-2</v>
      </c>
      <c r="F20" s="4">
        <f t="shared" si="1"/>
        <v>738.0662953976049</v>
      </c>
    </row>
    <row r="21" spans="1:6">
      <c r="A21" s="7">
        <v>42957</v>
      </c>
      <c r="B21" s="9">
        <v>0.33333333333333331</v>
      </c>
      <c r="C21" s="2">
        <v>7933.6</v>
      </c>
      <c r="D21" s="2">
        <v>11.7</v>
      </c>
      <c r="E21" s="3">
        <f t="shared" si="0"/>
        <v>7.5649197924496814E-2</v>
      </c>
      <c r="F21" s="4">
        <f t="shared" si="1"/>
        <v>738.21621818829863</v>
      </c>
    </row>
    <row r="22" spans="1:6">
      <c r="A22" s="7">
        <v>42967</v>
      </c>
      <c r="B22" s="1">
        <v>0.33333333333333331</v>
      </c>
      <c r="C22" s="2">
        <v>7961.7</v>
      </c>
      <c r="D22" s="2">
        <v>12.1</v>
      </c>
      <c r="E22" s="3">
        <f t="shared" si="0"/>
        <v>7.4167034613298974E-2</v>
      </c>
      <c r="F22" s="4">
        <f t="shared" si="1"/>
        <v>738.06503753055654</v>
      </c>
    </row>
    <row r="23" spans="1:6">
      <c r="A23" s="7">
        <v>42977</v>
      </c>
      <c r="B23" s="1">
        <v>0.33333333333333331</v>
      </c>
      <c r="C23" s="2">
        <v>7941.8</v>
      </c>
      <c r="D23" s="2">
        <v>12.7</v>
      </c>
      <c r="E23" s="3">
        <f t="shared" si="0"/>
        <v>7.6046674417498197E-2</v>
      </c>
      <c r="F23" s="4">
        <f t="shared" si="1"/>
        <v>738.25676079058485</v>
      </c>
    </row>
    <row r="24" spans="1:6">
      <c r="A24" s="7">
        <v>42988</v>
      </c>
      <c r="B24" s="1">
        <v>0.33333333333333331</v>
      </c>
      <c r="C24" s="2">
        <v>7940.6</v>
      </c>
      <c r="D24" s="2">
        <v>12.1</v>
      </c>
      <c r="E24" s="3">
        <f t="shared" si="0"/>
        <v>7.5562173788052175E-2</v>
      </c>
      <c r="F24" s="4">
        <f t="shared" si="1"/>
        <v>738.20734172638129</v>
      </c>
    </row>
    <row r="25" spans="1:6">
      <c r="A25" s="6">
        <v>42998</v>
      </c>
      <c r="B25" s="1">
        <v>0.33333333333333331</v>
      </c>
      <c r="C25" s="2">
        <v>7942.2</v>
      </c>
      <c r="D25" s="2">
        <v>11.8</v>
      </c>
      <c r="E25" s="3">
        <f t="shared" si="0"/>
        <v>7.5174440005035939E-2</v>
      </c>
      <c r="F25" s="4">
        <f t="shared" si="1"/>
        <v>738.16779288051362</v>
      </c>
    </row>
    <row r="26" spans="1:6">
      <c r="A26" s="6">
        <v>43008</v>
      </c>
      <c r="B26" s="1">
        <v>0.33333333333333331</v>
      </c>
      <c r="C26" s="2">
        <v>7956</v>
      </c>
      <c r="D26" s="2">
        <v>11.4</v>
      </c>
      <c r="E26" s="3">
        <f t="shared" si="0"/>
        <v>7.3886051160161406E-2</v>
      </c>
      <c r="F26" s="4">
        <f t="shared" si="1"/>
        <v>738.0363772183365</v>
      </c>
    </row>
    <row r="27" spans="1:6">
      <c r="A27" s="7">
        <v>43018</v>
      </c>
      <c r="B27" s="1">
        <v>0.33333333333333331</v>
      </c>
      <c r="C27" s="2">
        <v>7940.1</v>
      </c>
      <c r="D27" s="2">
        <v>11</v>
      </c>
      <c r="E27" s="3">
        <f t="shared" si="0"/>
        <v>7.4561503744632787E-2</v>
      </c>
      <c r="F27" s="4">
        <f t="shared" si="1"/>
        <v>738.10527338195254</v>
      </c>
    </row>
    <row r="28" spans="1:6">
      <c r="A28" s="7">
        <v>43230</v>
      </c>
      <c r="B28" s="9">
        <v>0.33333333333333331</v>
      </c>
      <c r="C28" s="2">
        <v>7890.6</v>
      </c>
      <c r="D28" s="2">
        <v>6.3</v>
      </c>
      <c r="E28" s="3">
        <f t="shared" si="0"/>
        <v>7.3419131250092168E-2</v>
      </c>
      <c r="F28" s="4">
        <f t="shared" si="1"/>
        <v>737.98875138750941</v>
      </c>
    </row>
    <row r="29" spans="1:6">
      <c r="A29" s="7">
        <v>43240</v>
      </c>
      <c r="B29" s="1">
        <v>0.33333333333333331</v>
      </c>
      <c r="C29" s="2">
        <v>7899.6</v>
      </c>
      <c r="D29" s="2">
        <v>6.9</v>
      </c>
      <c r="E29" s="3">
        <f t="shared" si="0"/>
        <v>7.3387465786695971E-2</v>
      </c>
      <c r="F29" s="4">
        <f t="shared" si="1"/>
        <v>737.98552151024296</v>
      </c>
    </row>
    <row r="30" spans="1:6">
      <c r="A30" s="7">
        <v>43250</v>
      </c>
      <c r="B30" s="9">
        <v>0.33333333333333331</v>
      </c>
      <c r="C30" s="2">
        <v>7891.2</v>
      </c>
      <c r="D30" s="2">
        <v>6.8</v>
      </c>
      <c r="E30" s="3">
        <f t="shared" si="0"/>
        <v>7.3849307172136489E-2</v>
      </c>
      <c r="F30" s="4">
        <f t="shared" si="1"/>
        <v>738.03262933155793</v>
      </c>
    </row>
    <row r="31" spans="1:6">
      <c r="A31" s="7">
        <v>43261</v>
      </c>
      <c r="B31" s="1">
        <v>0.33333333333333331</v>
      </c>
      <c r="C31" s="2">
        <v>7855.2</v>
      </c>
      <c r="D31" s="2">
        <v>7.4</v>
      </c>
      <c r="E31" s="3">
        <f t="shared" si="0"/>
        <v>7.6795930263890103E-2</v>
      </c>
      <c r="F31" s="4">
        <f t="shared" si="1"/>
        <v>738.3331848869168</v>
      </c>
    </row>
    <row r="32" spans="1:6">
      <c r="A32" s="7">
        <v>43271</v>
      </c>
      <c r="B32" s="1">
        <v>0.33333333333333331</v>
      </c>
      <c r="C32" s="2">
        <v>7708.9</v>
      </c>
      <c r="D32" s="2">
        <v>8.6</v>
      </c>
      <c r="E32" s="3">
        <f t="shared" si="0"/>
        <v>8.7618517630312073E-2</v>
      </c>
      <c r="F32" s="4">
        <f t="shared" si="1"/>
        <v>739.43708879829182</v>
      </c>
    </row>
    <row r="33" spans="1:6">
      <c r="A33" s="7">
        <v>43281</v>
      </c>
      <c r="B33" s="1">
        <v>0.33333333333333331</v>
      </c>
      <c r="C33" s="2">
        <v>7762.5</v>
      </c>
      <c r="D33" s="2">
        <v>8.1999999999999993</v>
      </c>
      <c r="E33" s="3">
        <f t="shared" si="0"/>
        <v>8.3688541398916683E-2</v>
      </c>
      <c r="F33" s="4">
        <f t="shared" si="1"/>
        <v>739.03623122268948</v>
      </c>
    </row>
    <row r="34" spans="1:6">
      <c r="A34" s="7">
        <v>43291</v>
      </c>
      <c r="B34" s="1">
        <v>0.33333333333333331</v>
      </c>
      <c r="C34" s="2">
        <v>7877.6</v>
      </c>
      <c r="D34" s="2">
        <v>8.6</v>
      </c>
      <c r="E34" s="3">
        <f t="shared" si="0"/>
        <v>7.6440897859901644E-2</v>
      </c>
      <c r="F34" s="4">
        <f t="shared" si="1"/>
        <v>738.29697158170995</v>
      </c>
    </row>
    <row r="35" spans="1:6">
      <c r="A35" s="7">
        <v>43301</v>
      </c>
      <c r="B35" s="1">
        <v>0.33333333333333331</v>
      </c>
      <c r="C35" s="2">
        <v>7858.9</v>
      </c>
      <c r="D35" s="2">
        <v>9</v>
      </c>
      <c r="E35" s="3">
        <f t="shared" si="0"/>
        <v>7.8054597235282061E-2</v>
      </c>
      <c r="F35" s="4">
        <f t="shared" si="1"/>
        <v>738.46156891799876</v>
      </c>
    </row>
    <row r="36" spans="1:6">
      <c r="A36" s="7">
        <v>43311</v>
      </c>
      <c r="B36" s="1">
        <v>0.33333333333333331</v>
      </c>
      <c r="C36" s="2">
        <v>7862.5</v>
      </c>
      <c r="D36" s="2">
        <v>9</v>
      </c>
      <c r="E36" s="3">
        <f t="shared" si="0"/>
        <v>7.7816281411416707E-2</v>
      </c>
      <c r="F36" s="4">
        <f t="shared" si="1"/>
        <v>738.43726070396451</v>
      </c>
    </row>
    <row r="37" spans="1:6">
      <c r="A37" s="7">
        <v>43322</v>
      </c>
      <c r="B37" s="1">
        <v>0.33333333333333331</v>
      </c>
      <c r="C37" s="2">
        <v>7829</v>
      </c>
      <c r="D37" s="2">
        <v>9.8000000000000007</v>
      </c>
      <c r="E37" s="3">
        <f t="shared" si="0"/>
        <v>8.0786184407166423E-2</v>
      </c>
      <c r="F37" s="4">
        <f t="shared" si="1"/>
        <v>738.74019080953099</v>
      </c>
    </row>
    <row r="38" spans="1:6">
      <c r="A38" s="7">
        <v>43332</v>
      </c>
      <c r="B38" s="1">
        <v>0.33333333333333331</v>
      </c>
      <c r="C38" s="2">
        <v>7863.2</v>
      </c>
      <c r="D38" s="2">
        <v>9.8000000000000007</v>
      </c>
      <c r="E38" s="3">
        <f t="shared" ref="E38:E55" si="2">($B$2*C38^2+$B$3*C38+$B$4)-$B$5*D38-$E$7</f>
        <v>7.8521750729605183E-2</v>
      </c>
      <c r="F38" s="4">
        <f t="shared" ref="F38:F55" si="3">$D$1+102*E38</f>
        <v>738.50921857441972</v>
      </c>
    </row>
    <row r="39" spans="1:6">
      <c r="A39" s="7">
        <v>43342</v>
      </c>
      <c r="B39" s="1">
        <v>0.33333333333333331</v>
      </c>
      <c r="C39" s="2">
        <v>7807.3</v>
      </c>
      <c r="D39" s="2">
        <v>10</v>
      </c>
      <c r="E39" s="3">
        <f t="shared" si="2"/>
        <v>8.2411452380181327E-2</v>
      </c>
      <c r="F39" s="4">
        <f t="shared" si="3"/>
        <v>738.90596814277853</v>
      </c>
    </row>
    <row r="40" spans="1:6">
      <c r="A40" s="7">
        <v>43353</v>
      </c>
      <c r="B40" s="1">
        <v>0.33333333333333331</v>
      </c>
      <c r="C40" s="2">
        <v>7716.3</v>
      </c>
      <c r="D40" s="2">
        <v>11.2</v>
      </c>
      <c r="E40" s="3">
        <f t="shared" si="2"/>
        <v>8.957106846798972E-2</v>
      </c>
      <c r="F40" s="4">
        <f t="shared" si="3"/>
        <v>739.63624898373496</v>
      </c>
    </row>
    <row r="41" spans="1:6">
      <c r="A41" s="7">
        <v>43363</v>
      </c>
      <c r="B41" s="1">
        <v>0.33333333333333331</v>
      </c>
      <c r="C41" s="2">
        <v>7817.2</v>
      </c>
      <c r="D41" s="2">
        <v>10.7</v>
      </c>
      <c r="E41" s="3">
        <f t="shared" si="2"/>
        <v>8.2413498880610933E-2</v>
      </c>
      <c r="F41" s="4">
        <f t="shared" si="3"/>
        <v>738.90617688582233</v>
      </c>
    </row>
    <row r="42" spans="1:6">
      <c r="A42" s="7">
        <v>43373</v>
      </c>
      <c r="B42" s="1">
        <v>0.33333333333333331</v>
      </c>
      <c r="C42" s="2">
        <v>7830.3</v>
      </c>
      <c r="D42" s="2">
        <v>10.3</v>
      </c>
      <c r="E42" s="3">
        <f t="shared" si="2"/>
        <v>8.1169970383158083E-2</v>
      </c>
      <c r="F42" s="4">
        <f t="shared" si="3"/>
        <v>738.77933697908213</v>
      </c>
    </row>
    <row r="43" spans="1:6">
      <c r="A43" s="7">
        <v>43383</v>
      </c>
      <c r="B43" s="1">
        <v>0.33333333333333331</v>
      </c>
      <c r="C43" s="2">
        <v>7837.2</v>
      </c>
      <c r="D43" s="2">
        <v>10</v>
      </c>
      <c r="E43" s="3">
        <f t="shared" si="2"/>
        <v>8.0431109300418857E-2</v>
      </c>
      <c r="F43" s="4">
        <f t="shared" si="3"/>
        <v>738.70397314864272</v>
      </c>
    </row>
    <row r="44" spans="1:6">
      <c r="A44" s="7">
        <v>43393</v>
      </c>
      <c r="B44" s="1">
        <v>0.33333333333333331</v>
      </c>
      <c r="C44" s="2">
        <v>7841.3</v>
      </c>
      <c r="D44" s="2">
        <v>9.6999999999999993</v>
      </c>
      <c r="E44" s="3">
        <f t="shared" si="2"/>
        <v>7.9877690030689688E-2</v>
      </c>
      <c r="F44" s="4">
        <f t="shared" si="3"/>
        <v>738.6475243831303</v>
      </c>
    </row>
    <row r="45" spans="1:6">
      <c r="A45" s="32">
        <v>43605</v>
      </c>
      <c r="B45" s="1">
        <v>0.33333333333333331</v>
      </c>
      <c r="C45" s="2">
        <v>7886.5</v>
      </c>
      <c r="D45" s="2">
        <v>9.1999999999999993</v>
      </c>
      <c r="E45" s="3">
        <f t="shared" si="2"/>
        <v>7.6415748494832694E-2</v>
      </c>
      <c r="F45" s="4">
        <f t="shared" si="3"/>
        <v>738.2944063464729</v>
      </c>
    </row>
    <row r="46" spans="1:6">
      <c r="A46" s="32">
        <v>43615</v>
      </c>
      <c r="B46" s="1">
        <v>0.33333333333333331</v>
      </c>
      <c r="C46" s="2">
        <v>7887.1</v>
      </c>
      <c r="D46" s="2">
        <v>9.5</v>
      </c>
      <c r="E46" s="3">
        <f t="shared" si="2"/>
        <v>7.6657970481887272E-2</v>
      </c>
      <c r="F46" s="4">
        <f t="shared" si="3"/>
        <v>738.31911298915247</v>
      </c>
    </row>
    <row r="47" spans="1:6">
      <c r="A47" s="32">
        <v>43626</v>
      </c>
      <c r="B47" s="1">
        <v>0.33333333333333331</v>
      </c>
      <c r="C47" s="2">
        <v>7887.9</v>
      </c>
      <c r="D47" s="2">
        <v>9.9</v>
      </c>
      <c r="E47" s="3">
        <f t="shared" si="2"/>
        <v>7.6980933617307332E-2</v>
      </c>
      <c r="F47" s="4">
        <f t="shared" si="3"/>
        <v>738.35205522896536</v>
      </c>
    </row>
    <row r="48" spans="1:6">
      <c r="A48" s="32">
        <v>43636</v>
      </c>
      <c r="B48" s="1">
        <v>0.33333333333333331</v>
      </c>
      <c r="C48" s="2">
        <v>7888.3</v>
      </c>
      <c r="D48" s="2">
        <v>9.8000000000000007</v>
      </c>
      <c r="E48" s="3">
        <f t="shared" si="2"/>
        <v>7.686048769330886E-2</v>
      </c>
      <c r="F48" s="4">
        <f t="shared" si="3"/>
        <v>738.3397697447175</v>
      </c>
    </row>
    <row r="49" spans="1:6">
      <c r="A49" s="7">
        <v>43646</v>
      </c>
      <c r="B49" s="1">
        <v>0.33333333333333331</v>
      </c>
      <c r="C49" s="2">
        <v>7871.4</v>
      </c>
      <c r="D49" s="2">
        <v>7.9</v>
      </c>
      <c r="E49" s="3">
        <f t="shared" si="2"/>
        <v>7.6193425111685822E-2</v>
      </c>
      <c r="F49" s="4">
        <f t="shared" si="3"/>
        <v>738.27172936139198</v>
      </c>
    </row>
    <row r="50" spans="1:6">
      <c r="A50" s="7">
        <v>43656</v>
      </c>
      <c r="B50" s="1">
        <v>0.33333333333333331</v>
      </c>
      <c r="C50" s="2">
        <v>7857.1</v>
      </c>
      <c r="D50" s="2">
        <v>8.1999999999999993</v>
      </c>
      <c r="E50" s="3">
        <f t="shared" si="2"/>
        <v>7.7421952165121266E-2</v>
      </c>
      <c r="F50" s="4">
        <f t="shared" si="3"/>
        <v>738.39703912084235</v>
      </c>
    </row>
    <row r="51" spans="1:6">
      <c r="A51" s="7">
        <v>43666</v>
      </c>
      <c r="B51" s="1">
        <v>0.33333333333333331</v>
      </c>
      <c r="C51" s="2">
        <v>7827.2</v>
      </c>
      <c r="D51" s="2">
        <v>8.3000000000000007</v>
      </c>
      <c r="E51" s="3">
        <f t="shared" si="2"/>
        <v>7.9495754746414862E-2</v>
      </c>
      <c r="F51" s="4">
        <f t="shared" si="3"/>
        <v>738.60856698413431</v>
      </c>
    </row>
    <row r="52" spans="1:6">
      <c r="A52" s="7">
        <v>43676</v>
      </c>
      <c r="B52" s="1">
        <v>0.33333333333333331</v>
      </c>
      <c r="C52" s="2">
        <v>7771.9</v>
      </c>
      <c r="D52" s="2">
        <v>8.6</v>
      </c>
      <c r="E52" s="3">
        <f t="shared" si="2"/>
        <v>8.3441413121778482E-2</v>
      </c>
      <c r="F52" s="4">
        <f t="shared" si="3"/>
        <v>739.01102413842136</v>
      </c>
    </row>
    <row r="53" spans="1:6">
      <c r="A53" s="7">
        <v>43687</v>
      </c>
      <c r="B53" s="1">
        <v>0.33333333333333331</v>
      </c>
      <c r="C53" s="2">
        <v>7765.2</v>
      </c>
      <c r="D53" s="2">
        <v>9.1999999999999993</v>
      </c>
      <c r="E53" s="3">
        <f t="shared" si="2"/>
        <v>8.4449336584214066E-2</v>
      </c>
      <c r="F53" s="4">
        <f t="shared" si="3"/>
        <v>739.11383233158983</v>
      </c>
    </row>
    <row r="54" spans="1:6">
      <c r="A54" s="7">
        <v>43697</v>
      </c>
      <c r="B54" s="1">
        <v>0.33333333333333331</v>
      </c>
      <c r="C54" s="2">
        <v>7741.3</v>
      </c>
      <c r="D54" s="2">
        <v>9.4</v>
      </c>
      <c r="E54" s="3">
        <f t="shared" si="2"/>
        <v>8.622166942802971E-2</v>
      </c>
      <c r="F54" s="4">
        <f t="shared" si="3"/>
        <v>739.29461028165906</v>
      </c>
    </row>
    <row r="55" spans="1:6">
      <c r="A55" s="7">
        <v>43707</v>
      </c>
      <c r="B55" s="1">
        <v>0.33333333333333331</v>
      </c>
      <c r="C55" s="2">
        <v>7704</v>
      </c>
      <c r="D55" s="2">
        <v>10.1</v>
      </c>
      <c r="E55" s="3">
        <f t="shared" si="2"/>
        <v>8.9353186413041422E-2</v>
      </c>
      <c r="F55" s="4">
        <f t="shared" si="3"/>
        <v>739.61402501413022</v>
      </c>
    </row>
  </sheetData>
  <phoneticPr fontId="5" type="noConversion"/>
  <pageMargins left="0.69930555555555596" right="0.69930555555555596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6"/>
  <sheetViews>
    <sheetView topLeftCell="A46" workbookViewId="0">
      <selection activeCell="A58" sqref="A58:B60"/>
    </sheetView>
  </sheetViews>
  <sheetFormatPr defaultColWidth="9" defaultRowHeight="13.5"/>
  <cols>
    <col min="1" max="1" width="11" customWidth="1"/>
    <col min="2" max="2" width="13.125" style="17" customWidth="1"/>
    <col min="5" max="5" width="10.875" customWidth="1"/>
    <col min="8" max="8" width="9.5" customWidth="1"/>
  </cols>
  <sheetData>
    <row r="1" spans="1:8">
      <c r="A1" t="s">
        <v>0</v>
      </c>
      <c r="B1" s="18">
        <v>50413</v>
      </c>
      <c r="C1" t="s">
        <v>1</v>
      </c>
      <c r="D1" s="11">
        <v>737.2</v>
      </c>
    </row>
    <row r="2" spans="1:8">
      <c r="A2" t="s">
        <v>2</v>
      </c>
      <c r="B2" s="24">
        <v>4.8847700000000003E-10</v>
      </c>
    </row>
    <row r="3" spans="1:8">
      <c r="A3" t="s">
        <v>3</v>
      </c>
      <c r="B3" s="18">
        <v>-7.1987E-5</v>
      </c>
    </row>
    <row r="4" spans="1:8">
      <c r="A4" t="s">
        <v>4</v>
      </c>
      <c r="B4" s="18">
        <v>0.61007049000000002</v>
      </c>
    </row>
    <row r="5" spans="1:8">
      <c r="A5" t="s">
        <v>5</v>
      </c>
      <c r="B5" s="18">
        <v>-8.5762800000000004E-4</v>
      </c>
    </row>
    <row r="6" spans="1:8">
      <c r="A6" t="s">
        <v>6</v>
      </c>
      <c r="B6" s="17" t="s">
        <v>7</v>
      </c>
      <c r="C6" t="s">
        <v>8</v>
      </c>
      <c r="D6" t="s">
        <v>9</v>
      </c>
      <c r="E6" t="s">
        <v>10</v>
      </c>
      <c r="F6" t="s">
        <v>11</v>
      </c>
      <c r="G6" t="s">
        <v>12</v>
      </c>
    </row>
    <row r="7" spans="1:8">
      <c r="A7" s="6">
        <v>42604</v>
      </c>
      <c r="B7" s="9">
        <v>0.60416666666666696</v>
      </c>
      <c r="C7" s="2">
        <v>8986.5</v>
      </c>
      <c r="D7" s="2">
        <v>17.7</v>
      </c>
      <c r="E7" s="3">
        <f>($B$2*C7^2+$B$3*C7+$B$4)-$B$5*D7</f>
        <v>1.7787356213933306E-2</v>
      </c>
      <c r="G7" t="s">
        <v>13</v>
      </c>
    </row>
    <row r="8" spans="1:8">
      <c r="A8" s="6">
        <v>42605</v>
      </c>
      <c r="B8" s="9">
        <v>0.33333333333333298</v>
      </c>
      <c r="C8" s="2">
        <v>9018.5</v>
      </c>
      <c r="D8" s="2">
        <v>20.7</v>
      </c>
      <c r="E8" s="3">
        <f t="shared" ref="E8:E33" si="0">($B$2*C8^2+$B$3*C8+$B$4)-$B$5*D8-$E$7</f>
        <v>5.5074090831997227E-4</v>
      </c>
      <c r="F8" s="4">
        <f>$D$1+102*E8</f>
        <v>737.25617557264866</v>
      </c>
      <c r="G8" s="5" t="s">
        <v>14</v>
      </c>
      <c r="H8" s="23"/>
    </row>
    <row r="9" spans="1:8">
      <c r="A9" s="6">
        <v>42606</v>
      </c>
      <c r="B9" s="9">
        <v>0.33333333333333298</v>
      </c>
      <c r="C9" s="2">
        <v>9028.2999999999993</v>
      </c>
      <c r="D9" s="2">
        <v>20.8</v>
      </c>
      <c r="E9" s="3">
        <f t="shared" si="0"/>
        <v>1.7422486211341598E-5</v>
      </c>
      <c r="F9" s="4">
        <f t="shared" ref="F9:F44" si="1">$D$1+102*E9</f>
        <v>737.20177709359359</v>
      </c>
      <c r="H9" s="23"/>
    </row>
    <row r="10" spans="1:8">
      <c r="A10" s="6">
        <v>42607</v>
      </c>
      <c r="B10" s="9">
        <v>0.33333333333333298</v>
      </c>
      <c r="C10" s="2">
        <v>9025.6</v>
      </c>
      <c r="D10" s="2">
        <v>20.9</v>
      </c>
      <c r="E10" s="3">
        <f t="shared" si="0"/>
        <v>2.7373911595341208E-4</v>
      </c>
      <c r="F10" s="4">
        <f t="shared" si="1"/>
        <v>737.22792138982732</v>
      </c>
      <c r="H10" s="23"/>
    </row>
    <row r="11" spans="1:8">
      <c r="A11" s="6">
        <v>42608</v>
      </c>
      <c r="B11" s="9">
        <v>0.33333333333333298</v>
      </c>
      <c r="C11" s="2">
        <v>9021.2999999999993</v>
      </c>
      <c r="D11" s="2">
        <v>20.9</v>
      </c>
      <c r="E11" s="3">
        <f t="shared" si="0"/>
        <v>5.4537658499687405E-4</v>
      </c>
      <c r="F11" s="4">
        <f t="shared" si="1"/>
        <v>737.2556284116697</v>
      </c>
      <c r="H11" s="23"/>
    </row>
    <row r="12" spans="1:8">
      <c r="A12" s="6">
        <v>42609</v>
      </c>
      <c r="B12" s="9">
        <v>0.33333333333333298</v>
      </c>
      <c r="C12" s="2">
        <v>9019.1</v>
      </c>
      <c r="D12" s="2">
        <v>20.8</v>
      </c>
      <c r="E12" s="3">
        <f t="shared" si="0"/>
        <v>5.98598079961047E-4</v>
      </c>
      <c r="F12" s="4">
        <f t="shared" si="1"/>
        <v>737.2610570041561</v>
      </c>
      <c r="H12" s="23"/>
    </row>
    <row r="13" spans="1:8">
      <c r="A13" s="6">
        <v>42610</v>
      </c>
      <c r="B13" s="9">
        <v>0.33333333333333298</v>
      </c>
      <c r="C13" s="2">
        <v>9018.4</v>
      </c>
      <c r="D13" s="2">
        <v>20.8</v>
      </c>
      <c r="E13" s="3">
        <f t="shared" si="0"/>
        <v>6.4282134723986709E-4</v>
      </c>
      <c r="F13" s="4">
        <f t="shared" si="1"/>
        <v>737.26556777741848</v>
      </c>
      <c r="H13" s="23"/>
    </row>
    <row r="14" spans="1:8">
      <c r="A14" s="6">
        <v>42611</v>
      </c>
      <c r="B14" s="9">
        <v>0.33333333333333298</v>
      </c>
      <c r="C14" s="2">
        <v>9016.9</v>
      </c>
      <c r="D14" s="2">
        <v>20.7</v>
      </c>
      <c r="E14" s="3">
        <f t="shared" si="0"/>
        <v>6.5182430338273437E-4</v>
      </c>
      <c r="F14" s="4">
        <f t="shared" si="1"/>
        <v>737.26648607894504</v>
      </c>
      <c r="H14" s="23"/>
    </row>
    <row r="15" spans="1:8">
      <c r="A15" s="6">
        <v>42623</v>
      </c>
      <c r="B15" s="9">
        <v>0.33333333333333298</v>
      </c>
      <c r="C15" s="2">
        <v>9010.9</v>
      </c>
      <c r="D15" s="2">
        <v>20.100000000000001</v>
      </c>
      <c r="E15" s="3">
        <f t="shared" si="0"/>
        <v>5.1633250941907419E-4</v>
      </c>
      <c r="F15" s="4">
        <f t="shared" si="1"/>
        <v>737.25266591596085</v>
      </c>
      <c r="H15" s="23"/>
    </row>
    <row r="16" spans="1:8">
      <c r="A16" s="6">
        <v>42633</v>
      </c>
      <c r="B16" s="9">
        <v>0.33333333333333331</v>
      </c>
      <c r="C16" s="2">
        <v>8974</v>
      </c>
      <c r="D16" s="2">
        <v>19.600000000000001</v>
      </c>
      <c r="E16" s="3">
        <f t="shared" si="0"/>
        <v>2.419664560518734E-3</v>
      </c>
      <c r="F16" s="4">
        <f t="shared" si="1"/>
        <v>737.44680578517296</v>
      </c>
      <c r="H16" s="23"/>
    </row>
    <row r="17" spans="1:8">
      <c r="A17" s="6">
        <v>42643</v>
      </c>
      <c r="B17" s="9">
        <v>0.33333333333333331</v>
      </c>
      <c r="C17" s="2">
        <v>9010.2999999999993</v>
      </c>
      <c r="D17" s="2">
        <v>19.3</v>
      </c>
      <c r="E17" s="3">
        <f t="shared" si="0"/>
        <v>-1.3185945560822629E-4</v>
      </c>
      <c r="F17" s="4">
        <f t="shared" si="1"/>
        <v>737.18655033552795</v>
      </c>
      <c r="H17" s="23"/>
    </row>
    <row r="18" spans="1:8">
      <c r="A18" s="6">
        <v>42884</v>
      </c>
      <c r="B18" s="9">
        <v>0.33333333333333331</v>
      </c>
      <c r="C18" s="2">
        <v>8965.2000000000007</v>
      </c>
      <c r="D18" s="2">
        <v>14.9</v>
      </c>
      <c r="E18" s="3">
        <f t="shared" si="0"/>
        <v>-1.0548148415472358E-3</v>
      </c>
      <c r="F18" s="4">
        <f t="shared" si="1"/>
        <v>737.09240888616227</v>
      </c>
      <c r="H18" s="23"/>
    </row>
    <row r="19" spans="1:8">
      <c r="A19" s="6">
        <v>42885</v>
      </c>
      <c r="B19" s="9">
        <v>0.33333333333333331</v>
      </c>
      <c r="C19" s="2">
        <v>8963.2999999999993</v>
      </c>
      <c r="D19" s="2">
        <v>14.9</v>
      </c>
      <c r="E19" s="3">
        <f t="shared" si="0"/>
        <v>-9.3467909534672433E-4</v>
      </c>
      <c r="F19" s="4">
        <f t="shared" si="1"/>
        <v>737.10466273227473</v>
      </c>
      <c r="H19" s="23"/>
    </row>
    <row r="20" spans="1:8">
      <c r="A20" s="7">
        <v>42896</v>
      </c>
      <c r="B20" s="9">
        <v>0.33333333333333331</v>
      </c>
      <c r="C20" s="2">
        <v>8947.5</v>
      </c>
      <c r="D20" s="2">
        <v>14.7</v>
      </c>
      <c r="E20" s="3">
        <f t="shared" si="0"/>
        <v>-1.070445142020704E-4</v>
      </c>
      <c r="F20" s="4">
        <f t="shared" si="1"/>
        <v>737.1890814595514</v>
      </c>
      <c r="H20" s="23"/>
    </row>
    <row r="21" spans="1:8">
      <c r="A21" s="7">
        <v>42906</v>
      </c>
      <c r="B21" s="9">
        <v>0.33333333333333331</v>
      </c>
      <c r="C21" s="2">
        <v>8944.7000000000007</v>
      </c>
      <c r="D21" s="2">
        <v>14.6</v>
      </c>
      <c r="E21" s="3">
        <f t="shared" si="0"/>
        <v>-1.5715513104364032E-5</v>
      </c>
      <c r="F21" s="4">
        <f t="shared" si="1"/>
        <v>737.19839701766341</v>
      </c>
      <c r="H21" s="23"/>
    </row>
    <row r="22" spans="1:8">
      <c r="A22" s="7">
        <v>42916</v>
      </c>
      <c r="B22" s="9">
        <v>0.33333333333333331</v>
      </c>
      <c r="C22" s="2">
        <v>8943.7000000000007</v>
      </c>
      <c r="D22" s="2">
        <v>14.4</v>
      </c>
      <c r="E22" s="3">
        <f t="shared" si="0"/>
        <v>-1.2399218507114229E-4</v>
      </c>
      <c r="F22" s="4">
        <f t="shared" si="1"/>
        <v>737.1873527971228</v>
      </c>
      <c r="H22" s="23"/>
    </row>
    <row r="23" spans="1:8">
      <c r="A23" s="7">
        <v>42926</v>
      </c>
      <c r="B23" s="9">
        <v>0.33333333333333331</v>
      </c>
      <c r="C23" s="2">
        <v>8967.4</v>
      </c>
      <c r="D23" s="2">
        <v>14.2</v>
      </c>
      <c r="E23" s="3">
        <f t="shared" si="0"/>
        <v>-1.7942545837167923E-3</v>
      </c>
      <c r="F23" s="4">
        <f t="shared" si="1"/>
        <v>737.01698603246098</v>
      </c>
    </row>
    <row r="24" spans="1:8">
      <c r="A24" s="7">
        <v>42936</v>
      </c>
      <c r="B24" s="9">
        <v>0.33333333333333331</v>
      </c>
      <c r="C24" s="2">
        <v>8944.1</v>
      </c>
      <c r="D24" s="2">
        <v>14</v>
      </c>
      <c r="E24" s="3">
        <f t="shared" si="0"/>
        <v>-4.9234307351891937E-4</v>
      </c>
      <c r="F24" s="4">
        <f t="shared" si="1"/>
        <v>737.14978100650114</v>
      </c>
    </row>
    <row r="25" spans="1:8">
      <c r="A25" s="7">
        <v>42946</v>
      </c>
      <c r="B25" s="9">
        <v>0.33333333333333331</v>
      </c>
      <c r="C25" s="2">
        <v>8945.1</v>
      </c>
      <c r="D25" s="2">
        <v>13.9</v>
      </c>
      <c r="E25" s="3">
        <f t="shared" si="0"/>
        <v>-6.4135441077051158E-4</v>
      </c>
      <c r="F25" s="4">
        <f t="shared" si="1"/>
        <v>737.13458185010143</v>
      </c>
    </row>
    <row r="26" spans="1:8">
      <c r="A26" s="7">
        <v>42957</v>
      </c>
      <c r="B26" s="9">
        <v>0.33333333333333331</v>
      </c>
      <c r="C26" s="2">
        <v>8933.6</v>
      </c>
      <c r="D26" s="2">
        <v>13.7</v>
      </c>
      <c r="E26" s="3">
        <f t="shared" si="0"/>
        <v>-8.5462848779308681E-5</v>
      </c>
      <c r="F26" s="4">
        <f t="shared" si="1"/>
        <v>737.19128278942458</v>
      </c>
    </row>
    <row r="27" spans="1:8">
      <c r="A27" s="7">
        <v>42967</v>
      </c>
      <c r="B27" s="9">
        <v>0.33333333333333331</v>
      </c>
      <c r="C27" s="2">
        <v>8926.5</v>
      </c>
      <c r="D27" s="2">
        <v>13.6</v>
      </c>
      <c r="E27" s="3">
        <f t="shared" si="0"/>
        <v>2.7793988993990437E-4</v>
      </c>
      <c r="F27" s="4">
        <f t="shared" si="1"/>
        <v>737.22834986877388</v>
      </c>
    </row>
    <row r="28" spans="1:8">
      <c r="A28" s="6">
        <v>42977</v>
      </c>
      <c r="B28" s="9">
        <v>0.33333333333333331</v>
      </c>
      <c r="C28" s="2">
        <v>8926</v>
      </c>
      <c r="D28" s="2">
        <v>14.1</v>
      </c>
      <c r="E28" s="3">
        <f t="shared" si="0"/>
        <v>7.3838712211871105E-4</v>
      </c>
      <c r="F28" s="4">
        <f t="shared" si="1"/>
        <v>737.27531548645618</v>
      </c>
    </row>
    <row r="29" spans="1:8">
      <c r="A29" s="7">
        <v>42988</v>
      </c>
      <c r="B29" s="9">
        <v>0.33333333333333331</v>
      </c>
      <c r="C29" s="2">
        <v>8918.2999999999993</v>
      </c>
      <c r="D29" s="2">
        <v>14.2</v>
      </c>
      <c r="E29" s="3">
        <f t="shared" si="0"/>
        <v>1.3113325401092335E-3</v>
      </c>
      <c r="F29" s="4">
        <f t="shared" si="1"/>
        <v>737.33375591909123</v>
      </c>
    </row>
    <row r="30" spans="1:8">
      <c r="A30" s="7">
        <v>42998</v>
      </c>
      <c r="B30" s="9">
        <v>0.33333333333333331</v>
      </c>
      <c r="C30" s="2">
        <v>8933.2999999999993</v>
      </c>
      <c r="D30" s="2">
        <v>14.2</v>
      </c>
      <c r="E30" s="3">
        <f t="shared" si="0"/>
        <v>3.6232898030735816E-4</v>
      </c>
      <c r="F30" s="4">
        <f t="shared" si="1"/>
        <v>737.23695755599135</v>
      </c>
    </row>
    <row r="31" spans="1:8">
      <c r="A31" s="7">
        <v>43008</v>
      </c>
      <c r="B31" s="9">
        <v>0.33333333333333331</v>
      </c>
      <c r="C31" s="2">
        <v>8929.4</v>
      </c>
      <c r="D31" s="2">
        <v>14.3</v>
      </c>
      <c r="E31" s="3">
        <f t="shared" si="0"/>
        <v>6.9481155968642572E-4</v>
      </c>
      <c r="F31" s="4">
        <f t="shared" si="1"/>
        <v>737.27087077908811</v>
      </c>
    </row>
    <row r="32" spans="1:8">
      <c r="A32" s="7">
        <v>43018</v>
      </c>
      <c r="B32" s="9">
        <v>0.33333333333333331</v>
      </c>
      <c r="C32" s="2">
        <v>8928.4</v>
      </c>
      <c r="D32" s="2">
        <v>12.8</v>
      </c>
      <c r="E32" s="3">
        <f t="shared" si="0"/>
        <v>-5.283665648841418E-4</v>
      </c>
      <c r="F32" s="4">
        <f t="shared" si="1"/>
        <v>737.14610661038182</v>
      </c>
    </row>
    <row r="33" spans="1:6">
      <c r="A33" s="7">
        <v>43230</v>
      </c>
      <c r="B33" s="9">
        <v>0.33333333333333331</v>
      </c>
      <c r="C33" s="2">
        <v>8933.1</v>
      </c>
      <c r="D33" s="2">
        <v>12.1</v>
      </c>
      <c r="E33" s="3">
        <f t="shared" si="0"/>
        <v>-1.4260378847873491E-3</v>
      </c>
      <c r="F33" s="4">
        <f t="shared" si="1"/>
        <v>737.05454413575171</v>
      </c>
    </row>
    <row r="34" spans="1:6">
      <c r="A34" s="7">
        <v>43240</v>
      </c>
      <c r="B34" s="9">
        <v>0.33333333333333331</v>
      </c>
      <c r="C34" s="2">
        <v>8933.1</v>
      </c>
      <c r="D34" s="2">
        <v>12.1</v>
      </c>
      <c r="E34" s="3">
        <f t="shared" ref="E34:E44" si="2">($B$2*C34^2+$B$3*C34+$B$4)-$B$5*D34-$E$7</f>
        <v>-1.4260378847873491E-3</v>
      </c>
      <c r="F34" s="4">
        <f t="shared" si="1"/>
        <v>737.05454413575171</v>
      </c>
    </row>
    <row r="35" spans="1:6">
      <c r="A35" s="7">
        <v>43250</v>
      </c>
      <c r="B35" s="9">
        <v>0.33333333333333331</v>
      </c>
      <c r="C35" s="2">
        <v>8927</v>
      </c>
      <c r="D35" s="2">
        <v>12.1</v>
      </c>
      <c r="E35" s="3">
        <f t="shared" si="2"/>
        <v>-1.0401350980002756E-3</v>
      </c>
      <c r="F35" s="4">
        <f t="shared" si="1"/>
        <v>737.09390622000399</v>
      </c>
    </row>
    <row r="36" spans="1:6">
      <c r="A36" s="7">
        <v>43261</v>
      </c>
      <c r="B36" s="9">
        <v>0.33333333333333331</v>
      </c>
      <c r="C36" s="2">
        <v>8934.7000000000007</v>
      </c>
      <c r="D36" s="2">
        <v>11.9</v>
      </c>
      <c r="E36" s="3">
        <f t="shared" si="2"/>
        <v>-1.6987778698424084E-3</v>
      </c>
      <c r="F36" s="4">
        <f t="shared" si="1"/>
        <v>737.02672465727608</v>
      </c>
    </row>
    <row r="37" spans="1:6">
      <c r="A37" s="7">
        <v>43271</v>
      </c>
      <c r="B37" s="9">
        <v>0.33333333333333331</v>
      </c>
      <c r="C37" s="2">
        <v>8838.4</v>
      </c>
      <c r="D37" s="2">
        <v>12</v>
      </c>
      <c r="E37" s="3">
        <f t="shared" si="2"/>
        <v>4.4832804503918654E-3</v>
      </c>
      <c r="F37" s="4">
        <f t="shared" si="1"/>
        <v>737.65729460594002</v>
      </c>
    </row>
    <row r="38" spans="1:6">
      <c r="A38" s="7">
        <v>43281</v>
      </c>
      <c r="B38" s="9">
        <v>0.33333333333333331</v>
      </c>
      <c r="C38" s="2">
        <v>8876.5</v>
      </c>
      <c r="D38" s="2">
        <v>12.1</v>
      </c>
      <c r="E38" s="3">
        <f t="shared" si="2"/>
        <v>2.156030088389934E-3</v>
      </c>
      <c r="F38" s="4">
        <f t="shared" si="1"/>
        <v>737.41991506901581</v>
      </c>
    </row>
    <row r="39" spans="1:6">
      <c r="A39" s="7">
        <v>43291</v>
      </c>
      <c r="B39" s="9">
        <v>0.33333333333333331</v>
      </c>
      <c r="C39" s="2">
        <v>8931.1</v>
      </c>
      <c r="D39" s="2">
        <v>12.5</v>
      </c>
      <c r="E39" s="3">
        <f t="shared" si="2"/>
        <v>-9.5646518643422232E-4</v>
      </c>
      <c r="F39" s="4">
        <f t="shared" si="1"/>
        <v>737.10244055098372</v>
      </c>
    </row>
    <row r="40" spans="1:6">
      <c r="A40" s="7">
        <v>43301</v>
      </c>
      <c r="B40" s="9">
        <v>0.33333333333333331</v>
      </c>
      <c r="C40" s="2">
        <v>8927.2000000000007</v>
      </c>
      <c r="D40" s="2">
        <v>12</v>
      </c>
      <c r="E40" s="3">
        <f t="shared" si="2"/>
        <v>-1.1385510247896059E-3</v>
      </c>
      <c r="F40" s="4">
        <f t="shared" si="1"/>
        <v>737.08386779547152</v>
      </c>
    </row>
    <row r="41" spans="1:6">
      <c r="A41" s="7">
        <v>43311</v>
      </c>
      <c r="B41" s="9">
        <v>0.33333333333333331</v>
      </c>
      <c r="C41" s="2">
        <v>8921.7999999999993</v>
      </c>
      <c r="D41" s="2">
        <v>12</v>
      </c>
      <c r="E41" s="3">
        <f t="shared" si="2"/>
        <v>-7.9690288504369669E-4</v>
      </c>
      <c r="F41" s="4">
        <f t="shared" si="1"/>
        <v>737.11871590572559</v>
      </c>
    </row>
    <row r="42" spans="1:6">
      <c r="A42" s="7">
        <v>43322</v>
      </c>
      <c r="B42" s="9">
        <v>0.33333333333333331</v>
      </c>
      <c r="C42" s="2">
        <v>8877</v>
      </c>
      <c r="D42" s="2">
        <v>11.9</v>
      </c>
      <c r="E42" s="3">
        <f t="shared" si="2"/>
        <v>1.9528470765997029E-3</v>
      </c>
      <c r="F42" s="4">
        <f t="shared" si="1"/>
        <v>737.39919040181326</v>
      </c>
    </row>
    <row r="43" spans="1:6">
      <c r="A43" s="7">
        <v>43332</v>
      </c>
      <c r="B43" s="9">
        <v>0.33333333333333331</v>
      </c>
      <c r="C43" s="2">
        <v>8905</v>
      </c>
      <c r="D43" s="2">
        <v>12</v>
      </c>
      <c r="E43" s="3">
        <f t="shared" si="2"/>
        <v>2.6618462099175719E-4</v>
      </c>
      <c r="F43" s="4">
        <f t="shared" si="1"/>
        <v>737.22715083134119</v>
      </c>
    </row>
    <row r="44" spans="1:6">
      <c r="A44" s="7">
        <v>43342</v>
      </c>
      <c r="B44" s="9">
        <v>0.33333333333333331</v>
      </c>
      <c r="C44" s="2">
        <v>8890.2999999999993</v>
      </c>
      <c r="D44" s="2">
        <v>11.9</v>
      </c>
      <c r="E44" s="3">
        <f t="shared" si="2"/>
        <v>1.1108495780476312E-3</v>
      </c>
      <c r="F44" s="4">
        <f t="shared" si="1"/>
        <v>737.31330665696089</v>
      </c>
    </row>
    <row r="45" spans="1:6">
      <c r="A45" s="7">
        <v>43353</v>
      </c>
      <c r="B45" s="9">
        <v>0.33333333333333331</v>
      </c>
      <c r="C45" s="2">
        <v>8877.2999999999993</v>
      </c>
      <c r="D45" s="2">
        <v>11.7</v>
      </c>
      <c r="E45" s="3">
        <f t="shared" ref="E45:E60" si="3">($B$2*C45^2+$B$3*C45+$B$4)-$B$5*D45-$E$7</f>
        <v>1.7623271467600496E-3</v>
      </c>
      <c r="F45" s="4">
        <f t="shared" ref="F45:F60" si="4">$D$1+102*E45</f>
        <v>737.37975736896954</v>
      </c>
    </row>
    <row r="46" spans="1:6">
      <c r="A46" s="7">
        <v>43363</v>
      </c>
      <c r="B46" s="9">
        <v>0.33333333333333331</v>
      </c>
      <c r="C46" s="2">
        <v>8843.9</v>
      </c>
      <c r="D46" s="2">
        <v>11.7</v>
      </c>
      <c r="E46" s="3">
        <f t="shared" si="3"/>
        <v>3.8775692331058861E-3</v>
      </c>
      <c r="F46" s="4">
        <f t="shared" si="4"/>
        <v>737.59551206177684</v>
      </c>
    </row>
    <row r="47" spans="1:6">
      <c r="A47" s="7">
        <v>43373</v>
      </c>
      <c r="B47" s="9">
        <v>0.33333333333333331</v>
      </c>
      <c r="C47" s="2">
        <v>8890.2999999999993</v>
      </c>
      <c r="D47" s="2">
        <v>11.4</v>
      </c>
      <c r="E47" s="3">
        <f t="shared" si="3"/>
        <v>6.8203557804763157E-4</v>
      </c>
      <c r="F47" s="4">
        <f t="shared" si="4"/>
        <v>737.26956762896089</v>
      </c>
    </row>
    <row r="48" spans="1:6">
      <c r="A48" s="7">
        <v>43383</v>
      </c>
      <c r="B48" s="9">
        <v>0.33333333333333331</v>
      </c>
      <c r="C48" s="2">
        <v>8891.7000000000007</v>
      </c>
      <c r="D48" s="2">
        <v>11</v>
      </c>
      <c r="E48" s="3">
        <f t="shared" si="3"/>
        <v>2.5036311526721242E-4</v>
      </c>
      <c r="F48" s="4">
        <f t="shared" si="4"/>
        <v>737.22553703775725</v>
      </c>
    </row>
    <row r="49" spans="1:6">
      <c r="A49" s="7">
        <v>43393</v>
      </c>
      <c r="B49" s="9">
        <v>0.33333333333333331</v>
      </c>
      <c r="C49" s="2">
        <v>8892.2999999999993</v>
      </c>
      <c r="D49" s="2">
        <v>10.7</v>
      </c>
      <c r="E49" s="3">
        <f t="shared" si="3"/>
        <v>-4.4905239751986958E-5</v>
      </c>
      <c r="F49" s="4">
        <f t="shared" si="4"/>
        <v>737.19541966554539</v>
      </c>
    </row>
    <row r="50" spans="1:6">
      <c r="A50" s="7">
        <v>43605</v>
      </c>
      <c r="B50" s="1">
        <v>0.33333333333333331</v>
      </c>
      <c r="C50" s="2">
        <v>8935.2000000000007</v>
      </c>
      <c r="D50" s="2">
        <v>10.5</v>
      </c>
      <c r="E50" s="3">
        <f t="shared" si="3"/>
        <v>-2.9310860522712198E-3</v>
      </c>
      <c r="F50" s="4">
        <f t="shared" si="4"/>
        <v>736.9010292226684</v>
      </c>
    </row>
    <row r="51" spans="1:6">
      <c r="A51" s="7">
        <v>43615</v>
      </c>
      <c r="B51" s="1">
        <v>0.33333333333333331</v>
      </c>
      <c r="C51" s="2">
        <v>8939.2999999999993</v>
      </c>
      <c r="D51" s="2">
        <v>10.5</v>
      </c>
      <c r="E51" s="3">
        <f t="shared" si="3"/>
        <v>-3.1904344955116012E-3</v>
      </c>
      <c r="F51" s="4">
        <f t="shared" si="4"/>
        <v>736.87457568145783</v>
      </c>
    </row>
    <row r="52" spans="1:6">
      <c r="A52" s="7">
        <v>43626</v>
      </c>
      <c r="B52" s="1">
        <v>0.33333333333333331</v>
      </c>
      <c r="C52" s="2">
        <v>8932.5</v>
      </c>
      <c r="D52" s="2">
        <v>10.199999999999999</v>
      </c>
      <c r="E52" s="3">
        <f t="shared" si="3"/>
        <v>-3.0175750456020219E-3</v>
      </c>
      <c r="F52" s="4">
        <f t="shared" si="4"/>
        <v>736.89220734534865</v>
      </c>
    </row>
    <row r="53" spans="1:6">
      <c r="A53" s="7">
        <v>43636</v>
      </c>
      <c r="B53" s="1">
        <v>0.33333333333333331</v>
      </c>
      <c r="C53" s="2">
        <v>8936.2000000000007</v>
      </c>
      <c r="D53" s="2">
        <v>9.8000000000000007</v>
      </c>
      <c r="E53" s="3">
        <f t="shared" si="3"/>
        <v>-3.5946828844133968E-3</v>
      </c>
      <c r="F53" s="4">
        <f t="shared" si="4"/>
        <v>736.8333423457899</v>
      </c>
    </row>
    <row r="54" spans="1:6">
      <c r="A54" s="7">
        <v>43646</v>
      </c>
      <c r="B54" s="1">
        <v>0.33333333333333331</v>
      </c>
      <c r="C54" s="2">
        <v>8940.7000000000007</v>
      </c>
      <c r="D54" s="2">
        <v>9.6999999999999993</v>
      </c>
      <c r="E54" s="3">
        <f t="shared" si="3"/>
        <v>-3.9650911392475965E-3</v>
      </c>
      <c r="F54" s="4">
        <f t="shared" si="4"/>
        <v>736.79556070379681</v>
      </c>
    </row>
    <row r="55" spans="1:6">
      <c r="A55" s="7">
        <v>43656</v>
      </c>
      <c r="B55" s="1">
        <v>0.33333333333333331</v>
      </c>
      <c r="C55" s="2">
        <v>8927.2999999999993</v>
      </c>
      <c r="D55" s="2">
        <v>9.9</v>
      </c>
      <c r="E55" s="3">
        <f t="shared" si="3"/>
        <v>-2.9458963735299378E-3</v>
      </c>
      <c r="F55" s="4">
        <f t="shared" si="4"/>
        <v>736.89951856990001</v>
      </c>
    </row>
    <row r="56" spans="1:6">
      <c r="A56" s="7">
        <v>43666</v>
      </c>
      <c r="B56" s="1">
        <v>0.33333333333333331</v>
      </c>
      <c r="C56" s="2">
        <v>8907.2000000000007</v>
      </c>
      <c r="D56" s="2">
        <v>10.1</v>
      </c>
      <c r="E56" s="3">
        <f t="shared" si="3"/>
        <v>-1.502538108965619E-3</v>
      </c>
      <c r="F56" s="4">
        <f t="shared" si="4"/>
        <v>737.04674111288557</v>
      </c>
    </row>
    <row r="57" spans="1:6">
      <c r="A57" s="7">
        <v>43676</v>
      </c>
      <c r="B57" s="1">
        <v>0.33333333333333331</v>
      </c>
      <c r="C57" s="2">
        <v>8899.7999999999993</v>
      </c>
      <c r="D57" s="2">
        <v>10.199999999999999</v>
      </c>
      <c r="E57" s="3">
        <f t="shared" si="3"/>
        <v>-9.484390025141301E-4</v>
      </c>
      <c r="F57" s="4">
        <f t="shared" si="4"/>
        <v>737.10325922174366</v>
      </c>
    </row>
    <row r="58" spans="1:6">
      <c r="A58" s="7">
        <v>43687</v>
      </c>
      <c r="B58" s="9">
        <v>0.33333333333333331</v>
      </c>
      <c r="C58" s="2">
        <v>8836.4</v>
      </c>
      <c r="D58" s="2">
        <v>10.199999999999999</v>
      </c>
      <c r="E58" s="3">
        <f t="shared" si="3"/>
        <v>3.0662565838326869E-3</v>
      </c>
      <c r="F58" s="4">
        <f t="shared" si="4"/>
        <v>737.51275817155101</v>
      </c>
    </row>
    <row r="59" spans="1:6">
      <c r="A59" s="7">
        <v>43697</v>
      </c>
      <c r="B59" s="1">
        <v>0.33333333333333331</v>
      </c>
      <c r="C59" s="2">
        <v>8795.2999999999993</v>
      </c>
      <c r="D59" s="2">
        <v>10</v>
      </c>
      <c r="E59" s="3">
        <f t="shared" si="3"/>
        <v>5.4994155390836671E-3</v>
      </c>
      <c r="F59" s="4">
        <f t="shared" si="4"/>
        <v>737.76094038498661</v>
      </c>
    </row>
    <row r="60" spans="1:6">
      <c r="A60" s="7">
        <v>43707</v>
      </c>
      <c r="B60" s="9">
        <v>0.33333333333333331</v>
      </c>
      <c r="C60" s="2">
        <v>8751.5</v>
      </c>
      <c r="D60" s="2">
        <v>10.1</v>
      </c>
      <c r="E60" s="3">
        <f t="shared" si="3"/>
        <v>8.3627900188899471E-3</v>
      </c>
      <c r="F60" s="4">
        <f t="shared" si="4"/>
        <v>738.05300458192687</v>
      </c>
    </row>
    <row r="61" spans="1:6">
      <c r="B61" s="9"/>
    </row>
    <row r="62" spans="1:6">
      <c r="B62" s="9"/>
    </row>
    <row r="63" spans="1:6">
      <c r="B63" s="9"/>
    </row>
    <row r="64" spans="1:6">
      <c r="B64" s="9"/>
    </row>
    <row r="65" spans="2:2">
      <c r="B65" s="9"/>
    </row>
    <row r="66" spans="2:2">
      <c r="B66" s="9"/>
    </row>
    <row r="67" spans="2:2">
      <c r="B67" s="9"/>
    </row>
    <row r="68" spans="2:2">
      <c r="B68" s="9"/>
    </row>
    <row r="69" spans="2:2">
      <c r="B69" s="9"/>
    </row>
    <row r="70" spans="2:2">
      <c r="B70" s="9"/>
    </row>
    <row r="71" spans="2:2">
      <c r="B71" s="9"/>
    </row>
    <row r="72" spans="2:2">
      <c r="B72" s="9"/>
    </row>
    <row r="73" spans="2:2">
      <c r="B73" s="9"/>
    </row>
    <row r="74" spans="2:2">
      <c r="B74" s="9"/>
    </row>
    <row r="75" spans="2:2">
      <c r="B75" s="9"/>
    </row>
    <row r="76" spans="2:2">
      <c r="B76" s="9"/>
    </row>
    <row r="77" spans="2:2">
      <c r="B77" s="9"/>
    </row>
    <row r="78" spans="2:2">
      <c r="B78" s="9"/>
    </row>
    <row r="79" spans="2:2">
      <c r="B79" s="9"/>
    </row>
    <row r="80" spans="2:2">
      <c r="B80" s="9"/>
    </row>
    <row r="81" spans="2:2">
      <c r="B81" s="9"/>
    </row>
    <row r="82" spans="2:2">
      <c r="B82" s="9"/>
    </row>
    <row r="83" spans="2:2">
      <c r="B83" s="9"/>
    </row>
    <row r="84" spans="2:2">
      <c r="B84" s="9"/>
    </row>
    <row r="85" spans="2:2">
      <c r="B85" s="9"/>
    </row>
    <row r="86" spans="2:2">
      <c r="B86" s="9"/>
    </row>
    <row r="87" spans="2:2">
      <c r="B87" s="9"/>
    </row>
    <row r="88" spans="2:2">
      <c r="B88" s="9"/>
    </row>
    <row r="89" spans="2:2">
      <c r="B89" s="9"/>
    </row>
    <row r="90" spans="2:2">
      <c r="B90" s="9"/>
    </row>
    <row r="91" spans="2:2">
      <c r="B91" s="9"/>
    </row>
    <row r="92" spans="2:2">
      <c r="B92" s="9"/>
    </row>
    <row r="93" spans="2:2">
      <c r="B93" s="9"/>
    </row>
    <row r="94" spans="2:2">
      <c r="B94" s="9"/>
    </row>
    <row r="95" spans="2:2">
      <c r="B95" s="9"/>
    </row>
    <row r="96" spans="2:2">
      <c r="B96" s="9"/>
    </row>
    <row r="97" spans="2:2">
      <c r="B97" s="9"/>
    </row>
    <row r="98" spans="2:2">
      <c r="B98" s="9"/>
    </row>
    <row r="99" spans="2:2">
      <c r="B99" s="9"/>
    </row>
    <row r="100" spans="2:2">
      <c r="B100" s="9"/>
    </row>
    <row r="101" spans="2:2">
      <c r="B101" s="9"/>
    </row>
    <row r="102" spans="2:2">
      <c r="B102" s="9"/>
    </row>
    <row r="103" spans="2:2">
      <c r="B103" s="9"/>
    </row>
    <row r="104" spans="2:2">
      <c r="B104" s="9"/>
    </row>
    <row r="105" spans="2:2">
      <c r="B105" s="9"/>
    </row>
    <row r="106" spans="2:2">
      <c r="B106" s="9"/>
    </row>
    <row r="107" spans="2:2">
      <c r="B107" s="9"/>
    </row>
    <row r="108" spans="2:2">
      <c r="B108" s="9"/>
    </row>
    <row r="109" spans="2:2">
      <c r="B109" s="9"/>
    </row>
    <row r="110" spans="2:2">
      <c r="B110" s="9"/>
    </row>
    <row r="111" spans="2:2">
      <c r="B111" s="9"/>
    </row>
    <row r="112" spans="2:2">
      <c r="B112" s="9"/>
    </row>
    <row r="113" spans="2:2">
      <c r="B113" s="9"/>
    </row>
    <row r="114" spans="2:2">
      <c r="B114" s="9"/>
    </row>
    <row r="115" spans="2:2">
      <c r="B115" s="9"/>
    </row>
    <row r="116" spans="2:2">
      <c r="B116" s="9"/>
    </row>
    <row r="117" spans="2:2">
      <c r="B117" s="9"/>
    </row>
    <row r="118" spans="2:2">
      <c r="B118" s="9"/>
    </row>
    <row r="119" spans="2:2">
      <c r="B119" s="9"/>
    </row>
    <row r="120" spans="2:2">
      <c r="B120" s="9"/>
    </row>
    <row r="121" spans="2:2">
      <c r="B121" s="9"/>
    </row>
    <row r="122" spans="2:2">
      <c r="B122" s="9"/>
    </row>
    <row r="123" spans="2:2">
      <c r="B123" s="9"/>
    </row>
    <row r="124" spans="2:2">
      <c r="B124" s="9"/>
    </row>
    <row r="125" spans="2:2">
      <c r="B125" s="9"/>
    </row>
    <row r="126" spans="2:2">
      <c r="B126" s="9"/>
    </row>
    <row r="127" spans="2:2">
      <c r="B127" s="9"/>
    </row>
    <row r="128" spans="2:2">
      <c r="B128" s="9"/>
    </row>
    <row r="129" spans="2:2">
      <c r="B129" s="9"/>
    </row>
    <row r="130" spans="2:2">
      <c r="B130" s="9"/>
    </row>
    <row r="131" spans="2:2">
      <c r="B131" s="9"/>
    </row>
    <row r="132" spans="2:2">
      <c r="B132" s="9"/>
    </row>
    <row r="133" spans="2:2">
      <c r="B133" s="9"/>
    </row>
    <row r="134" spans="2:2">
      <c r="B134" s="9"/>
    </row>
    <row r="135" spans="2:2">
      <c r="B135" s="9"/>
    </row>
    <row r="136" spans="2:2">
      <c r="B136" s="9"/>
    </row>
    <row r="137" spans="2:2">
      <c r="B137" s="9"/>
    </row>
    <row r="138" spans="2:2">
      <c r="B138" s="9"/>
    </row>
    <row r="139" spans="2:2">
      <c r="B139" s="9"/>
    </row>
    <row r="140" spans="2:2">
      <c r="B140" s="9"/>
    </row>
    <row r="141" spans="2:2">
      <c r="B141" s="9"/>
    </row>
    <row r="142" spans="2:2">
      <c r="B142" s="9"/>
    </row>
    <row r="143" spans="2:2">
      <c r="B143" s="9"/>
    </row>
    <row r="144" spans="2:2">
      <c r="B144" s="9"/>
    </row>
    <row r="145" spans="2:2">
      <c r="B145" s="9"/>
    </row>
    <row r="146" spans="2:2">
      <c r="B146" s="9"/>
    </row>
    <row r="147" spans="2:2">
      <c r="B147" s="9"/>
    </row>
    <row r="148" spans="2:2">
      <c r="B148" s="9"/>
    </row>
    <row r="149" spans="2:2">
      <c r="B149" s="9"/>
    </row>
    <row r="150" spans="2:2">
      <c r="B150" s="9"/>
    </row>
    <row r="151" spans="2:2">
      <c r="B151" s="9"/>
    </row>
    <row r="152" spans="2:2">
      <c r="B152" s="9"/>
    </row>
    <row r="153" spans="2:2">
      <c r="B153" s="9"/>
    </row>
    <row r="154" spans="2:2">
      <c r="B154" s="9"/>
    </row>
    <row r="155" spans="2:2">
      <c r="B155" s="9"/>
    </row>
    <row r="156" spans="2:2">
      <c r="B156" s="9"/>
    </row>
    <row r="157" spans="2:2">
      <c r="B157" s="9"/>
    </row>
    <row r="158" spans="2:2">
      <c r="B158" s="9"/>
    </row>
    <row r="159" spans="2:2">
      <c r="B159" s="9"/>
    </row>
    <row r="160" spans="2:2">
      <c r="B160" s="9"/>
    </row>
    <row r="161" spans="2:2">
      <c r="B161" s="9"/>
    </row>
    <row r="162" spans="2:2">
      <c r="B162" s="9"/>
    </row>
    <row r="163" spans="2:2">
      <c r="B163" s="9"/>
    </row>
    <row r="164" spans="2:2">
      <c r="B164" s="9"/>
    </row>
    <row r="165" spans="2:2">
      <c r="B165" s="9"/>
    </row>
    <row r="166" spans="2:2">
      <c r="B166" s="9"/>
    </row>
    <row r="167" spans="2:2">
      <c r="B167" s="9"/>
    </row>
    <row r="168" spans="2:2">
      <c r="B168" s="9"/>
    </row>
    <row r="169" spans="2:2">
      <c r="B169" s="9"/>
    </row>
    <row r="170" spans="2:2">
      <c r="B170" s="9"/>
    </row>
    <row r="171" spans="2:2">
      <c r="B171" s="9"/>
    </row>
    <row r="172" spans="2:2">
      <c r="B172" s="9"/>
    </row>
    <row r="173" spans="2:2">
      <c r="B173" s="9"/>
    </row>
    <row r="174" spans="2:2">
      <c r="B174" s="9"/>
    </row>
    <row r="175" spans="2:2">
      <c r="B175" s="9"/>
    </row>
    <row r="176" spans="2:2">
      <c r="B176" s="9"/>
    </row>
  </sheetData>
  <phoneticPr fontId="4" type="noConversion"/>
  <pageMargins left="0.69930555555555596" right="0.69930555555555596" top="0.75" bottom="0.75" header="0.3" footer="0.3"/>
  <pageSetup paperSize="9" orientation="portrait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2"/>
  <sheetViews>
    <sheetView topLeftCell="A22" workbookViewId="0">
      <selection activeCell="A46" sqref="A46:B52"/>
    </sheetView>
  </sheetViews>
  <sheetFormatPr defaultColWidth="9" defaultRowHeight="13.5"/>
  <cols>
    <col min="1" max="1" width="11.625" bestFit="1" customWidth="1"/>
    <col min="2" max="2" width="13.875" customWidth="1"/>
  </cols>
  <sheetData>
    <row r="1" spans="1:7">
      <c r="A1" t="s">
        <v>0</v>
      </c>
      <c r="B1">
        <v>50359</v>
      </c>
      <c r="C1" t="s">
        <v>1</v>
      </c>
      <c r="D1">
        <v>750</v>
      </c>
    </row>
    <row r="2" spans="1:7">
      <c r="A2" t="s">
        <v>2</v>
      </c>
      <c r="B2" s="10">
        <v>6.8812799999999996E-10</v>
      </c>
    </row>
    <row r="3" spans="1:7">
      <c r="A3" t="s">
        <v>3</v>
      </c>
      <c r="B3">
        <v>-8.2443999999999999E-5</v>
      </c>
    </row>
    <row r="4" spans="1:7">
      <c r="A4" t="s">
        <v>4</v>
      </c>
      <c r="B4">
        <v>0.67172925000000006</v>
      </c>
    </row>
    <row r="5" spans="1:7">
      <c r="A5" t="s">
        <v>5</v>
      </c>
      <c r="B5">
        <v>-9.4010800000000005E-4</v>
      </c>
    </row>
    <row r="6" spans="1:7">
      <c r="A6" t="s">
        <v>6</v>
      </c>
      <c r="B6" t="s">
        <v>7</v>
      </c>
      <c r="C6" t="s">
        <v>8</v>
      </c>
      <c r="D6" t="s">
        <v>9</v>
      </c>
      <c r="E6" t="s">
        <v>10</v>
      </c>
      <c r="F6" t="s">
        <v>11</v>
      </c>
      <c r="G6" t="s">
        <v>12</v>
      </c>
    </row>
    <row r="7" spans="1:7">
      <c r="A7" s="7">
        <v>42917</v>
      </c>
      <c r="B7" s="1">
        <v>0.60416666666666663</v>
      </c>
      <c r="C7" s="2">
        <v>8789.9</v>
      </c>
      <c r="D7" s="2">
        <v>20.7</v>
      </c>
      <c r="E7" s="3">
        <f>($B$2*C7^2+$B$3*C7+$B$4)-$B$5*D7</f>
        <v>1.9681350882657336E-2</v>
      </c>
      <c r="G7" t="s">
        <v>13</v>
      </c>
    </row>
    <row r="8" spans="1:7">
      <c r="A8" s="7">
        <v>42917</v>
      </c>
      <c r="B8" s="1">
        <v>0.66666666666666663</v>
      </c>
      <c r="C8" s="2">
        <v>8643</v>
      </c>
      <c r="D8" s="2">
        <v>10.7</v>
      </c>
      <c r="E8" s="3">
        <f>($B$2*C8^2+$B$3*C8+$B$4)-$B$5*D8-$E$7</f>
        <v>9.477214148146465E-4</v>
      </c>
      <c r="F8" s="4">
        <f>$D$1+102*E8</f>
        <v>750.09666758431115</v>
      </c>
      <c r="G8" t="s">
        <v>14</v>
      </c>
    </row>
    <row r="9" spans="1:7">
      <c r="A9" s="7">
        <v>42918</v>
      </c>
      <c r="B9" s="1">
        <v>0.33333333333333331</v>
      </c>
      <c r="C9" s="2">
        <v>8807.2999999999993</v>
      </c>
      <c r="D9" s="2">
        <v>21</v>
      </c>
      <c r="E9" s="3">
        <f t="shared" ref="E9:E25" si="0">($B$2*C9^2+$B$3*C9+$B$4)-$B$5*D9-$E$7</f>
        <v>-9.4179440687616051E-4</v>
      </c>
      <c r="F9" s="4">
        <f t="shared" ref="F9:F28" si="1">$D$1+102*E9</f>
        <v>749.90393697049865</v>
      </c>
    </row>
    <row r="10" spans="1:7">
      <c r="A10" s="7">
        <v>42919</v>
      </c>
      <c r="B10" s="1">
        <v>0.33333333333333331</v>
      </c>
      <c r="C10" s="2">
        <v>8826.4</v>
      </c>
      <c r="D10" s="2">
        <v>22.5</v>
      </c>
      <c r="E10" s="3">
        <f t="shared" si="0"/>
        <v>-8.7454877104632678E-4</v>
      </c>
      <c r="F10" s="4">
        <f t="shared" si="1"/>
        <v>749.91079602535331</v>
      </c>
    </row>
    <row r="11" spans="1:7">
      <c r="A11" s="7">
        <v>42920</v>
      </c>
      <c r="B11" s="1">
        <v>0.33333333333333331</v>
      </c>
      <c r="C11" s="2">
        <v>8838.2000000000007</v>
      </c>
      <c r="D11" s="2">
        <v>22.6</v>
      </c>
      <c r="E11" s="3">
        <f t="shared" si="0"/>
        <v>-1.6099422017946119E-3</v>
      </c>
      <c r="F11" s="4">
        <f t="shared" si="1"/>
        <v>749.83578589541696</v>
      </c>
    </row>
    <row r="12" spans="1:7">
      <c r="A12" s="7">
        <v>42921</v>
      </c>
      <c r="B12" s="1">
        <v>0.33333333333333331</v>
      </c>
      <c r="C12" s="2">
        <v>8828.1</v>
      </c>
      <c r="D12" s="2">
        <v>22.9</v>
      </c>
      <c r="E12" s="3">
        <f t="shared" si="0"/>
        <v>-6.1800782622719805E-4</v>
      </c>
      <c r="F12" s="4">
        <f t="shared" si="1"/>
        <v>749.93696320172478</v>
      </c>
    </row>
    <row r="13" spans="1:7">
      <c r="A13" s="7">
        <v>42922</v>
      </c>
      <c r="B13" s="1">
        <v>0.33333333333333331</v>
      </c>
      <c r="C13" s="2">
        <v>8828.5</v>
      </c>
      <c r="D13" s="2">
        <v>22.7</v>
      </c>
      <c r="E13" s="3">
        <f t="shared" si="0"/>
        <v>-8.3414702588923209E-4</v>
      </c>
      <c r="F13" s="4">
        <f t="shared" si="1"/>
        <v>749.91491700335928</v>
      </c>
    </row>
    <row r="14" spans="1:7">
      <c r="A14" s="7">
        <v>42923</v>
      </c>
      <c r="B14" s="1">
        <v>0.33333333333333331</v>
      </c>
      <c r="C14" s="2">
        <v>8829.9</v>
      </c>
      <c r="D14" s="2">
        <v>22.5</v>
      </c>
      <c r="E14" s="3">
        <f t="shared" si="0"/>
        <v>-1.120578490623983E-3</v>
      </c>
      <c r="F14" s="4">
        <f t="shared" si="1"/>
        <v>749.88570099395633</v>
      </c>
    </row>
    <row r="15" spans="1:7">
      <c r="A15" s="7">
        <v>42926</v>
      </c>
      <c r="B15" s="1">
        <v>0.33333333333333331</v>
      </c>
      <c r="C15" s="2">
        <v>8836.2999999999993</v>
      </c>
      <c r="D15" s="2">
        <v>22.4</v>
      </c>
      <c r="E15" s="3">
        <f t="shared" si="0"/>
        <v>-1.6644286066329304E-3</v>
      </c>
      <c r="F15" s="4">
        <f t="shared" si="1"/>
        <v>749.83022828212347</v>
      </c>
    </row>
    <row r="16" spans="1:7">
      <c r="A16" s="7">
        <v>42936</v>
      </c>
      <c r="B16" s="1">
        <v>0.33333333333333331</v>
      </c>
      <c r="C16" s="2">
        <v>8811.9</v>
      </c>
      <c r="D16" s="2">
        <v>21.7</v>
      </c>
      <c r="E16" s="3">
        <f t="shared" si="0"/>
        <v>-6.0718958853111724E-4</v>
      </c>
      <c r="F16" s="4">
        <f t="shared" si="1"/>
        <v>749.93806666196986</v>
      </c>
    </row>
    <row r="17" spans="1:7">
      <c r="A17" s="7">
        <v>42946</v>
      </c>
      <c r="B17" s="1">
        <v>0.33333333333333331</v>
      </c>
      <c r="C17" s="2">
        <v>8818.2999999999993</v>
      </c>
      <c r="D17" s="2">
        <v>21.9</v>
      </c>
      <c r="E17" s="3">
        <f t="shared" si="0"/>
        <v>-8.6916584923132922E-4</v>
      </c>
      <c r="F17" s="4">
        <f t="shared" si="1"/>
        <v>749.91134508337836</v>
      </c>
    </row>
    <row r="18" spans="1:7">
      <c r="A18" s="7">
        <v>42957</v>
      </c>
      <c r="B18" s="1">
        <v>0.33333333333333331</v>
      </c>
      <c r="C18" s="2">
        <v>8816.2999999999993</v>
      </c>
      <c r="D18" s="2">
        <v>22.3</v>
      </c>
      <c r="E18" s="3">
        <f t="shared" si="0"/>
        <v>-3.525043732888547E-4</v>
      </c>
      <c r="F18" s="4">
        <f t="shared" si="1"/>
        <v>749.96404455392451</v>
      </c>
    </row>
    <row r="19" spans="1:7">
      <c r="A19" s="7">
        <v>42967</v>
      </c>
      <c r="B19" s="1">
        <v>0.33333333333333331</v>
      </c>
      <c r="C19" s="2">
        <v>8809.4</v>
      </c>
      <c r="D19" s="2">
        <v>22.4</v>
      </c>
      <c r="E19" s="3">
        <f t="shared" si="0"/>
        <v>2.2668173665288741E-4</v>
      </c>
      <c r="F19" s="4">
        <f t="shared" si="1"/>
        <v>750.02312153713865</v>
      </c>
      <c r="G19" s="2"/>
    </row>
    <row r="20" spans="1:7">
      <c r="A20" s="7">
        <v>42977</v>
      </c>
      <c r="B20" s="1">
        <v>0.33333333333333331</v>
      </c>
      <c r="C20" s="2">
        <v>8823.6</v>
      </c>
      <c r="D20" s="2">
        <v>22.5</v>
      </c>
      <c r="E20" s="3">
        <f t="shared" si="0"/>
        <v>-6.7771285680641447E-4</v>
      </c>
      <c r="F20" s="4">
        <f t="shared" si="1"/>
        <v>749.93087328860577</v>
      </c>
      <c r="G20" s="2"/>
    </row>
    <row r="21" spans="1:7">
      <c r="A21" s="7">
        <v>42988</v>
      </c>
      <c r="B21" s="1">
        <v>0.33333333333333331</v>
      </c>
      <c r="C21" s="2">
        <v>8802.2000000000007</v>
      </c>
      <c r="D21" s="2">
        <v>22.4</v>
      </c>
      <c r="E21" s="3">
        <f t="shared" si="0"/>
        <v>7.3302148404211578E-4</v>
      </c>
      <c r="F21" s="4">
        <f t="shared" si="1"/>
        <v>750.0747681913723</v>
      </c>
      <c r="G21" s="2"/>
    </row>
    <row r="22" spans="1:7">
      <c r="A22" s="7">
        <v>42998</v>
      </c>
      <c r="B22" s="1">
        <v>0.33333333333333331</v>
      </c>
      <c r="C22" s="2">
        <v>8820.5</v>
      </c>
      <c r="D22" s="2">
        <v>21.8</v>
      </c>
      <c r="E22" s="3">
        <f t="shared" si="0"/>
        <v>-1.1178503944652522E-3</v>
      </c>
      <c r="F22" s="4">
        <f t="shared" si="1"/>
        <v>749.88597925976455</v>
      </c>
    </row>
    <row r="23" spans="1:7">
      <c r="A23" s="7">
        <v>43008</v>
      </c>
      <c r="B23" s="1">
        <v>0.33333333333333331</v>
      </c>
      <c r="C23" s="2">
        <v>8815.4</v>
      </c>
      <c r="D23" s="2">
        <v>21.5</v>
      </c>
      <c r="E23" s="3">
        <f t="shared" si="0"/>
        <v>-1.0413107531007833E-3</v>
      </c>
      <c r="F23" s="4">
        <f t="shared" si="1"/>
        <v>749.89378630318367</v>
      </c>
    </row>
    <row r="24" spans="1:7">
      <c r="A24" s="6">
        <v>43018</v>
      </c>
      <c r="B24" s="1">
        <v>0.33333333333333331</v>
      </c>
      <c r="C24" s="2">
        <v>8802.7999999999993</v>
      </c>
      <c r="D24" s="2">
        <v>21.3</v>
      </c>
      <c r="E24" s="3">
        <f t="shared" si="0"/>
        <v>-3.4329501989364963E-4</v>
      </c>
      <c r="F24" s="4">
        <f t="shared" si="1"/>
        <v>749.9649839079708</v>
      </c>
    </row>
    <row r="25" spans="1:7">
      <c r="A25" s="7">
        <v>43230</v>
      </c>
      <c r="B25" s="9">
        <v>0.33333333333333331</v>
      </c>
      <c r="C25" s="2">
        <v>8662.9</v>
      </c>
      <c r="D25" s="2">
        <v>9.1</v>
      </c>
      <c r="E25" s="3">
        <f t="shared" si="0"/>
        <v>-1.9601043655167599E-3</v>
      </c>
      <c r="F25" s="4">
        <f t="shared" si="1"/>
        <v>749.80006935471727</v>
      </c>
    </row>
    <row r="26" spans="1:7">
      <c r="A26" s="7">
        <v>43240</v>
      </c>
      <c r="B26" s="9">
        <v>0.33333333333333331</v>
      </c>
      <c r="C26" s="2">
        <v>8650.2000000000007</v>
      </c>
      <c r="D26" s="2">
        <v>9.1999999999999993</v>
      </c>
      <c r="E26" s="3">
        <f>($B$2*C26^2+$B$3*C26+$B$4)-$B$5*D26-$E$7</f>
        <v>-9.7035785225224602E-4</v>
      </c>
      <c r="F26" s="4">
        <f t="shared" si="1"/>
        <v>749.90102349907022</v>
      </c>
    </row>
    <row r="27" spans="1:7">
      <c r="A27" s="7">
        <v>43250</v>
      </c>
      <c r="B27" s="9">
        <v>0.33333333333333331</v>
      </c>
      <c r="C27" s="2">
        <v>8645.4</v>
      </c>
      <c r="D27" s="2">
        <v>8.4</v>
      </c>
      <c r="E27" s="3">
        <f>($B$2*C27^2+$B$3*C27+$B$4)-$B$5*D27-$E$7</f>
        <v>-1.3838406681087427E-3</v>
      </c>
      <c r="F27" s="4">
        <f t="shared" si="1"/>
        <v>749.85884825185292</v>
      </c>
    </row>
    <row r="28" spans="1:7">
      <c r="A28" s="7">
        <v>43261</v>
      </c>
      <c r="B28" s="9">
        <v>0.33333333333333331</v>
      </c>
      <c r="C28" s="2">
        <v>8656</v>
      </c>
      <c r="D28" s="2">
        <v>8.4</v>
      </c>
      <c r="E28" s="3">
        <f>($B$2*C28^2+$B$3*C28+$B$4)-$B$5*D28-$E$7</f>
        <v>-2.1315479436492639E-3</v>
      </c>
      <c r="F28" s="4">
        <f t="shared" si="1"/>
        <v>749.78258210974775</v>
      </c>
    </row>
    <row r="29" spans="1:7">
      <c r="A29" s="7">
        <v>43271</v>
      </c>
      <c r="B29" s="1">
        <v>0.33333333333333331</v>
      </c>
      <c r="C29" s="2">
        <v>8658.1</v>
      </c>
      <c r="D29" s="2">
        <v>8.4</v>
      </c>
      <c r="E29" s="3">
        <f t="shared" ref="E29:E52" si="2">($B$2*C29^2+$B$3*C29+$B$4)-$B$5*D29-$E$7</f>
        <v>-2.279660277939282E-3</v>
      </c>
      <c r="F29" s="4">
        <f t="shared" ref="F29:F52" si="3">$D$1+102*E29</f>
        <v>749.76747465165022</v>
      </c>
    </row>
    <row r="30" spans="1:7">
      <c r="A30" s="7">
        <v>43281</v>
      </c>
      <c r="B30" s="1">
        <v>0.33333333333333331</v>
      </c>
      <c r="C30" s="2">
        <v>8657.1</v>
      </c>
      <c r="D30" s="2">
        <v>8.6999999999999993</v>
      </c>
      <c r="E30" s="3">
        <f t="shared" si="2"/>
        <v>-1.9270989518848716E-3</v>
      </c>
      <c r="F30" s="4">
        <f t="shared" si="3"/>
        <v>749.80343590690779</v>
      </c>
    </row>
    <row r="31" spans="1:7">
      <c r="A31" s="7">
        <v>43291</v>
      </c>
      <c r="B31" s="1">
        <v>0.33333333333333331</v>
      </c>
      <c r="C31" s="2">
        <v>8648.5</v>
      </c>
      <c r="D31" s="2">
        <v>9</v>
      </c>
      <c r="E31" s="3">
        <f t="shared" si="2"/>
        <v>-1.0384609759692374E-3</v>
      </c>
      <c r="F31" s="4">
        <f t="shared" si="3"/>
        <v>749.89407698045113</v>
      </c>
    </row>
    <row r="32" spans="1:7">
      <c r="A32" s="7">
        <v>43301</v>
      </c>
      <c r="B32" s="1">
        <v>0.33333333333333331</v>
      </c>
      <c r="C32" s="2">
        <v>8671.7999999999993</v>
      </c>
      <c r="D32" s="2">
        <v>9.8000000000000007</v>
      </c>
      <c r="E32" s="3">
        <f t="shared" si="2"/>
        <v>-1.9296167827865668E-3</v>
      </c>
      <c r="F32" s="4">
        <f t="shared" si="3"/>
        <v>749.80317908815573</v>
      </c>
    </row>
    <row r="33" spans="1:6">
      <c r="A33" s="7">
        <v>43311</v>
      </c>
      <c r="B33" s="1">
        <v>0.33333333333333331</v>
      </c>
      <c r="C33" s="2">
        <v>8667.5</v>
      </c>
      <c r="D33" s="2">
        <v>10.199999999999999</v>
      </c>
      <c r="E33" s="3">
        <f t="shared" si="2"/>
        <v>-1.2503705114572071E-3</v>
      </c>
      <c r="F33" s="4">
        <f t="shared" si="3"/>
        <v>749.8724622078314</v>
      </c>
    </row>
    <row r="34" spans="1:6">
      <c r="A34" s="7">
        <v>43322</v>
      </c>
      <c r="B34" s="1">
        <v>0.33333333333333331</v>
      </c>
      <c r="C34" s="2">
        <v>8673.4</v>
      </c>
      <c r="D34" s="2">
        <v>10.9</v>
      </c>
      <c r="E34" s="3">
        <f t="shared" si="2"/>
        <v>-1.0083112343295675E-3</v>
      </c>
      <c r="F34" s="4">
        <f t="shared" si="3"/>
        <v>749.89715225409839</v>
      </c>
    </row>
    <row r="35" spans="1:6">
      <c r="A35" s="7">
        <v>43332</v>
      </c>
      <c r="B35" s="1">
        <v>0.33333333333333331</v>
      </c>
      <c r="C35" s="2">
        <v>8683.74</v>
      </c>
      <c r="D35" s="2">
        <v>11.3</v>
      </c>
      <c r="E35" s="3">
        <f t="shared" si="2"/>
        <v>-1.3612387164188902E-3</v>
      </c>
      <c r="F35" s="4">
        <f t="shared" si="3"/>
        <v>749.8611536509253</v>
      </c>
    </row>
    <row r="36" spans="1:6">
      <c r="A36" s="7">
        <v>43342</v>
      </c>
      <c r="B36" s="1">
        <v>0.33333333333333331</v>
      </c>
      <c r="C36" s="2">
        <v>8652.7000000000007</v>
      </c>
      <c r="D36" s="2">
        <v>11.7</v>
      </c>
      <c r="E36" s="3">
        <f t="shared" si="2"/>
        <v>1.203568672675747E-3</v>
      </c>
      <c r="F36" s="4">
        <f t="shared" si="3"/>
        <v>750.12276400461292</v>
      </c>
    </row>
    <row r="37" spans="1:6">
      <c r="A37" s="7">
        <v>43353</v>
      </c>
      <c r="B37" s="1">
        <v>0.33333333333333331</v>
      </c>
      <c r="C37" s="2">
        <v>8702.6</v>
      </c>
      <c r="D37" s="2">
        <v>12.9</v>
      </c>
      <c r="E37" s="3">
        <f t="shared" si="2"/>
        <v>-1.1863182001920075E-3</v>
      </c>
      <c r="F37" s="4">
        <f t="shared" si="3"/>
        <v>749.87899554358046</v>
      </c>
    </row>
    <row r="38" spans="1:6">
      <c r="A38" s="7">
        <v>43363</v>
      </c>
      <c r="B38" s="1">
        <v>0.33333333333333331</v>
      </c>
      <c r="C38" s="2">
        <v>8690.7000000000007</v>
      </c>
      <c r="D38" s="2">
        <v>12.9</v>
      </c>
      <c r="E38" s="3">
        <f t="shared" si="2"/>
        <v>-3.4766351942651375E-4</v>
      </c>
      <c r="F38" s="4">
        <f t="shared" si="3"/>
        <v>749.96453832101849</v>
      </c>
    </row>
    <row r="39" spans="1:6">
      <c r="A39" s="7">
        <v>43373</v>
      </c>
      <c r="B39" s="1">
        <v>0.33333333333333331</v>
      </c>
      <c r="C39" s="2">
        <v>8703.5</v>
      </c>
      <c r="D39" s="2">
        <v>12.7</v>
      </c>
      <c r="E39" s="3">
        <f t="shared" si="2"/>
        <v>-1.4377595378893132E-3</v>
      </c>
      <c r="F39" s="4">
        <f t="shared" si="3"/>
        <v>749.85334852713527</v>
      </c>
    </row>
    <row r="40" spans="1:6">
      <c r="A40" s="7">
        <v>43383</v>
      </c>
      <c r="B40" s="1">
        <v>0.33333333333333331</v>
      </c>
      <c r="C40" s="2">
        <v>8709.2000000000007</v>
      </c>
      <c r="D40" s="2">
        <v>12.3</v>
      </c>
      <c r="E40" s="3">
        <f t="shared" si="2"/>
        <v>-2.2154351892633428E-3</v>
      </c>
      <c r="F40" s="4">
        <f t="shared" si="3"/>
        <v>749.77402561069516</v>
      </c>
    </row>
    <row r="41" spans="1:6">
      <c r="A41" s="7">
        <v>43393</v>
      </c>
      <c r="B41" s="1">
        <v>0.33333333333333331</v>
      </c>
      <c r="C41" s="2">
        <v>8710.7000000000007</v>
      </c>
      <c r="D41" s="2">
        <v>11.8</v>
      </c>
      <c r="E41" s="3">
        <f t="shared" si="2"/>
        <v>-2.7911745078425844E-3</v>
      </c>
      <c r="F41" s="4">
        <f t="shared" si="3"/>
        <v>749.71530020020009</v>
      </c>
    </row>
    <row r="42" spans="1:6">
      <c r="A42" s="32">
        <v>43605</v>
      </c>
      <c r="B42" s="1">
        <v>0.33333333333333331</v>
      </c>
      <c r="C42" s="2">
        <v>8750.2999999999993</v>
      </c>
      <c r="D42" s="2">
        <v>10.7</v>
      </c>
      <c r="E42" s="3">
        <f t="shared" si="2"/>
        <v>-6.6142657487256399E-3</v>
      </c>
      <c r="F42" s="4">
        <f t="shared" si="3"/>
        <v>749.32534489363002</v>
      </c>
    </row>
    <row r="43" spans="1:6">
      <c r="A43" s="32">
        <v>43615</v>
      </c>
      <c r="B43" s="1">
        <v>0.33333333333333331</v>
      </c>
      <c r="C43" s="2">
        <v>8754.1</v>
      </c>
      <c r="D43" s="2">
        <v>10.7</v>
      </c>
      <c r="E43" s="3">
        <f t="shared" si="2"/>
        <v>-6.8817809312256509E-3</v>
      </c>
      <c r="F43" s="4">
        <f t="shared" si="3"/>
        <v>749.29805834501497</v>
      </c>
    </row>
    <row r="44" spans="1:6">
      <c r="A44" s="32">
        <v>43626</v>
      </c>
      <c r="B44" s="1">
        <v>0.33333333333333331</v>
      </c>
      <c r="C44" s="2">
        <v>8757.5</v>
      </c>
      <c r="D44" s="2">
        <v>10.9</v>
      </c>
      <c r="E44" s="3">
        <f t="shared" si="2"/>
        <v>-6.9330981754572012E-3</v>
      </c>
      <c r="F44" s="4">
        <f t="shared" si="3"/>
        <v>749.29282398610337</v>
      </c>
    </row>
    <row r="45" spans="1:6">
      <c r="A45" s="32">
        <v>43636</v>
      </c>
      <c r="B45" s="1">
        <v>0.33333333333333331</v>
      </c>
      <c r="C45" s="2">
        <v>8762.1</v>
      </c>
      <c r="D45" s="2">
        <v>11.1</v>
      </c>
      <c r="E45" s="3">
        <f t="shared" si="2"/>
        <v>-7.0688626298368619E-3</v>
      </c>
      <c r="F45" s="4">
        <f t="shared" si="3"/>
        <v>749.27897601175664</v>
      </c>
    </row>
    <row r="46" spans="1:6">
      <c r="A46" s="7">
        <v>43646</v>
      </c>
      <c r="B46" s="1">
        <v>0.33333333333333331</v>
      </c>
      <c r="C46" s="2">
        <v>8749.2999999999993</v>
      </c>
      <c r="D46" s="2">
        <v>10.8</v>
      </c>
      <c r="E46" s="3">
        <f t="shared" si="2"/>
        <v>-6.4498529134744218E-3</v>
      </c>
      <c r="F46" s="4">
        <f t="shared" si="3"/>
        <v>749.34211500282561</v>
      </c>
    </row>
    <row r="47" spans="1:6">
      <c r="A47" s="7">
        <v>43656</v>
      </c>
      <c r="B47" s="1">
        <v>0.33333333333333331</v>
      </c>
      <c r="C47" s="2">
        <v>8736.5</v>
      </c>
      <c r="D47" s="2">
        <v>10.4</v>
      </c>
      <c r="E47" s="3">
        <f t="shared" si="2"/>
        <v>-5.9246285113292718E-3</v>
      </c>
      <c r="F47" s="4">
        <f t="shared" si="3"/>
        <v>749.39568789184443</v>
      </c>
    </row>
    <row r="48" spans="1:6">
      <c r="A48" s="7">
        <v>43666</v>
      </c>
      <c r="B48" s="1">
        <v>0.33333333333333331</v>
      </c>
      <c r="C48" s="2">
        <v>8724.1</v>
      </c>
      <c r="D48" s="2">
        <v>10.199999999999999</v>
      </c>
      <c r="E48" s="3">
        <f t="shared" si="2"/>
        <v>-5.239332095513579E-3</v>
      </c>
      <c r="F48" s="4">
        <f t="shared" si="3"/>
        <v>749.46558812625767</v>
      </c>
    </row>
    <row r="49" spans="1:6">
      <c r="A49" s="7">
        <v>43676</v>
      </c>
      <c r="B49" s="1">
        <v>0.33333333333333331</v>
      </c>
      <c r="C49" s="2">
        <v>8707.5</v>
      </c>
      <c r="D49" s="2">
        <v>9.4</v>
      </c>
      <c r="E49" s="3">
        <f t="shared" si="2"/>
        <v>-4.8219679514572063E-3</v>
      </c>
      <c r="F49" s="4">
        <f t="shared" si="3"/>
        <v>749.50815926895132</v>
      </c>
    </row>
    <row r="50" spans="1:6">
      <c r="A50" s="7">
        <v>43687</v>
      </c>
      <c r="B50" s="1">
        <v>0.33333333333333331</v>
      </c>
      <c r="C50" s="2">
        <v>8687.2999999999993</v>
      </c>
      <c r="D50" s="2">
        <v>9</v>
      </c>
      <c r="E50" s="3">
        <f t="shared" si="2"/>
        <v>-3.7744332999321804E-3</v>
      </c>
      <c r="F50" s="4">
        <f t="shared" si="3"/>
        <v>749.61500780340691</v>
      </c>
    </row>
    <row r="51" spans="1:6">
      <c r="A51" s="7">
        <v>43697</v>
      </c>
      <c r="B51" s="1">
        <v>0.33333333333333331</v>
      </c>
      <c r="C51" s="2">
        <v>8669.1</v>
      </c>
      <c r="D51" s="2">
        <v>9</v>
      </c>
      <c r="E51" s="3">
        <f t="shared" si="2"/>
        <v>-2.4913228316416312E-3</v>
      </c>
      <c r="F51" s="4">
        <f t="shared" si="3"/>
        <v>749.74588507117255</v>
      </c>
    </row>
    <row r="52" spans="1:6">
      <c r="A52" s="7">
        <v>43707</v>
      </c>
      <c r="B52" s="1">
        <v>0.33333333333333331</v>
      </c>
      <c r="C52" s="2">
        <v>8650.5</v>
      </c>
      <c r="D52" s="2">
        <v>8.9</v>
      </c>
      <c r="E52" s="3">
        <f t="shared" si="2"/>
        <v>-1.2735519234252993E-3</v>
      </c>
      <c r="F52" s="4">
        <f t="shared" si="3"/>
        <v>749.87009770381064</v>
      </c>
    </row>
  </sheetData>
  <phoneticPr fontId="5" type="noConversion"/>
  <pageMargins left="0.69930555555555596" right="0.69930555555555596" top="0.75" bottom="0.75" header="0.3" footer="0.3"/>
  <drawing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topLeftCell="A27" workbookViewId="0">
      <selection activeCell="A47" sqref="A47:B53"/>
    </sheetView>
  </sheetViews>
  <sheetFormatPr defaultColWidth="9" defaultRowHeight="13.5"/>
  <cols>
    <col min="1" max="1" width="11.625" bestFit="1" customWidth="1"/>
    <col min="2" max="2" width="13.875" customWidth="1"/>
  </cols>
  <sheetData>
    <row r="1" spans="1:7">
      <c r="A1" t="s">
        <v>0</v>
      </c>
      <c r="B1">
        <v>50408</v>
      </c>
      <c r="C1" t="s">
        <v>1</v>
      </c>
      <c r="D1">
        <v>746.5</v>
      </c>
    </row>
    <row r="2" spans="1:7">
      <c r="A2" t="s">
        <v>2</v>
      </c>
      <c r="B2" s="10">
        <v>6.1688099999999995E-10</v>
      </c>
    </row>
    <row r="3" spans="1:7">
      <c r="A3" t="s">
        <v>3</v>
      </c>
      <c r="B3">
        <v>-8.0413000000000004E-5</v>
      </c>
    </row>
    <row r="4" spans="1:7">
      <c r="A4" t="s">
        <v>4</v>
      </c>
      <c r="B4">
        <v>0.67497346999999996</v>
      </c>
    </row>
    <row r="5" spans="1:7">
      <c r="A5" t="s">
        <v>5</v>
      </c>
      <c r="B5">
        <v>-1.0019339999999999E-3</v>
      </c>
    </row>
    <row r="6" spans="1:7">
      <c r="A6" t="s">
        <v>6</v>
      </c>
      <c r="B6" t="s">
        <v>7</v>
      </c>
      <c r="C6" t="s">
        <v>8</v>
      </c>
      <c r="D6" t="s">
        <v>9</v>
      </c>
      <c r="E6" t="s">
        <v>10</v>
      </c>
      <c r="F6" t="s">
        <v>11</v>
      </c>
      <c r="G6" t="s">
        <v>12</v>
      </c>
    </row>
    <row r="7" spans="1:7">
      <c r="A7" s="7">
        <v>42905</v>
      </c>
      <c r="B7" s="1">
        <v>0.375</v>
      </c>
      <c r="C7" s="2">
        <v>8961.2000000000007</v>
      </c>
      <c r="D7" s="2">
        <v>15</v>
      </c>
      <c r="E7" s="3">
        <f>($B$2*C7^2+$B$3*C7+$B$4)-$B$5*D7</f>
        <v>1.8942964386932427E-2</v>
      </c>
      <c r="G7" t="s">
        <v>13</v>
      </c>
    </row>
    <row r="8" spans="1:7">
      <c r="A8" s="7">
        <v>42905</v>
      </c>
      <c r="B8" s="1">
        <v>0.39583333333333331</v>
      </c>
      <c r="C8" s="2">
        <v>8960.5</v>
      </c>
      <c r="D8" s="2">
        <v>14.6</v>
      </c>
      <c r="E8" s="3">
        <f>($B$2*C8^2+$B$3*C8+$B$4)-$B$5*D8-$E$7</f>
        <v>-3.5222338935224362E-4</v>
      </c>
      <c r="F8" s="4">
        <f>$D$1+102*E8</f>
        <v>746.46407321428603</v>
      </c>
      <c r="G8" t="s">
        <v>14</v>
      </c>
    </row>
    <row r="9" spans="1:7">
      <c r="A9" s="7">
        <v>42906</v>
      </c>
      <c r="B9" s="1">
        <v>0.33333333333333331</v>
      </c>
      <c r="C9" s="2">
        <v>8968.2999999999993</v>
      </c>
      <c r="D9" s="2">
        <v>14.7</v>
      </c>
      <c r="E9" s="3">
        <f t="shared" ref="E9:E26" si="0">($B$2*C9^2+$B$3*C9+$B$4)-$B$5*D9-$E$7</f>
        <v>-7.9298388798431166E-4</v>
      </c>
      <c r="F9" s="4">
        <f t="shared" ref="F9:F28" si="1">$D$1+102*E9</f>
        <v>746.41911564342558</v>
      </c>
    </row>
    <row r="10" spans="1:7">
      <c r="A10" s="7">
        <v>42907</v>
      </c>
      <c r="B10" s="1">
        <v>0.33333333333333331</v>
      </c>
      <c r="C10" s="2">
        <v>8972.7000000000007</v>
      </c>
      <c r="D10" s="2">
        <v>14.9</v>
      </c>
      <c r="E10" s="3">
        <f t="shared" si="0"/>
        <v>-8.9771745509214726E-4</v>
      </c>
      <c r="F10" s="4">
        <f t="shared" si="1"/>
        <v>746.40843281958064</v>
      </c>
    </row>
    <row r="11" spans="1:7">
      <c r="A11" s="7">
        <v>42908</v>
      </c>
      <c r="B11" s="1">
        <v>0.33333333333333331</v>
      </c>
      <c r="C11" s="2">
        <v>8978.6</v>
      </c>
      <c r="D11" s="2">
        <v>15.9</v>
      </c>
      <c r="E11" s="3">
        <f t="shared" si="0"/>
        <v>-3.048846413097675E-4</v>
      </c>
      <c r="F11" s="4">
        <f t="shared" si="1"/>
        <v>746.46890176658644</v>
      </c>
    </row>
    <row r="12" spans="1:7">
      <c r="A12" s="7">
        <v>42909</v>
      </c>
      <c r="B12" s="1">
        <v>0.33333333333333331</v>
      </c>
      <c r="C12" s="2">
        <v>8977.1</v>
      </c>
      <c r="D12" s="2">
        <v>15.4</v>
      </c>
      <c r="E12" s="3">
        <f t="shared" si="0"/>
        <v>-7.018469365672915E-4</v>
      </c>
      <c r="F12" s="4">
        <f t="shared" si="1"/>
        <v>746.42841161247009</v>
      </c>
    </row>
    <row r="13" spans="1:7">
      <c r="A13" s="7">
        <v>42910</v>
      </c>
      <c r="B13" s="1">
        <v>0.33333333333333331</v>
      </c>
      <c r="C13" s="2">
        <v>8975.2999999999993</v>
      </c>
      <c r="D13" s="2">
        <v>15.7</v>
      </c>
      <c r="E13" s="3">
        <f t="shared" si="0"/>
        <v>-2.7645742660323269E-4</v>
      </c>
      <c r="F13" s="4">
        <f t="shared" si="1"/>
        <v>746.47180134248651</v>
      </c>
    </row>
    <row r="14" spans="1:7">
      <c r="A14" s="7">
        <v>42911</v>
      </c>
      <c r="B14" s="1">
        <v>0.33333333333333331</v>
      </c>
      <c r="C14" s="2">
        <v>8973.2000000000007</v>
      </c>
      <c r="D14" s="2">
        <v>16.100000000000001</v>
      </c>
      <c r="E14" s="3">
        <f t="shared" si="0"/>
        <v>2.6993208727683904E-4</v>
      </c>
      <c r="F14" s="4">
        <f t="shared" si="1"/>
        <v>746.5275330729022</v>
      </c>
    </row>
    <row r="15" spans="1:7">
      <c r="A15" s="7">
        <v>42916</v>
      </c>
      <c r="B15" s="1">
        <v>0.33333333333333331</v>
      </c>
      <c r="C15" s="2">
        <v>9013.5</v>
      </c>
      <c r="D15" s="2">
        <v>18</v>
      </c>
      <c r="E15" s="3">
        <f t="shared" si="0"/>
        <v>-6.1988237737021015E-4</v>
      </c>
      <c r="F15" s="4">
        <f t="shared" si="1"/>
        <v>746.43677199750823</v>
      </c>
    </row>
    <row r="16" spans="1:7">
      <c r="A16" s="7">
        <v>42926</v>
      </c>
      <c r="B16" s="1">
        <v>0.33333333333333331</v>
      </c>
      <c r="C16" s="2">
        <v>9032.5</v>
      </c>
      <c r="D16" s="2">
        <v>18.8</v>
      </c>
      <c r="E16" s="3">
        <f t="shared" si="0"/>
        <v>-1.1346697213762448E-3</v>
      </c>
      <c r="F16" s="4">
        <f t="shared" si="1"/>
        <v>746.38426368841965</v>
      </c>
    </row>
    <row r="17" spans="1:7">
      <c r="A17" s="7">
        <v>42936</v>
      </c>
      <c r="B17" s="1">
        <v>0.33333333333333331</v>
      </c>
      <c r="C17" s="2">
        <v>9032.2999999999993</v>
      </c>
      <c r="D17" s="2">
        <v>19.2</v>
      </c>
      <c r="E17" s="3">
        <f t="shared" si="0"/>
        <v>-7.2004228775395668E-4</v>
      </c>
      <c r="F17" s="4">
        <f t="shared" si="1"/>
        <v>746.42655568664907</v>
      </c>
    </row>
    <row r="18" spans="1:7">
      <c r="A18" s="7">
        <v>42946</v>
      </c>
      <c r="B18" s="1">
        <v>0.33333333333333331</v>
      </c>
      <c r="C18" s="2">
        <v>9041.2999999999993</v>
      </c>
      <c r="D18" s="2">
        <v>19.7</v>
      </c>
      <c r="E18" s="3">
        <f t="shared" si="0"/>
        <v>-8.4244894377956056E-4</v>
      </c>
      <c r="F18" s="4">
        <f t="shared" si="1"/>
        <v>746.41407020773454</v>
      </c>
    </row>
    <row r="19" spans="1:7">
      <c r="A19" s="7">
        <v>42957</v>
      </c>
      <c r="B19" s="1">
        <v>0.33333333333333331</v>
      </c>
      <c r="C19" s="2">
        <v>9040.6</v>
      </c>
      <c r="D19" s="2">
        <v>20.100000000000001</v>
      </c>
      <c r="E19" s="3">
        <f t="shared" si="0"/>
        <v>-3.9319431016734616E-4</v>
      </c>
      <c r="F19" s="4">
        <f t="shared" si="1"/>
        <v>746.45989418036288</v>
      </c>
      <c r="G19" s="2"/>
    </row>
    <row r="20" spans="1:7">
      <c r="A20" s="7">
        <v>42967</v>
      </c>
      <c r="B20" s="1">
        <v>0.33333333333333331</v>
      </c>
      <c r="C20" s="2">
        <v>9034.1</v>
      </c>
      <c r="D20" s="2">
        <v>20.2</v>
      </c>
      <c r="E20" s="3">
        <f t="shared" si="0"/>
        <v>1.5720898626305976E-4</v>
      </c>
      <c r="F20" s="4">
        <f t="shared" si="1"/>
        <v>746.51603531659885</v>
      </c>
      <c r="G20" s="2"/>
    </row>
    <row r="21" spans="1:7">
      <c r="A21" s="7">
        <v>42977</v>
      </c>
      <c r="B21" s="1">
        <v>0.33333333333333331</v>
      </c>
      <c r="C21" s="2">
        <v>9048.7999999999993</v>
      </c>
      <c r="D21" s="2">
        <v>20.2</v>
      </c>
      <c r="E21" s="3">
        <f t="shared" si="0"/>
        <v>-8.6088365144385351E-4</v>
      </c>
      <c r="F21" s="4">
        <f t="shared" si="1"/>
        <v>746.41218986755268</v>
      </c>
      <c r="G21" s="2"/>
    </row>
    <row r="22" spans="1:7">
      <c r="A22" s="7">
        <v>42988</v>
      </c>
      <c r="B22" s="1">
        <v>0.33333333333333331</v>
      </c>
      <c r="C22" s="2">
        <v>9042.7000000000007</v>
      </c>
      <c r="D22" s="2">
        <v>20.9</v>
      </c>
      <c r="E22" s="3">
        <f t="shared" si="0"/>
        <v>2.6291160262592247E-4</v>
      </c>
      <c r="F22" s="4">
        <f t="shared" si="1"/>
        <v>746.52681698346782</v>
      </c>
    </row>
    <row r="23" spans="1:7">
      <c r="A23" s="7">
        <v>42998</v>
      </c>
      <c r="B23" s="1">
        <v>0.33333333333333331</v>
      </c>
      <c r="C23" s="2">
        <v>9054.7999999999993</v>
      </c>
      <c r="D23" s="2">
        <v>20.399999999999999</v>
      </c>
      <c r="E23" s="3">
        <f t="shared" si="0"/>
        <v>-1.0759682502142591E-3</v>
      </c>
      <c r="F23" s="4">
        <f t="shared" si="1"/>
        <v>746.39025123847819</v>
      </c>
    </row>
    <row r="24" spans="1:7">
      <c r="A24" s="6">
        <v>43008</v>
      </c>
      <c r="B24" s="1">
        <v>0.33333333333333331</v>
      </c>
      <c r="C24" s="2">
        <v>9041</v>
      </c>
      <c r="D24" s="2">
        <v>20.3</v>
      </c>
      <c r="E24" s="3">
        <f t="shared" si="0"/>
        <v>-2.2051103197149452E-4</v>
      </c>
      <c r="F24" s="4">
        <f t="shared" si="1"/>
        <v>746.47750787473888</v>
      </c>
    </row>
    <row r="25" spans="1:7">
      <c r="A25" s="7">
        <v>43018</v>
      </c>
      <c r="B25" s="9">
        <v>0.33333333333333331</v>
      </c>
      <c r="C25" s="2">
        <v>9029.7999999999993</v>
      </c>
      <c r="D25" s="2">
        <v>20.2</v>
      </c>
      <c r="E25" s="3">
        <f t="shared" si="0"/>
        <v>4.5506879647074991E-4</v>
      </c>
      <c r="F25" s="4">
        <f t="shared" si="1"/>
        <v>746.54641701724006</v>
      </c>
    </row>
    <row r="26" spans="1:7">
      <c r="A26" s="7">
        <v>43230</v>
      </c>
      <c r="B26" s="9">
        <v>0.33333333333333331</v>
      </c>
      <c r="C26" s="2">
        <v>8946.4</v>
      </c>
      <c r="D26" s="2">
        <v>13.2</v>
      </c>
      <c r="E26" s="3">
        <f t="shared" si="0"/>
        <v>-7.7686230129474579E-4</v>
      </c>
      <c r="F26" s="4">
        <f t="shared" si="1"/>
        <v>746.42076004526791</v>
      </c>
    </row>
    <row r="27" spans="1:7">
      <c r="A27" s="7">
        <v>43240</v>
      </c>
      <c r="B27" s="9">
        <v>0.33333333333333331</v>
      </c>
      <c r="C27" s="2">
        <v>8932.7999999999993</v>
      </c>
      <c r="D27" s="2">
        <v>13.6</v>
      </c>
      <c r="E27" s="3">
        <f>($B$2*C27^2+$B$3*C27+$B$4)-$B$5*D27-$E$7</f>
        <v>5.6752909136264726E-4</v>
      </c>
      <c r="F27" s="4">
        <f t="shared" si="1"/>
        <v>746.55788796731895</v>
      </c>
    </row>
    <row r="28" spans="1:7">
      <c r="A28" s="7">
        <v>43250</v>
      </c>
      <c r="B28" s="9">
        <v>0.33333333333333331</v>
      </c>
      <c r="C28" s="2">
        <v>8926.2999999999993</v>
      </c>
      <c r="D28" s="2">
        <v>12.5</v>
      </c>
      <c r="E28" s="3">
        <f>($B$2*C28^2+$B$3*C28+$B$4)-$B$5*D28-$E$7</f>
        <v>-8.3523915173650681E-5</v>
      </c>
      <c r="F28" s="4">
        <f t="shared" si="1"/>
        <v>746.49148056065223</v>
      </c>
    </row>
    <row r="29" spans="1:7">
      <c r="A29" s="7">
        <v>43261</v>
      </c>
      <c r="B29" s="1">
        <v>0.33333333333333331</v>
      </c>
      <c r="C29" s="2">
        <v>8932.7000000000007</v>
      </c>
      <c r="D29" s="2">
        <v>12.1</v>
      </c>
      <c r="E29" s="3"/>
      <c r="F29" s="4"/>
    </row>
    <row r="30" spans="1:7">
      <c r="A30" s="7">
        <v>43271</v>
      </c>
      <c r="B30" s="1">
        <v>0.33333333333333331</v>
      </c>
      <c r="C30" s="2">
        <v>8929.7999999999993</v>
      </c>
      <c r="D30" s="2">
        <v>11.5</v>
      </c>
    </row>
    <row r="31" spans="1:7">
      <c r="A31" s="7">
        <v>43281</v>
      </c>
      <c r="B31" s="1">
        <v>0.33333333333333331</v>
      </c>
      <c r="C31" s="2">
        <v>8921.7999999999993</v>
      </c>
      <c r="D31" s="2">
        <v>11.5</v>
      </c>
    </row>
    <row r="32" spans="1:7">
      <c r="A32" s="7">
        <v>43291</v>
      </c>
      <c r="B32" s="1">
        <v>0.33333333333333331</v>
      </c>
      <c r="C32" s="2">
        <v>8907.9</v>
      </c>
      <c r="D32" s="2">
        <v>11.2</v>
      </c>
    </row>
    <row r="33" spans="1:4">
      <c r="A33" s="7">
        <v>43301</v>
      </c>
      <c r="B33" s="1">
        <v>0.33333333333333331</v>
      </c>
      <c r="C33" s="2">
        <v>8920.4</v>
      </c>
      <c r="D33" s="2">
        <v>11</v>
      </c>
    </row>
    <row r="34" spans="1:4">
      <c r="A34" s="7">
        <v>43311</v>
      </c>
      <c r="B34" s="1">
        <v>0.33333333333333331</v>
      </c>
      <c r="C34" s="2">
        <v>8907.2999999999993</v>
      </c>
      <c r="D34" s="2">
        <v>10.7</v>
      </c>
    </row>
    <row r="35" spans="1:4">
      <c r="A35" s="7">
        <v>43322</v>
      </c>
      <c r="B35" s="1">
        <v>0.33333333333333331</v>
      </c>
      <c r="C35" s="2">
        <v>8902.9</v>
      </c>
      <c r="D35" s="2">
        <v>10.6</v>
      </c>
    </row>
    <row r="36" spans="1:4">
      <c r="A36" s="7">
        <v>43332</v>
      </c>
      <c r="B36" s="1">
        <v>0.33333333333333331</v>
      </c>
      <c r="C36" s="2">
        <v>8908.7000000000007</v>
      </c>
      <c r="D36" s="2">
        <v>10.6</v>
      </c>
    </row>
    <row r="37" spans="1:4">
      <c r="A37" s="7">
        <v>43342</v>
      </c>
      <c r="B37" s="1">
        <v>0.33333333333333331</v>
      </c>
      <c r="C37" s="2">
        <v>8910.2000000000007</v>
      </c>
      <c r="D37" s="2">
        <v>10.9</v>
      </c>
    </row>
    <row r="38" spans="1:4">
      <c r="A38" s="7">
        <v>43353</v>
      </c>
      <c r="B38" s="1">
        <v>0.33333333333333331</v>
      </c>
      <c r="C38" s="2">
        <v>8914.5</v>
      </c>
      <c r="D38" s="2">
        <v>11.6</v>
      </c>
    </row>
    <row r="39" spans="1:4">
      <c r="A39" s="7">
        <v>43363</v>
      </c>
      <c r="B39" s="1">
        <v>0.33333333333333331</v>
      </c>
      <c r="C39" s="2">
        <v>8900.9</v>
      </c>
      <c r="D39" s="2">
        <v>11</v>
      </c>
    </row>
    <row r="40" spans="1:4">
      <c r="A40" s="7">
        <v>43373</v>
      </c>
      <c r="B40" s="1">
        <v>0.33333333333333331</v>
      </c>
      <c r="C40" s="2">
        <v>8910.4</v>
      </c>
      <c r="D40" s="2">
        <v>10.8</v>
      </c>
    </row>
    <row r="41" spans="1:4">
      <c r="A41" s="7">
        <v>43383</v>
      </c>
      <c r="B41" s="1">
        <v>0.33333333333333331</v>
      </c>
      <c r="C41" s="2">
        <v>8914.2000000000007</v>
      </c>
      <c r="D41" s="2">
        <v>10.4</v>
      </c>
    </row>
    <row r="42" spans="1:4">
      <c r="A42" s="7">
        <v>43393</v>
      </c>
      <c r="B42" s="1">
        <v>0.33333333333333331</v>
      </c>
      <c r="C42" s="2">
        <v>8917.6</v>
      </c>
      <c r="D42" s="2">
        <v>10.1</v>
      </c>
    </row>
    <row r="43" spans="1:4">
      <c r="A43" s="32">
        <v>43605</v>
      </c>
      <c r="B43" s="1">
        <v>0.33333333333333331</v>
      </c>
      <c r="C43" s="2">
        <v>8947.7000000000007</v>
      </c>
      <c r="D43" s="2">
        <v>9.3000000000000007</v>
      </c>
    </row>
    <row r="44" spans="1:4">
      <c r="A44" s="32">
        <v>43615</v>
      </c>
      <c r="B44" s="1">
        <v>0.33333333333333331</v>
      </c>
      <c r="C44" s="2">
        <v>8952.7000000000007</v>
      </c>
      <c r="D44" s="2">
        <v>9.5</v>
      </c>
    </row>
    <row r="45" spans="1:4">
      <c r="A45" s="32">
        <v>43626</v>
      </c>
      <c r="B45" s="1">
        <v>0.33333333333333331</v>
      </c>
      <c r="C45" s="2">
        <v>8955.6</v>
      </c>
      <c r="D45" s="2">
        <v>9.5</v>
      </c>
    </row>
    <row r="46" spans="1:4">
      <c r="A46" s="32">
        <v>43636</v>
      </c>
      <c r="B46" s="1">
        <v>0.33333333333333331</v>
      </c>
      <c r="C46" s="2">
        <v>8961.4</v>
      </c>
      <c r="D46" s="2">
        <v>9.6999999999999993</v>
      </c>
    </row>
    <row r="47" spans="1:4">
      <c r="A47" s="7">
        <v>43646</v>
      </c>
      <c r="B47" s="1">
        <v>0.33333333333333331</v>
      </c>
      <c r="C47" s="2">
        <v>8950.7999999999993</v>
      </c>
      <c r="D47" s="2">
        <v>9.1999999999999993</v>
      </c>
    </row>
    <row r="48" spans="1:4">
      <c r="A48" s="7">
        <v>43656</v>
      </c>
      <c r="B48" s="1">
        <v>0.33333333333333331</v>
      </c>
      <c r="C48" s="2">
        <v>8945.2000000000007</v>
      </c>
      <c r="D48" s="2">
        <v>8.8000000000000007</v>
      </c>
    </row>
    <row r="49" spans="1:4">
      <c r="A49" s="7">
        <v>43666</v>
      </c>
      <c r="B49" s="1">
        <v>0.33333333333333331</v>
      </c>
      <c r="C49" s="2">
        <v>8927.5</v>
      </c>
      <c r="D49" s="2">
        <v>8.3000000000000007</v>
      </c>
    </row>
    <row r="50" spans="1:4">
      <c r="A50" s="7">
        <v>43676</v>
      </c>
      <c r="B50" s="1">
        <v>0.33333333333333331</v>
      </c>
      <c r="C50" s="2">
        <v>8901.2000000000007</v>
      </c>
      <c r="D50" s="2">
        <v>8</v>
      </c>
    </row>
    <row r="51" spans="1:4">
      <c r="A51" s="7">
        <v>43687</v>
      </c>
      <c r="B51" s="1">
        <v>0.33333333333333331</v>
      </c>
      <c r="C51" s="2">
        <v>8887.4</v>
      </c>
      <c r="D51" s="2">
        <v>7.7</v>
      </c>
    </row>
    <row r="52" spans="1:4">
      <c r="A52" s="7">
        <v>43697</v>
      </c>
      <c r="B52" s="1">
        <v>0.33333333333333331</v>
      </c>
      <c r="C52" s="2">
        <v>8875.2999999999993</v>
      </c>
      <c r="D52" s="2">
        <v>7.7</v>
      </c>
    </row>
    <row r="53" spans="1:4">
      <c r="A53" s="7">
        <v>43707</v>
      </c>
      <c r="B53" s="1">
        <v>0.33333333333333331</v>
      </c>
      <c r="C53" s="2">
        <v>8863.2999999999993</v>
      </c>
      <c r="D53" s="2">
        <v>7.5</v>
      </c>
    </row>
  </sheetData>
  <phoneticPr fontId="5" type="noConversion"/>
  <pageMargins left="0.69930555555555596" right="0.69930555555555596" top="0.75" bottom="0.75" header="0.3" footer="0.3"/>
  <drawing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7"/>
  <sheetViews>
    <sheetView topLeftCell="A34" workbookViewId="0">
      <selection activeCell="F59" sqref="F59"/>
    </sheetView>
  </sheetViews>
  <sheetFormatPr defaultColWidth="9" defaultRowHeight="13.5"/>
  <cols>
    <col min="1" max="1" width="11.625" bestFit="1" customWidth="1"/>
    <col min="2" max="2" width="13.875" customWidth="1"/>
  </cols>
  <sheetData>
    <row r="1" spans="1:7">
      <c r="A1" t="s">
        <v>0</v>
      </c>
      <c r="B1">
        <v>50357</v>
      </c>
      <c r="C1" t="s">
        <v>1</v>
      </c>
      <c r="D1">
        <v>740.5</v>
      </c>
    </row>
    <row r="2" spans="1:7">
      <c r="A2" t="s">
        <v>2</v>
      </c>
      <c r="B2" s="10">
        <v>9.2735400000000004E-10</v>
      </c>
    </row>
    <row r="3" spans="1:7">
      <c r="A3" t="s">
        <v>3</v>
      </c>
      <c r="B3">
        <v>-1.0094600000000001E-4</v>
      </c>
    </row>
    <row r="4" spans="1:7">
      <c r="A4" t="s">
        <v>4</v>
      </c>
      <c r="B4">
        <v>0.81362055</v>
      </c>
    </row>
    <row r="5" spans="1:7">
      <c r="A5" t="s">
        <v>5</v>
      </c>
      <c r="B5">
        <v>-1.136672E-3</v>
      </c>
    </row>
    <row r="6" spans="1:7">
      <c r="A6" t="s">
        <v>6</v>
      </c>
      <c r="B6" t="s">
        <v>7</v>
      </c>
      <c r="C6" t="s">
        <v>8</v>
      </c>
      <c r="D6" t="s">
        <v>9</v>
      </c>
      <c r="E6" t="s">
        <v>10</v>
      </c>
      <c r="F6" t="s">
        <v>11</v>
      </c>
      <c r="G6" t="s">
        <v>12</v>
      </c>
    </row>
    <row r="7" spans="1:7">
      <c r="A7" s="7">
        <v>42865</v>
      </c>
      <c r="B7" s="1">
        <v>0.58333333333333337</v>
      </c>
      <c r="C7" s="2">
        <v>8798.5</v>
      </c>
      <c r="D7" s="2">
        <v>22.4</v>
      </c>
      <c r="E7" s="3">
        <f>($B$2*C7^2+$B$3*C7+$B$4)-$B$5*D7</f>
        <v>2.2698435500946405E-2</v>
      </c>
      <c r="G7" t="s">
        <v>13</v>
      </c>
    </row>
    <row r="8" spans="1:7">
      <c r="A8" s="7">
        <v>42865</v>
      </c>
      <c r="B8" s="1">
        <v>0.66666666666666663</v>
      </c>
      <c r="C8" s="2">
        <v>8701.6</v>
      </c>
      <c r="D8" s="2">
        <v>14.2</v>
      </c>
      <c r="E8" s="3">
        <f>($B$2*C8^2+$B$3*C8+$B$4)-$B$5*D8-$E$7</f>
        <v>-1.1116125315602937E-3</v>
      </c>
      <c r="F8" s="4">
        <f>$D$1+102*E8</f>
        <v>740.38661552178087</v>
      </c>
      <c r="G8" t="s">
        <v>14</v>
      </c>
    </row>
    <row r="9" spans="1:7">
      <c r="A9" s="7">
        <v>42866</v>
      </c>
      <c r="B9" s="1">
        <v>0.33333333333333331</v>
      </c>
      <c r="C9" s="2">
        <v>8695.1</v>
      </c>
      <c r="D9" s="2">
        <v>13.9</v>
      </c>
      <c r="E9" s="3">
        <f t="shared" ref="E9:E30" si="0">($B$2*C9^2+$B$3*C9+$B$4)-$B$5*D9-$E$7</f>
        <v>-9.0132897721696345E-4</v>
      </c>
      <c r="F9" s="4">
        <f t="shared" ref="F9:F34" si="1">$D$1+102*E9</f>
        <v>740.40806444432383</v>
      </c>
    </row>
    <row r="10" spans="1:7">
      <c r="A10" s="7">
        <v>42867</v>
      </c>
      <c r="B10" s="1">
        <v>0.33333333333333331</v>
      </c>
      <c r="C10" s="2">
        <v>8656.9</v>
      </c>
      <c r="D10" s="2">
        <v>11.1</v>
      </c>
      <c r="E10" s="3">
        <f t="shared" si="0"/>
        <v>-8.4256663764247994E-4</v>
      </c>
      <c r="F10" s="4">
        <f t="shared" si="1"/>
        <v>740.41405820296052</v>
      </c>
    </row>
    <row r="11" spans="1:7">
      <c r="A11" s="7">
        <v>42868</v>
      </c>
      <c r="B11" s="1">
        <v>0.33333333333333331</v>
      </c>
      <c r="C11" s="2">
        <v>8641.2999999999993</v>
      </c>
      <c r="D11" s="2">
        <v>10.6</v>
      </c>
      <c r="E11" s="3">
        <f t="shared" si="0"/>
        <v>-8.6393295062152375E-5</v>
      </c>
      <c r="F11" s="4">
        <f t="shared" si="1"/>
        <v>740.49118788390365</v>
      </c>
    </row>
    <row r="12" spans="1:7">
      <c r="A12" s="7">
        <v>42869</v>
      </c>
      <c r="B12" s="1">
        <v>0.33333333333333331</v>
      </c>
      <c r="C12" s="2">
        <v>8621.4</v>
      </c>
      <c r="D12" s="2">
        <v>10</v>
      </c>
      <c r="E12" s="3">
        <f t="shared" si="0"/>
        <v>9.218570904114369E-4</v>
      </c>
      <c r="F12" s="4">
        <f t="shared" si="1"/>
        <v>740.59402942322197</v>
      </c>
    </row>
    <row r="13" spans="1:7">
      <c r="A13" s="7">
        <v>42870</v>
      </c>
      <c r="B13" s="1">
        <v>0.33333333333333331</v>
      </c>
      <c r="C13" s="2">
        <v>8623.7000000000007</v>
      </c>
      <c r="D13" s="2">
        <v>9.5</v>
      </c>
      <c r="E13" s="3">
        <f t="shared" si="0"/>
        <v>1.5812760908175127E-4</v>
      </c>
      <c r="F13" s="4">
        <f t="shared" si="1"/>
        <v>740.51612901612634</v>
      </c>
    </row>
    <row r="14" spans="1:7">
      <c r="A14" s="7">
        <v>42871</v>
      </c>
      <c r="B14" s="1">
        <v>0.33333333333333331</v>
      </c>
      <c r="C14" s="2">
        <v>8625.4</v>
      </c>
      <c r="D14" s="2">
        <v>9.1999999999999993</v>
      </c>
      <c r="E14" s="3">
        <f t="shared" si="0"/>
        <v>-3.2728895371984812E-4</v>
      </c>
      <c r="F14" s="4">
        <f t="shared" si="1"/>
        <v>740.4666165267206</v>
      </c>
    </row>
    <row r="15" spans="1:7">
      <c r="A15" s="7">
        <v>42875</v>
      </c>
      <c r="B15" s="1">
        <v>0.33333333333333331</v>
      </c>
      <c r="C15" s="2">
        <v>8603</v>
      </c>
      <c r="D15" s="2">
        <v>8.5</v>
      </c>
      <c r="E15" s="3">
        <f t="shared" si="0"/>
        <v>7.8035015163948132E-4</v>
      </c>
      <c r="F15" s="4">
        <f t="shared" si="1"/>
        <v>740.57959571546724</v>
      </c>
    </row>
    <row r="16" spans="1:7">
      <c r="A16" s="7">
        <v>42885</v>
      </c>
      <c r="B16" s="1">
        <v>0.33333333333333331</v>
      </c>
      <c r="C16" s="2">
        <v>8622.1</v>
      </c>
      <c r="D16" s="2">
        <v>8.9</v>
      </c>
      <c r="E16" s="3">
        <f t="shared" si="0"/>
        <v>-3.8795072949924722E-4</v>
      </c>
      <c r="F16" s="4">
        <f t="shared" si="1"/>
        <v>740.46042902559111</v>
      </c>
    </row>
    <row r="17" spans="1:7">
      <c r="A17" s="7">
        <v>42896</v>
      </c>
      <c r="B17" s="1">
        <v>0.33333333333333331</v>
      </c>
      <c r="C17" s="2">
        <v>8618.2999999999993</v>
      </c>
      <c r="D17" s="2">
        <v>9.1999999999999993</v>
      </c>
      <c r="E17" s="3">
        <f t="shared" si="0"/>
        <v>2.758914456747058E-4</v>
      </c>
      <c r="F17" s="4">
        <f t="shared" si="1"/>
        <v>740.52814092745882</v>
      </c>
    </row>
    <row r="18" spans="1:7">
      <c r="A18" s="7">
        <v>42906</v>
      </c>
      <c r="B18" s="1">
        <v>0.33333333333333331</v>
      </c>
      <c r="C18" s="2">
        <v>8630.9</v>
      </c>
      <c r="D18" s="2">
        <v>10</v>
      </c>
      <c r="E18" s="3">
        <f t="shared" si="0"/>
        <v>1.1486048984627947E-4</v>
      </c>
      <c r="F18" s="4">
        <f t="shared" si="1"/>
        <v>740.51171576996433</v>
      </c>
    </row>
    <row r="19" spans="1:7">
      <c r="A19" s="7">
        <v>42916</v>
      </c>
      <c r="B19" s="1">
        <v>0.33333333333333331</v>
      </c>
      <c r="C19" s="2">
        <v>8643</v>
      </c>
      <c r="D19" s="2">
        <v>10.7</v>
      </c>
      <c r="E19" s="3">
        <f t="shared" si="0"/>
        <v>-1.1708556500044515E-4</v>
      </c>
      <c r="F19" s="4">
        <f t="shared" si="1"/>
        <v>740.48805727236993</v>
      </c>
      <c r="G19" s="2"/>
    </row>
    <row r="20" spans="1:7">
      <c r="A20" s="7">
        <v>42926</v>
      </c>
      <c r="B20" s="1">
        <v>0.33333333333333331</v>
      </c>
      <c r="C20" s="2">
        <v>8659.7000000000007</v>
      </c>
      <c r="D20" s="2">
        <v>11.2</v>
      </c>
      <c r="E20" s="3">
        <f t="shared" si="0"/>
        <v>-9.665841064686008E-4</v>
      </c>
      <c r="F20" s="4">
        <f t="shared" si="1"/>
        <v>740.40140842114022</v>
      </c>
      <c r="G20" s="2"/>
    </row>
    <row r="21" spans="1:7">
      <c r="A21" s="7">
        <v>42936</v>
      </c>
      <c r="B21" s="1">
        <v>0.33333333333333331</v>
      </c>
      <c r="C21" s="2">
        <v>8647.2000000000007</v>
      </c>
      <c r="D21" s="2">
        <v>11.3</v>
      </c>
      <c r="E21" s="3">
        <f t="shared" si="0"/>
        <v>2.0828780674887054E-4</v>
      </c>
      <c r="F21" s="4">
        <f t="shared" si="1"/>
        <v>740.52124535628843</v>
      </c>
      <c r="G21" s="2"/>
    </row>
    <row r="22" spans="1:7">
      <c r="A22" s="7">
        <v>42946</v>
      </c>
      <c r="B22" s="1">
        <v>0.33333333333333331</v>
      </c>
      <c r="C22" s="2">
        <v>8652.6</v>
      </c>
      <c r="D22" s="2">
        <v>11.4</v>
      </c>
      <c r="E22" s="3">
        <f t="shared" si="0"/>
        <v>-1.3652098411348276E-4</v>
      </c>
      <c r="F22" s="4">
        <f t="shared" si="1"/>
        <v>740.48607485962043</v>
      </c>
    </row>
    <row r="23" spans="1:7">
      <c r="A23" s="7">
        <v>42957</v>
      </c>
      <c r="B23" s="1">
        <v>0.33333333333333331</v>
      </c>
      <c r="C23" s="2">
        <v>8647.7999999999993</v>
      </c>
      <c r="D23" s="2">
        <v>11.5</v>
      </c>
      <c r="E23" s="3">
        <f t="shared" si="0"/>
        <v>3.8467775920692296E-4</v>
      </c>
      <c r="F23" s="4">
        <f t="shared" si="1"/>
        <v>740.53923713143911</v>
      </c>
    </row>
    <row r="24" spans="1:7">
      <c r="A24" s="6">
        <v>42967</v>
      </c>
      <c r="B24" s="1">
        <v>0.33333333333333331</v>
      </c>
      <c r="C24" s="2">
        <v>8641.6</v>
      </c>
      <c r="D24" s="2">
        <v>11.5</v>
      </c>
      <c r="E24" s="3">
        <f t="shared" si="0"/>
        <v>9.1113591487168924E-4</v>
      </c>
      <c r="F24" s="4">
        <f t="shared" si="1"/>
        <v>740.59293586331694</v>
      </c>
    </row>
    <row r="25" spans="1:7">
      <c r="A25" s="7">
        <v>42977</v>
      </c>
      <c r="B25" s="9">
        <v>0.33333333333333331</v>
      </c>
      <c r="C25" s="2">
        <v>8654.4</v>
      </c>
      <c r="D25" s="2">
        <v>11.6</v>
      </c>
      <c r="E25" s="3">
        <f t="shared" si="0"/>
        <v>-6.1999895893005696E-5</v>
      </c>
      <c r="F25" s="4">
        <f t="shared" si="1"/>
        <v>740.49367601061897</v>
      </c>
    </row>
    <row r="26" spans="1:7">
      <c r="A26" s="7">
        <v>42988</v>
      </c>
      <c r="B26" s="9">
        <v>0.33333333333333331</v>
      </c>
      <c r="C26" s="2">
        <v>8641.6</v>
      </c>
      <c r="D26" s="2">
        <v>11.5</v>
      </c>
      <c r="E26" s="3">
        <f t="shared" si="0"/>
        <v>9.1113591487168924E-4</v>
      </c>
      <c r="F26" s="4">
        <f t="shared" si="1"/>
        <v>740.59293586331694</v>
      </c>
    </row>
    <row r="27" spans="1:7">
      <c r="A27" s="7">
        <v>42998</v>
      </c>
      <c r="B27" s="9">
        <v>0.33333333333333331</v>
      </c>
      <c r="C27" s="2">
        <v>8660</v>
      </c>
      <c r="D27" s="2">
        <v>11.8</v>
      </c>
      <c r="E27" s="3">
        <f t="shared" si="0"/>
        <v>-3.1004625854641477E-4</v>
      </c>
      <c r="F27" s="4">
        <f t="shared" si="1"/>
        <v>740.46837528162825</v>
      </c>
    </row>
    <row r="28" spans="1:7">
      <c r="A28" s="7">
        <v>43008</v>
      </c>
      <c r="B28" s="9">
        <v>0.33333333333333331</v>
      </c>
      <c r="C28" s="2">
        <v>8660.9</v>
      </c>
      <c r="D28" s="2">
        <v>11.9</v>
      </c>
      <c r="E28" s="3">
        <f t="shared" si="0"/>
        <v>-2.7277411323767264E-4</v>
      </c>
      <c r="F28" s="4">
        <f t="shared" si="1"/>
        <v>740.47217704044976</v>
      </c>
    </row>
    <row r="29" spans="1:7">
      <c r="A29" s="7">
        <v>43018</v>
      </c>
      <c r="B29" s="1">
        <v>0.33333333333333331</v>
      </c>
      <c r="C29" s="2">
        <v>8653.2999999999993</v>
      </c>
      <c r="D29" s="2">
        <v>12</v>
      </c>
      <c r="E29" s="3">
        <f t="shared" si="0"/>
        <v>4.8605410279861649E-4</v>
      </c>
      <c r="F29" s="4">
        <f t="shared" si="1"/>
        <v>740.54957751848542</v>
      </c>
    </row>
    <row r="30" spans="1:7">
      <c r="A30" s="7">
        <v>43230</v>
      </c>
      <c r="B30" s="1">
        <v>0.33333333333333331</v>
      </c>
      <c r="C30" s="2">
        <v>8675.9</v>
      </c>
      <c r="D30" s="2">
        <v>13.2</v>
      </c>
      <c r="E30" s="3">
        <f t="shared" si="0"/>
        <v>-6.813025082969687E-5</v>
      </c>
      <c r="F30" s="4">
        <f t="shared" si="1"/>
        <v>740.4930507144154</v>
      </c>
    </row>
    <row r="31" spans="1:7">
      <c r="A31" s="7">
        <v>43240</v>
      </c>
      <c r="B31" s="1">
        <v>0.33333333333333331</v>
      </c>
      <c r="C31" s="2">
        <v>8667.4</v>
      </c>
      <c r="D31" s="2">
        <v>13.9</v>
      </c>
      <c r="E31" s="3">
        <f>($B$2*C31^2+$B$3*C31+$B$4)-$B$5*D31-$E$7</f>
        <v>1.448872430830684E-3</v>
      </c>
      <c r="F31" s="4">
        <f t="shared" si="1"/>
        <v>740.64778498794476</v>
      </c>
    </row>
    <row r="32" spans="1:7">
      <c r="A32" s="7">
        <v>43250</v>
      </c>
      <c r="B32" s="1">
        <v>0.33333333333333331</v>
      </c>
      <c r="C32" s="2">
        <v>8665.2000000000007</v>
      </c>
      <c r="D32" s="2">
        <v>12.9</v>
      </c>
      <c r="E32" s="3">
        <f>($B$2*C32^2+$B$3*C32+$B$4)-$B$5*D32-$E$7</f>
        <v>4.9892002776163666E-4</v>
      </c>
      <c r="F32" s="4">
        <f t="shared" si="1"/>
        <v>740.55088984283168</v>
      </c>
    </row>
    <row r="33" spans="1:6">
      <c r="A33" s="7">
        <v>43261</v>
      </c>
      <c r="B33" s="1">
        <v>0.33333333333333331</v>
      </c>
      <c r="C33" s="2">
        <v>8674.6</v>
      </c>
      <c r="D33" s="2">
        <v>12.9</v>
      </c>
      <c r="E33" s="3">
        <f>($B$2*C33^2+$B$3*C33+$B$4)-$B$5*D33-$E$7</f>
        <v>-2.988191230798333E-4</v>
      </c>
      <c r="F33" s="4">
        <f t="shared" si="1"/>
        <v>740.46952044944589</v>
      </c>
    </row>
    <row r="34" spans="1:6">
      <c r="A34" s="7">
        <v>43271</v>
      </c>
      <c r="B34" s="1">
        <v>0.33333333333333331</v>
      </c>
      <c r="C34" s="2">
        <v>8675.2000000000007</v>
      </c>
      <c r="D34" s="2">
        <v>12.7</v>
      </c>
      <c r="E34" s="3">
        <f>($B$2*C34^2+$B$3*C34+$B$4)-$B$5*D34-$E$7</f>
        <v>-5.7706747922237761E-4</v>
      </c>
      <c r="F34" s="4">
        <f t="shared" si="1"/>
        <v>740.44113911711929</v>
      </c>
    </row>
    <row r="35" spans="1:6">
      <c r="A35" s="7">
        <v>43281</v>
      </c>
      <c r="B35" s="1">
        <v>0.33333333333333331</v>
      </c>
      <c r="C35" s="2">
        <v>8670.4</v>
      </c>
      <c r="D35" s="2">
        <v>12.8</v>
      </c>
      <c r="E35" s="3">
        <f t="shared" ref="E35:E57" si="2">($B$2*C35^2+$B$3*C35+$B$4)-$B$5*D35-$E$7</f>
        <v>-5.6069934625872092E-5</v>
      </c>
      <c r="F35" s="4">
        <f t="shared" ref="F35:F57" si="3">$D$1+102*E35</f>
        <v>740.49428086666819</v>
      </c>
    </row>
    <row r="36" spans="1:6">
      <c r="A36" s="7">
        <v>43291</v>
      </c>
      <c r="B36" s="1">
        <v>0.33333333333333331</v>
      </c>
      <c r="C36" s="2">
        <v>8659.9</v>
      </c>
      <c r="D36" s="2">
        <v>12.6</v>
      </c>
      <c r="E36" s="3">
        <f t="shared" si="2"/>
        <v>6.0777977359910071E-4</v>
      </c>
      <c r="F36" s="4">
        <f t="shared" si="3"/>
        <v>740.56199353690715</v>
      </c>
    </row>
    <row r="37" spans="1:6">
      <c r="A37" s="7">
        <v>43301</v>
      </c>
      <c r="B37" s="1">
        <v>0.33333333333333331</v>
      </c>
      <c r="C37" s="2">
        <v>8670.6</v>
      </c>
      <c r="D37" s="2">
        <v>12.5</v>
      </c>
      <c r="E37" s="3">
        <f t="shared" si="2"/>
        <v>-4.1404448548310394E-4</v>
      </c>
      <c r="F37" s="4">
        <f t="shared" si="3"/>
        <v>740.45776746248077</v>
      </c>
    </row>
    <row r="38" spans="1:6">
      <c r="A38" s="7">
        <v>43311</v>
      </c>
      <c r="B38" s="1">
        <v>0.33333333333333331</v>
      </c>
      <c r="C38" s="2">
        <v>8660.7000000000007</v>
      </c>
      <c r="D38" s="2">
        <v>12.3</v>
      </c>
      <c r="E38" s="3">
        <f t="shared" si="2"/>
        <v>1.9887123575301757E-4</v>
      </c>
      <c r="F38" s="4">
        <f t="shared" si="3"/>
        <v>740.52028486604684</v>
      </c>
    </row>
    <row r="39" spans="1:6">
      <c r="A39" s="7">
        <v>43322</v>
      </c>
      <c r="B39" s="1">
        <v>0.33333333333333331</v>
      </c>
      <c r="C39" s="2">
        <v>8656.4</v>
      </c>
      <c r="D39" s="2">
        <v>12.1</v>
      </c>
      <c r="E39" s="3">
        <f t="shared" si="2"/>
        <v>3.3655058335346766E-4</v>
      </c>
      <c r="F39" s="4">
        <f t="shared" si="3"/>
        <v>740.53432815950202</v>
      </c>
    </row>
    <row r="40" spans="1:6">
      <c r="A40" s="7">
        <v>43332</v>
      </c>
      <c r="B40" s="1">
        <v>0.33333333333333331</v>
      </c>
      <c r="C40" s="2">
        <v>8659.2999999999993</v>
      </c>
      <c r="D40" s="2">
        <v>12</v>
      </c>
      <c r="E40" s="3">
        <f t="shared" si="2"/>
        <v>-2.3292444038924831E-5</v>
      </c>
      <c r="F40" s="4">
        <f t="shared" si="3"/>
        <v>740.49762417070804</v>
      </c>
    </row>
    <row r="41" spans="1:6">
      <c r="A41" s="7">
        <v>43342</v>
      </c>
      <c r="B41" s="1">
        <v>0.33333333333333331</v>
      </c>
      <c r="C41" s="2">
        <v>8658.7000000000007</v>
      </c>
      <c r="D41" s="2">
        <v>12.3</v>
      </c>
      <c r="E41" s="3">
        <f t="shared" si="2"/>
        <v>3.686408060177282E-4</v>
      </c>
      <c r="F41" s="4">
        <f t="shared" si="3"/>
        <v>740.53760136221376</v>
      </c>
    </row>
    <row r="42" spans="1:6">
      <c r="A42" s="7">
        <v>43353</v>
      </c>
      <c r="B42" s="1">
        <v>0.33333333333333331</v>
      </c>
      <c r="C42" s="2">
        <v>8658</v>
      </c>
      <c r="D42" s="2">
        <v>12.5</v>
      </c>
      <c r="E42" s="3">
        <f t="shared" si="2"/>
        <v>6.5539630830957138E-4</v>
      </c>
      <c r="F42" s="4">
        <f t="shared" si="3"/>
        <v>740.56685042344759</v>
      </c>
    </row>
    <row r="43" spans="1:6">
      <c r="A43" s="7">
        <v>43363</v>
      </c>
      <c r="B43" s="1">
        <v>0.33333333333333331</v>
      </c>
      <c r="C43" s="2">
        <v>8643.2999999999993</v>
      </c>
      <c r="D43" s="2">
        <v>11.5</v>
      </c>
      <c r="E43" s="3">
        <f t="shared" si="2"/>
        <v>7.6677739083464216E-4</v>
      </c>
      <c r="F43" s="4">
        <f t="shared" si="3"/>
        <v>740.57821129386514</v>
      </c>
    </row>
    <row r="44" spans="1:6">
      <c r="A44" s="7">
        <v>43373</v>
      </c>
      <c r="B44" s="1">
        <v>0.33333333333333331</v>
      </c>
      <c r="C44" s="2">
        <v>8652</v>
      </c>
      <c r="D44" s="2">
        <v>11.2</v>
      </c>
      <c r="E44" s="3">
        <f t="shared" si="2"/>
        <v>-3.1291627813051157E-4</v>
      </c>
      <c r="F44" s="4">
        <f t="shared" si="3"/>
        <v>740.4680825396307</v>
      </c>
    </row>
    <row r="45" spans="1:6">
      <c r="A45" s="7">
        <v>43383</v>
      </c>
      <c r="B45" s="1">
        <v>0.33333333333333331</v>
      </c>
      <c r="C45" s="2">
        <v>8654.7000000000007</v>
      </c>
      <c r="D45" s="2">
        <v>10.9</v>
      </c>
      <c r="E45" s="3">
        <f t="shared" si="2"/>
        <v>-8.8313859695664937E-4</v>
      </c>
      <c r="F45" s="4">
        <f t="shared" si="3"/>
        <v>740.40991986311042</v>
      </c>
    </row>
    <row r="46" spans="1:6">
      <c r="A46" s="7">
        <v>43393</v>
      </c>
      <c r="B46" s="1">
        <v>0.33333333333333331</v>
      </c>
      <c r="C46" s="2">
        <v>8658.2000000000007</v>
      </c>
      <c r="D46" s="2">
        <v>10.7</v>
      </c>
      <c r="E46" s="3">
        <f t="shared" si="2"/>
        <v>-1.4075908422236313E-3</v>
      </c>
      <c r="F46" s="4">
        <f t="shared" si="3"/>
        <v>740.35642573409314</v>
      </c>
    </row>
    <row r="47" spans="1:6">
      <c r="A47" s="32">
        <v>43605</v>
      </c>
      <c r="B47" s="1">
        <v>0.33333333333333331</v>
      </c>
      <c r="C47" s="2">
        <v>8679.2999999999993</v>
      </c>
      <c r="D47" s="2">
        <v>9.6999999999999993</v>
      </c>
      <c r="E47" s="3">
        <f t="shared" si="2"/>
        <v>-4.3349776427509153E-3</v>
      </c>
      <c r="F47" s="4">
        <f t="shared" si="3"/>
        <v>740.05783228043936</v>
      </c>
    </row>
    <row r="48" spans="1:6">
      <c r="A48" s="32">
        <v>43615</v>
      </c>
      <c r="B48" s="1">
        <v>0.33333333333333331</v>
      </c>
      <c r="C48" s="2">
        <v>8681.4</v>
      </c>
      <c r="D48" s="2">
        <v>9.9</v>
      </c>
      <c r="E48" s="3">
        <f t="shared" si="2"/>
        <v>-4.2858208621165822E-3</v>
      </c>
      <c r="F48" s="4">
        <f t="shared" si="3"/>
        <v>740.06284627206412</v>
      </c>
    </row>
    <row r="49" spans="1:6">
      <c r="A49" s="32">
        <v>43626</v>
      </c>
      <c r="B49" s="1">
        <v>0.33333333333333331</v>
      </c>
      <c r="C49" s="2">
        <v>8683.1</v>
      </c>
      <c r="D49" s="2">
        <v>10.1</v>
      </c>
      <c r="E49" s="3">
        <f t="shared" si="2"/>
        <v>-4.202719496610656E-3</v>
      </c>
      <c r="F49" s="4">
        <f t="shared" si="3"/>
        <v>740.07132261134575</v>
      </c>
    </row>
    <row r="50" spans="1:6">
      <c r="A50" s="32">
        <v>43636</v>
      </c>
      <c r="B50" s="1">
        <v>0.33333333333333331</v>
      </c>
      <c r="C50" s="2">
        <v>8684.9</v>
      </c>
      <c r="D50" s="2">
        <v>10.3</v>
      </c>
      <c r="E50" s="3">
        <f t="shared" si="2"/>
        <v>-4.1280965849208491E-3</v>
      </c>
      <c r="F50" s="4">
        <f t="shared" si="3"/>
        <v>740.07893414833802</v>
      </c>
    </row>
    <row r="51" spans="1:6">
      <c r="A51" s="7">
        <v>43646</v>
      </c>
      <c r="B51" s="1">
        <v>0.33333333333333331</v>
      </c>
      <c r="C51" s="2">
        <v>8678.2999999999993</v>
      </c>
      <c r="D51" s="2">
        <v>10</v>
      </c>
      <c r="E51" s="3">
        <f t="shared" si="2"/>
        <v>-3.9091266825413314E-3</v>
      </c>
      <c r="F51" s="4">
        <f t="shared" si="3"/>
        <v>740.10126907838082</v>
      </c>
    </row>
    <row r="52" spans="1:6">
      <c r="A52" s="7">
        <v>43656</v>
      </c>
      <c r="B52" s="1">
        <v>0.33333333333333331</v>
      </c>
      <c r="C52" s="2">
        <v>8670.1</v>
      </c>
      <c r="D52" s="2">
        <v>9.6999999999999993</v>
      </c>
      <c r="E52" s="3">
        <f t="shared" si="2"/>
        <v>-3.5542935692369666E-3</v>
      </c>
      <c r="F52" s="4">
        <f t="shared" si="3"/>
        <v>740.13746205593782</v>
      </c>
    </row>
    <row r="53" spans="1:6">
      <c r="A53" s="7">
        <v>43666</v>
      </c>
      <c r="B53" s="1">
        <v>0.33333333333333331</v>
      </c>
      <c r="C53" s="2">
        <v>8665.2999999999993</v>
      </c>
      <c r="D53" s="2">
        <v>9.5</v>
      </c>
      <c r="E53" s="3">
        <f t="shared" si="2"/>
        <v>-3.3742522213885268E-3</v>
      </c>
      <c r="F53" s="4">
        <f t="shared" si="3"/>
        <v>740.15582627341837</v>
      </c>
    </row>
    <row r="54" spans="1:6">
      <c r="A54" s="7">
        <v>43676</v>
      </c>
      <c r="B54" s="1">
        <v>0.33333333333333331</v>
      </c>
      <c r="C54" s="2">
        <v>8660.5</v>
      </c>
      <c r="D54" s="2">
        <v>9.4</v>
      </c>
      <c r="E54" s="3">
        <f t="shared" si="2"/>
        <v>-3.0805009410679735E-3</v>
      </c>
      <c r="F54" s="4">
        <f t="shared" si="3"/>
        <v>740.18578890401102</v>
      </c>
    </row>
    <row r="55" spans="1:6">
      <c r="A55" s="7">
        <v>43687</v>
      </c>
      <c r="B55" s="1">
        <v>0.33333333333333331</v>
      </c>
      <c r="C55" s="2">
        <v>8651.9</v>
      </c>
      <c r="D55" s="2">
        <v>9.1999999999999993</v>
      </c>
      <c r="E55" s="3">
        <f t="shared" si="2"/>
        <v>-2.5777703622185538E-3</v>
      </c>
      <c r="F55" s="4">
        <f t="shared" si="3"/>
        <v>740.23706742305376</v>
      </c>
    </row>
    <row r="56" spans="1:6">
      <c r="A56" s="7">
        <v>43697</v>
      </c>
      <c r="B56" s="1">
        <v>0.33333333333333331</v>
      </c>
      <c r="C56" s="2">
        <v>8645.2999999999993</v>
      </c>
      <c r="D56" s="2">
        <v>9.1</v>
      </c>
      <c r="E56" s="3">
        <f t="shared" si="2"/>
        <v>-2.1310621044364625E-3</v>
      </c>
      <c r="F56" s="4">
        <f t="shared" si="3"/>
        <v>740.28263166534748</v>
      </c>
    </row>
    <row r="57" spans="1:6">
      <c r="A57" s="7">
        <v>43707</v>
      </c>
      <c r="B57" s="1">
        <v>0.33333333333333331</v>
      </c>
      <c r="C57" s="2">
        <v>8620.9</v>
      </c>
      <c r="D57" s="2">
        <v>9.1</v>
      </c>
      <c r="E57" s="3">
        <f t="shared" si="2"/>
        <v>-5.8669567525745925E-5</v>
      </c>
      <c r="F57" s="4">
        <f t="shared" si="3"/>
        <v>740.49401570411237</v>
      </c>
    </row>
  </sheetData>
  <phoneticPr fontId="5" type="noConversion"/>
  <pageMargins left="0.69930555555555596" right="0.69930555555555596" top="0.75" bottom="0.75" header="0.3" footer="0.3"/>
  <drawing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7"/>
  <sheetViews>
    <sheetView topLeftCell="A43" workbookViewId="0">
      <selection activeCell="A68" sqref="A68"/>
    </sheetView>
  </sheetViews>
  <sheetFormatPr defaultColWidth="9" defaultRowHeight="13.5"/>
  <cols>
    <col min="1" max="1" width="11.25" customWidth="1"/>
    <col min="2" max="2" width="13.875" customWidth="1"/>
  </cols>
  <sheetData>
    <row r="1" spans="1:7">
      <c r="A1" t="s">
        <v>0</v>
      </c>
      <c r="B1">
        <v>50391</v>
      </c>
      <c r="C1" t="s">
        <v>1</v>
      </c>
      <c r="D1">
        <v>745.5</v>
      </c>
    </row>
    <row r="2" spans="1:7">
      <c r="A2" t="s">
        <v>2</v>
      </c>
      <c r="B2">
        <f>9.9367*10^(-10)</f>
        <v>9.9367000000000015E-10</v>
      </c>
    </row>
    <row r="3" spans="1:7">
      <c r="A3" t="s">
        <v>3</v>
      </c>
      <c r="B3">
        <f>-0.000102912</f>
        <v>-1.0291200000000001E-4</v>
      </c>
    </row>
    <row r="4" spans="1:7">
      <c r="A4" t="s">
        <v>4</v>
      </c>
      <c r="B4">
        <f>0.89127916</f>
        <v>0.89127915999999996</v>
      </c>
    </row>
    <row r="5" spans="1:7">
      <c r="A5" t="s">
        <v>5</v>
      </c>
      <c r="B5">
        <f>-0.001075434</f>
        <v>-1.0754339999999999E-3</v>
      </c>
    </row>
    <row r="6" spans="1:7">
      <c r="A6" t="s">
        <v>6</v>
      </c>
      <c r="B6" t="s">
        <v>7</v>
      </c>
      <c r="C6" t="s">
        <v>8</v>
      </c>
      <c r="D6" t="s">
        <v>9</v>
      </c>
      <c r="E6" t="s">
        <v>10</v>
      </c>
      <c r="F6" t="s">
        <v>11</v>
      </c>
      <c r="G6" t="s">
        <v>12</v>
      </c>
    </row>
    <row r="7" spans="1:7">
      <c r="A7" s="7">
        <v>42548</v>
      </c>
      <c r="B7" s="1">
        <v>0.58333333333333304</v>
      </c>
      <c r="C7" s="2">
        <v>9478</v>
      </c>
      <c r="D7" s="2">
        <v>16</v>
      </c>
      <c r="E7" s="3">
        <f>($B$2*C7^2+$B$3*C7+$B$4)-$B$5*D7</f>
        <v>2.2350012376279867E-2</v>
      </c>
      <c r="G7" t="s">
        <v>13</v>
      </c>
    </row>
    <row r="8" spans="1:7">
      <c r="A8" s="7">
        <v>42553</v>
      </c>
      <c r="B8" s="1">
        <v>0.6875</v>
      </c>
      <c r="C8" s="2">
        <v>9553.7999999999993</v>
      </c>
      <c r="D8" s="2">
        <v>22.7</v>
      </c>
      <c r="E8" s="3">
        <f>($B$2*C8^2+$B$3*C8+$B$4)-$B$5*D8-$E$7</f>
        <v>8.3815691591492339E-4</v>
      </c>
      <c r="F8" s="4">
        <f>$D$1+102*E8</f>
        <v>745.58549200542336</v>
      </c>
      <c r="G8" t="s">
        <v>17</v>
      </c>
    </row>
    <row r="9" spans="1:7">
      <c r="A9" s="7">
        <v>42555</v>
      </c>
      <c r="B9" s="1">
        <v>0.22916666666666699</v>
      </c>
      <c r="C9" s="2">
        <v>9521.9</v>
      </c>
      <c r="D9" s="2">
        <v>19.2</v>
      </c>
      <c r="E9" s="3">
        <f t="shared" ref="E9:E17" si="0">($B$2*C9^2+$B$3*C9+$B$4)-$B$5*D9-$E$7</f>
        <v>-2.4763221521117984E-4</v>
      </c>
      <c r="F9" s="4">
        <f t="shared" ref="F9:F45" si="1">$D$1+102*E9</f>
        <v>745.47474151404845</v>
      </c>
      <c r="G9" t="s">
        <v>14</v>
      </c>
    </row>
    <row r="10" spans="1:7">
      <c r="A10" s="7">
        <v>42556</v>
      </c>
      <c r="B10" s="1">
        <v>0.33333333333333298</v>
      </c>
      <c r="C10" s="2">
        <v>9546.4</v>
      </c>
      <c r="D10" s="2">
        <v>20.3</v>
      </c>
      <c r="E10" s="3">
        <f t="shared" si="0"/>
        <v>-1.121782672516787E-3</v>
      </c>
      <c r="F10" s="4">
        <f t="shared" si="1"/>
        <v>745.38557816740331</v>
      </c>
    </row>
    <row r="11" spans="1:7">
      <c r="A11" s="7">
        <v>42557</v>
      </c>
      <c r="B11" s="1">
        <v>0.33333333333333298</v>
      </c>
      <c r="C11" s="2">
        <v>9557.7999999999993</v>
      </c>
      <c r="D11" s="2">
        <v>23.6</v>
      </c>
      <c r="E11" s="3">
        <f t="shared" si="0"/>
        <v>1.4703620102028692E-3</v>
      </c>
      <c r="F11" s="4">
        <f t="shared" si="1"/>
        <v>745.64997692504073</v>
      </c>
    </row>
    <row r="12" spans="1:7">
      <c r="A12" s="7">
        <v>42558</v>
      </c>
      <c r="B12" s="1">
        <v>0.33333333333333298</v>
      </c>
      <c r="C12" s="2">
        <v>9581.9</v>
      </c>
      <c r="D12" s="2">
        <v>25.3</v>
      </c>
      <c r="E12" s="3">
        <f t="shared" si="0"/>
        <v>1.2767675615488264E-3</v>
      </c>
      <c r="F12" s="4">
        <f t="shared" si="1"/>
        <v>745.63023029127794</v>
      </c>
    </row>
    <row r="13" spans="1:7">
      <c r="A13" s="7">
        <v>42559</v>
      </c>
      <c r="B13" s="1">
        <v>0.33333333333333298</v>
      </c>
      <c r="C13" s="2">
        <v>9585.2999999999993</v>
      </c>
      <c r="D13" s="2">
        <v>25.6</v>
      </c>
      <c r="E13" s="3">
        <f t="shared" si="0"/>
        <v>1.3142529250703694E-3</v>
      </c>
      <c r="F13" s="4">
        <f t="shared" si="1"/>
        <v>745.63405379835717</v>
      </c>
    </row>
    <row r="14" spans="1:7">
      <c r="A14" s="7">
        <v>42560</v>
      </c>
      <c r="B14" s="1">
        <v>0.33333333333333298</v>
      </c>
      <c r="C14" s="2">
        <v>9589.9</v>
      </c>
      <c r="D14" s="2">
        <v>25.8</v>
      </c>
      <c r="E14" s="3">
        <f t="shared" si="0"/>
        <v>1.143592101596716E-3</v>
      </c>
      <c r="F14" s="4">
        <f t="shared" si="1"/>
        <v>745.61664639436287</v>
      </c>
    </row>
    <row r="15" spans="1:7">
      <c r="A15" s="7">
        <v>42561</v>
      </c>
      <c r="B15" s="1">
        <v>0.33333333333333298</v>
      </c>
      <c r="C15" s="2">
        <v>9593.6</v>
      </c>
      <c r="D15" s="2">
        <v>26.1</v>
      </c>
      <c r="E15" s="3">
        <f t="shared" si="0"/>
        <v>1.1559775548431531E-3</v>
      </c>
      <c r="F15" s="4">
        <f t="shared" si="1"/>
        <v>745.61790971059395</v>
      </c>
    </row>
    <row r="16" spans="1:7">
      <c r="A16" s="7">
        <v>42571</v>
      </c>
      <c r="B16" s="1">
        <v>0.33333333333333298</v>
      </c>
      <c r="C16" s="2">
        <v>9553.2999999999993</v>
      </c>
      <c r="D16" s="2">
        <v>22.8</v>
      </c>
      <c r="E16" s="3">
        <f t="shared" si="0"/>
        <v>9.8766323988644378E-4</v>
      </c>
      <c r="F16" s="4">
        <f t="shared" si="1"/>
        <v>745.60074165046842</v>
      </c>
    </row>
    <row r="17" spans="1:7">
      <c r="A17" s="7">
        <v>42581</v>
      </c>
      <c r="B17" s="1">
        <v>0.33333333333333398</v>
      </c>
      <c r="C17" s="2">
        <v>9567.9</v>
      </c>
      <c r="D17" s="2">
        <v>24.4</v>
      </c>
      <c r="E17" s="3">
        <f t="shared" si="0"/>
        <v>1.4832448168247379E-3</v>
      </c>
      <c r="F17" s="4">
        <f t="shared" si="1"/>
        <v>745.65129097131614</v>
      </c>
    </row>
    <row r="18" spans="1:7">
      <c r="A18" s="7">
        <v>42592</v>
      </c>
      <c r="B18" s="1">
        <v>0.33333333333333298</v>
      </c>
      <c r="C18" s="2">
        <v>9563.5</v>
      </c>
      <c r="D18" s="2">
        <v>29</v>
      </c>
      <c r="E18" s="3">
        <f t="shared" ref="E18:E45" si="2">($B$2*C18^2+$B$3*C18+$B$4)-$B$5*D18-$E$7</f>
        <v>6.7994087045774691E-3</v>
      </c>
      <c r="F18" s="4">
        <f t="shared" si="1"/>
        <v>746.19353968786686</v>
      </c>
    </row>
    <row r="19" spans="1:7">
      <c r="A19" s="7">
        <v>42602</v>
      </c>
      <c r="B19" s="1">
        <v>0.33333333333333298</v>
      </c>
      <c r="C19" s="2">
        <v>9537.4</v>
      </c>
      <c r="D19" s="2">
        <v>22.2</v>
      </c>
      <c r="E19" s="3">
        <f t="shared" si="2"/>
        <v>1.6770829315693563E-3</v>
      </c>
      <c r="F19" s="4">
        <f t="shared" si="1"/>
        <v>745.67106245902005</v>
      </c>
      <c r="G19" s="2"/>
    </row>
    <row r="20" spans="1:7">
      <c r="A20" s="7">
        <v>42612</v>
      </c>
      <c r="B20" s="1">
        <v>0.33333333333333298</v>
      </c>
      <c r="C20" s="2">
        <v>9525.9</v>
      </c>
      <c r="D20" s="2">
        <v>21.3</v>
      </c>
      <c r="E20" s="3">
        <f t="shared" si="2"/>
        <v>1.6748400944927647E-3</v>
      </c>
      <c r="F20" s="4">
        <f t="shared" si="1"/>
        <v>745.67083368963824</v>
      </c>
      <c r="G20" s="2"/>
    </row>
    <row r="21" spans="1:7">
      <c r="A21" s="7">
        <v>42623</v>
      </c>
      <c r="B21" s="1">
        <v>0.33333333333333298</v>
      </c>
      <c r="C21" s="2">
        <v>9499.2000000000007</v>
      </c>
      <c r="D21" s="2">
        <v>20.399999999999999</v>
      </c>
      <c r="E21" s="3">
        <f t="shared" si="2"/>
        <v>2.949945175668791E-3</v>
      </c>
      <c r="F21" s="4">
        <f t="shared" si="1"/>
        <v>745.80089440791824</v>
      </c>
      <c r="G21" s="2"/>
    </row>
    <row r="22" spans="1:7">
      <c r="A22" s="6">
        <v>42633</v>
      </c>
      <c r="B22" s="1">
        <v>0.33333333333333331</v>
      </c>
      <c r="C22" s="2">
        <v>9502.9</v>
      </c>
      <c r="D22" s="2">
        <v>19.8</v>
      </c>
      <c r="E22" s="3">
        <f t="shared" si="2"/>
        <v>1.9937730974847051E-3</v>
      </c>
      <c r="F22" s="4">
        <f t="shared" si="1"/>
        <v>745.70336485594339</v>
      </c>
    </row>
    <row r="23" spans="1:7">
      <c r="A23" s="6">
        <v>42643</v>
      </c>
      <c r="B23" s="1">
        <v>0.33333333333333331</v>
      </c>
      <c r="C23" s="2">
        <v>9510.7000000000007</v>
      </c>
      <c r="D23" s="2">
        <v>19.2</v>
      </c>
      <c r="E23" s="3">
        <f t="shared" si="2"/>
        <v>6.9316639999827956E-4</v>
      </c>
      <c r="F23" s="4">
        <f t="shared" si="1"/>
        <v>745.57070297279984</v>
      </c>
    </row>
    <row r="24" spans="1:7">
      <c r="A24" s="7">
        <v>42653</v>
      </c>
      <c r="B24" s="1">
        <v>0.33333333333333331</v>
      </c>
      <c r="C24" s="2">
        <v>9486.2999999999993</v>
      </c>
      <c r="D24" s="2">
        <v>18.100000000000001</v>
      </c>
      <c r="E24" s="3">
        <f t="shared" si="2"/>
        <v>1.5606491246423285E-3</v>
      </c>
      <c r="F24" s="4">
        <f t="shared" si="1"/>
        <v>745.65918621071353</v>
      </c>
    </row>
    <row r="25" spans="1:7">
      <c r="A25" s="7">
        <v>42855</v>
      </c>
      <c r="B25" s="1">
        <v>0.33333333333333331</v>
      </c>
      <c r="C25" s="2">
        <v>9328.7000000000007</v>
      </c>
      <c r="D25" s="2">
        <v>2.6</v>
      </c>
      <c r="E25" s="3">
        <f t="shared" si="2"/>
        <v>-1.8361206808378099E-3</v>
      </c>
      <c r="F25" s="4">
        <f t="shared" si="1"/>
        <v>745.31271569055457</v>
      </c>
    </row>
    <row r="26" spans="1:7">
      <c r="A26" s="7">
        <v>42865</v>
      </c>
      <c r="B26" s="1">
        <v>0.33333333333333331</v>
      </c>
      <c r="C26" s="2">
        <v>9328.2999999999993</v>
      </c>
      <c r="D26" s="2">
        <v>2.9</v>
      </c>
      <c r="E26" s="3">
        <f t="shared" si="2"/>
        <v>-1.4797412413136597E-3</v>
      </c>
      <c r="F26" s="4">
        <f t="shared" si="1"/>
        <v>745.34906639338601</v>
      </c>
    </row>
    <row r="27" spans="1:7">
      <c r="A27" s="7">
        <v>42875</v>
      </c>
      <c r="B27" s="1">
        <v>0.33333333333333331</v>
      </c>
      <c r="C27" s="2">
        <v>9315.5</v>
      </c>
      <c r="D27" s="2">
        <v>3.5</v>
      </c>
      <c r="E27" s="3">
        <f t="shared" si="2"/>
        <v>2.456627139375521E-4</v>
      </c>
      <c r="F27" s="4">
        <f t="shared" si="1"/>
        <v>745.52505759682163</v>
      </c>
    </row>
    <row r="28" spans="1:7">
      <c r="A28" s="7">
        <v>42885</v>
      </c>
      <c r="B28" s="1">
        <v>0.33333333333333331</v>
      </c>
      <c r="C28" s="2">
        <v>9344.4</v>
      </c>
      <c r="D28" s="2">
        <v>4.0999999999999996</v>
      </c>
      <c r="E28" s="3">
        <f t="shared" si="2"/>
        <v>-1.5473761621887135E-3</v>
      </c>
      <c r="F28" s="4">
        <f t="shared" si="1"/>
        <v>745.34216763145673</v>
      </c>
    </row>
    <row r="29" spans="1:7">
      <c r="A29" s="7">
        <v>42896</v>
      </c>
      <c r="B29" s="1">
        <v>0.33333333333333331</v>
      </c>
      <c r="C29" s="2">
        <v>9343.1</v>
      </c>
      <c r="D29" s="2">
        <v>3.3</v>
      </c>
      <c r="E29" s="3">
        <f t="shared" si="2"/>
        <v>-2.2980777327512199E-3</v>
      </c>
      <c r="F29" s="4">
        <f t="shared" si="1"/>
        <v>745.26559607125932</v>
      </c>
    </row>
    <row r="30" spans="1:7">
      <c r="A30" s="7">
        <v>42906</v>
      </c>
      <c r="B30" s="1">
        <v>0.33333333333333331</v>
      </c>
      <c r="C30" s="2">
        <v>9352.5</v>
      </c>
      <c r="D30" s="2">
        <v>5.4</v>
      </c>
      <c r="E30" s="3">
        <f t="shared" si="2"/>
        <v>-8.3241291834247264E-4</v>
      </c>
      <c r="F30" s="4">
        <f t="shared" si="1"/>
        <v>745.41509388232907</v>
      </c>
    </row>
    <row r="31" spans="1:7">
      <c r="A31" s="7">
        <v>42916</v>
      </c>
      <c r="B31" s="1">
        <v>0.33333333333333331</v>
      </c>
      <c r="C31" s="2">
        <v>9360.2999999999993</v>
      </c>
      <c r="D31" s="2">
        <v>6.1</v>
      </c>
      <c r="E31" s="3">
        <f t="shared" si="2"/>
        <v>-7.3728680412964501E-4</v>
      </c>
      <c r="F31" s="4">
        <f t="shared" si="1"/>
        <v>745.42479674597882</v>
      </c>
    </row>
    <row r="32" spans="1:7">
      <c r="A32" s="7">
        <v>42926</v>
      </c>
      <c r="B32" s="1">
        <v>0.33333333333333331</v>
      </c>
      <c r="C32" s="2">
        <v>9385.4</v>
      </c>
      <c r="D32" s="2">
        <v>7</v>
      </c>
      <c r="E32" s="3">
        <f t="shared" si="2"/>
        <v>-1.8849487071827091E-3</v>
      </c>
      <c r="F32" s="4">
        <f t="shared" si="1"/>
        <v>745.30773523186735</v>
      </c>
    </row>
    <row r="33" spans="1:6">
      <c r="A33" s="7">
        <v>42936</v>
      </c>
      <c r="B33" s="1">
        <v>0.33333333333333331</v>
      </c>
      <c r="C33" s="2">
        <v>9379.5</v>
      </c>
      <c r="D33" s="2">
        <v>7.7</v>
      </c>
      <c r="E33" s="3">
        <f t="shared" si="2"/>
        <v>-6.3497620446239036E-4</v>
      </c>
      <c r="F33" s="4">
        <f t="shared" si="1"/>
        <v>745.4352324271448</v>
      </c>
    </row>
    <row r="34" spans="1:6">
      <c r="A34" s="7">
        <v>42946</v>
      </c>
      <c r="B34" s="1">
        <v>0.33333333333333331</v>
      </c>
      <c r="C34" s="2">
        <v>9389.2000000000007</v>
      </c>
      <c r="D34" s="2">
        <v>8.4</v>
      </c>
      <c r="E34" s="3">
        <f t="shared" si="2"/>
        <v>-6.9951483141125412E-4</v>
      </c>
      <c r="F34" s="4">
        <f t="shared" si="1"/>
        <v>745.42864948719603</v>
      </c>
    </row>
    <row r="35" spans="1:6">
      <c r="A35" s="7">
        <v>42977</v>
      </c>
      <c r="B35" s="1">
        <v>0.33333333333333331</v>
      </c>
      <c r="C35" s="2">
        <v>9401.9</v>
      </c>
      <c r="D35" s="2">
        <v>10.7</v>
      </c>
      <c r="E35" s="3">
        <f t="shared" si="2"/>
        <v>7.0413730326884111E-4</v>
      </c>
      <c r="F35" s="4">
        <f t="shared" si="1"/>
        <v>745.57182200493344</v>
      </c>
    </row>
    <row r="36" spans="1:6">
      <c r="A36" s="7">
        <v>42988</v>
      </c>
      <c r="B36" s="1">
        <v>0.33333333333333331</v>
      </c>
      <c r="C36" s="2">
        <v>9400.6</v>
      </c>
      <c r="D36" s="2">
        <v>10.9</v>
      </c>
      <c r="E36" s="3">
        <f t="shared" si="2"/>
        <v>1.0287211790411914E-3</v>
      </c>
      <c r="F36" s="4">
        <f t="shared" si="1"/>
        <v>745.60492956026224</v>
      </c>
    </row>
    <row r="37" spans="1:6">
      <c r="A37" s="7">
        <v>42998</v>
      </c>
      <c r="B37" s="1">
        <v>0.33333333333333331</v>
      </c>
      <c r="C37" s="2">
        <v>9410.4</v>
      </c>
      <c r="D37" s="2">
        <v>10.5</v>
      </c>
      <c r="E37" s="3">
        <f t="shared" si="2"/>
        <v>-2.2680914253283072E-4</v>
      </c>
      <c r="F37" s="4">
        <f t="shared" si="1"/>
        <v>745.47686546746161</v>
      </c>
    </row>
    <row r="38" spans="1:6">
      <c r="A38" s="7">
        <v>43008</v>
      </c>
      <c r="B38" s="1">
        <v>0.33333333333333331</v>
      </c>
      <c r="C38" s="2">
        <v>9414.7999999999993</v>
      </c>
      <c r="D38" s="2">
        <v>10.6</v>
      </c>
      <c r="E38" s="3">
        <f t="shared" si="2"/>
        <v>-4.8977198200304828E-4</v>
      </c>
      <c r="F38" s="4">
        <f t="shared" si="1"/>
        <v>745.45004325783566</v>
      </c>
    </row>
    <row r="39" spans="1:6">
      <c r="A39" s="7">
        <v>43018</v>
      </c>
      <c r="B39" s="1">
        <v>0.33333333333333331</v>
      </c>
      <c r="C39" s="2">
        <v>9406.6</v>
      </c>
      <c r="D39" s="2">
        <v>10.4</v>
      </c>
      <c r="E39" s="3">
        <f t="shared" si="2"/>
        <v>-1.4338918414787821E-5</v>
      </c>
      <c r="F39" s="4">
        <f t="shared" si="1"/>
        <v>745.49853743032168</v>
      </c>
    </row>
    <row r="40" spans="1:6">
      <c r="A40" s="7">
        <v>43230</v>
      </c>
      <c r="B40" s="1">
        <v>0.33333333333333331</v>
      </c>
      <c r="C40" s="2">
        <v>9319.1</v>
      </c>
      <c r="D40" s="2">
        <v>2</v>
      </c>
      <c r="E40" s="3">
        <f t="shared" si="2"/>
        <v>-1.6713115713273517E-3</v>
      </c>
      <c r="F40" s="4">
        <f t="shared" si="1"/>
        <v>745.32952621972458</v>
      </c>
    </row>
    <row r="41" spans="1:6">
      <c r="A41" s="7">
        <v>43240</v>
      </c>
      <c r="B41" s="1">
        <v>0.33333333333333331</v>
      </c>
      <c r="C41" s="2">
        <v>9325.4</v>
      </c>
      <c r="D41" s="2">
        <v>2.2000000000000002</v>
      </c>
      <c r="E41" s="3">
        <f t="shared" si="2"/>
        <v>-1.9878535453428207E-3</v>
      </c>
      <c r="F41" s="4">
        <f t="shared" si="1"/>
        <v>745.29723893837502</v>
      </c>
    </row>
    <row r="42" spans="1:6">
      <c r="A42" s="7">
        <v>43250</v>
      </c>
      <c r="B42" s="1">
        <v>0.33333333333333331</v>
      </c>
      <c r="C42" s="2">
        <v>9315.7000000000007</v>
      </c>
      <c r="D42" s="2">
        <v>2.7</v>
      </c>
      <c r="E42" s="3">
        <f t="shared" si="2"/>
        <v>-6.3156423316174451E-4</v>
      </c>
      <c r="F42" s="4">
        <f t="shared" si="1"/>
        <v>745.43558044821748</v>
      </c>
    </row>
    <row r="43" spans="1:6">
      <c r="A43" s="7">
        <v>43261</v>
      </c>
      <c r="B43" s="1">
        <v>0.33333333333333331</v>
      </c>
      <c r="C43" s="2">
        <v>9303.7000000000007</v>
      </c>
      <c r="D43" s="2">
        <v>3.7</v>
      </c>
      <c r="E43" s="3">
        <f t="shared" si="2"/>
        <v>1.4567952964622093E-3</v>
      </c>
      <c r="F43" s="4">
        <f t="shared" si="1"/>
        <v>745.64859312023918</v>
      </c>
    </row>
    <row r="44" spans="1:6">
      <c r="A44" s="7">
        <v>43271</v>
      </c>
      <c r="B44" s="1">
        <v>0.33333333333333331</v>
      </c>
      <c r="C44" s="2">
        <v>9276.2999999999993</v>
      </c>
      <c r="D44" s="2">
        <v>4.9000000000000004</v>
      </c>
      <c r="E44" s="3">
        <f t="shared" si="2"/>
        <v>5.0612354488223481E-3</v>
      </c>
      <c r="F44" s="4">
        <f t="shared" si="1"/>
        <v>746.01624601577987</v>
      </c>
    </row>
    <row r="45" spans="1:6">
      <c r="A45" s="7">
        <v>43281</v>
      </c>
      <c r="B45" s="1">
        <v>0.33333333333333331</v>
      </c>
      <c r="C45" s="2">
        <v>9356</v>
      </c>
      <c r="D45" s="2">
        <v>5.4</v>
      </c>
      <c r="E45" s="3">
        <f t="shared" si="2"/>
        <v>-1.1275396551598919E-3</v>
      </c>
      <c r="F45" s="4">
        <f t="shared" si="1"/>
        <v>745.38499095517363</v>
      </c>
    </row>
    <row r="46" spans="1:6">
      <c r="A46" s="7">
        <v>43291</v>
      </c>
      <c r="B46" s="1">
        <v>0.33333333333333331</v>
      </c>
      <c r="C46" s="2">
        <v>9370.2000000000007</v>
      </c>
      <c r="D46" s="2">
        <v>6.4</v>
      </c>
    </row>
    <row r="47" spans="1:6">
      <c r="A47" s="7">
        <v>43301</v>
      </c>
      <c r="B47" s="1">
        <v>0.33333333333333331</v>
      </c>
      <c r="C47" s="2">
        <v>9365.4</v>
      </c>
      <c r="D47" s="2">
        <v>7.3</v>
      </c>
    </row>
    <row r="48" spans="1:6">
      <c r="A48" s="7">
        <v>43311</v>
      </c>
      <c r="B48" s="1">
        <v>0.33333333333333331</v>
      </c>
      <c r="C48" s="2">
        <v>9369.7999999999993</v>
      </c>
      <c r="D48" s="2">
        <v>6.9</v>
      </c>
    </row>
    <row r="49" spans="1:4">
      <c r="A49" s="7">
        <v>43322</v>
      </c>
      <c r="B49" s="1">
        <v>0.33333333333333331</v>
      </c>
      <c r="C49" s="2">
        <v>9377.2000000000007</v>
      </c>
      <c r="D49" s="2">
        <v>7.9</v>
      </c>
    </row>
    <row r="50" spans="1:4">
      <c r="A50" s="7">
        <v>43332</v>
      </c>
      <c r="B50" s="1">
        <v>0.33333333333333331</v>
      </c>
      <c r="C50" s="2">
        <v>9382.1</v>
      </c>
      <c r="D50" s="2">
        <v>8</v>
      </c>
    </row>
    <row r="51" spans="1:4">
      <c r="A51" s="7">
        <v>43342</v>
      </c>
      <c r="B51" s="1">
        <v>0.33333333333333331</v>
      </c>
      <c r="C51" s="2">
        <v>9382.7000000000007</v>
      </c>
      <c r="D51" s="2">
        <v>8.8000000000000007</v>
      </c>
    </row>
    <row r="52" spans="1:4">
      <c r="A52" s="7">
        <v>43353</v>
      </c>
      <c r="B52" s="1">
        <v>0.33333333333333331</v>
      </c>
      <c r="C52" s="2">
        <v>9353</v>
      </c>
      <c r="D52" s="2">
        <v>9.1999999999999993</v>
      </c>
    </row>
    <row r="53" spans="1:4">
      <c r="A53" s="7">
        <v>43363</v>
      </c>
      <c r="B53" s="1">
        <v>0.33333333333333331</v>
      </c>
      <c r="C53" s="2">
        <v>9385.9</v>
      </c>
      <c r="D53" s="2">
        <v>9</v>
      </c>
    </row>
    <row r="54" spans="1:4">
      <c r="A54" s="7">
        <v>43373</v>
      </c>
      <c r="B54" s="1">
        <v>0.33333333333333331</v>
      </c>
      <c r="C54" s="2">
        <v>9396.1</v>
      </c>
      <c r="D54" s="2">
        <v>8.8000000000000007</v>
      </c>
    </row>
    <row r="55" spans="1:4">
      <c r="A55" s="7">
        <v>43383</v>
      </c>
      <c r="B55" s="1">
        <v>0.33333333333333331</v>
      </c>
      <c r="C55" s="2">
        <v>9387.7999999999993</v>
      </c>
      <c r="D55" s="2">
        <v>8.4</v>
      </c>
    </row>
    <row r="56" spans="1:4">
      <c r="A56" s="7">
        <v>43393</v>
      </c>
      <c r="B56" s="1">
        <v>0.33333333333333331</v>
      </c>
      <c r="C56" s="2">
        <v>9389.6</v>
      </c>
      <c r="D56" s="2">
        <v>8</v>
      </c>
    </row>
    <row r="57" spans="1:4">
      <c r="A57" s="32">
        <v>43605</v>
      </c>
      <c r="B57" s="1">
        <v>0.33333333333333331</v>
      </c>
      <c r="C57" s="2">
        <v>9327.9</v>
      </c>
      <c r="D57" s="2">
        <v>8</v>
      </c>
    </row>
    <row r="58" spans="1:4">
      <c r="A58" s="32">
        <v>43615</v>
      </c>
      <c r="B58" s="1">
        <v>0.33333333333333331</v>
      </c>
      <c r="C58" s="2">
        <v>9336.2999999999993</v>
      </c>
      <c r="D58" s="2">
        <v>7.8</v>
      </c>
    </row>
    <row r="59" spans="1:4">
      <c r="A59" s="32">
        <v>43626</v>
      </c>
      <c r="B59" s="1">
        <v>0.33333333333333331</v>
      </c>
      <c r="C59" s="2">
        <v>9340.2999999999993</v>
      </c>
      <c r="D59" s="2">
        <v>8.1999999999999993</v>
      </c>
    </row>
    <row r="60" spans="1:4">
      <c r="A60" s="32">
        <v>43636</v>
      </c>
      <c r="B60" s="1">
        <v>0.33333333333333331</v>
      </c>
      <c r="C60" s="2">
        <v>9347.2000000000007</v>
      </c>
      <c r="D60" s="2">
        <v>8.4</v>
      </c>
    </row>
    <row r="61" spans="1:4">
      <c r="A61" s="7">
        <v>43646</v>
      </c>
      <c r="B61" s="1">
        <v>0.33333333333333331</v>
      </c>
      <c r="C61" s="2">
        <v>9345.5</v>
      </c>
      <c r="D61" s="2">
        <v>7.3</v>
      </c>
    </row>
    <row r="62" spans="1:4">
      <c r="A62" s="7">
        <v>43656</v>
      </c>
      <c r="B62" s="1">
        <v>0.33333333333333331</v>
      </c>
      <c r="C62" s="2">
        <v>9349.1</v>
      </c>
      <c r="D62" s="2">
        <v>7</v>
      </c>
    </row>
    <row r="63" spans="1:4">
      <c r="A63" s="7">
        <v>43666</v>
      </c>
      <c r="B63" s="1">
        <v>0.33333333333333331</v>
      </c>
      <c r="C63" s="2">
        <v>9353.6</v>
      </c>
      <c r="D63" s="2">
        <v>7</v>
      </c>
    </row>
    <row r="64" spans="1:4">
      <c r="A64" s="7">
        <v>43676</v>
      </c>
      <c r="B64" s="1">
        <v>0.33333333333333331</v>
      </c>
      <c r="C64" s="2">
        <v>9359.2000000000007</v>
      </c>
      <c r="D64" s="2">
        <v>6.8</v>
      </c>
    </row>
    <row r="65" spans="1:4">
      <c r="A65" s="7">
        <v>43687</v>
      </c>
      <c r="B65" s="1">
        <v>0.33333333333333331</v>
      </c>
      <c r="C65" s="2">
        <v>9362.7000000000007</v>
      </c>
      <c r="D65" s="2">
        <v>6.8</v>
      </c>
    </row>
    <row r="66" spans="1:4">
      <c r="A66" s="7">
        <v>43697</v>
      </c>
      <c r="B66" s="1">
        <v>0.33333333333333331</v>
      </c>
      <c r="C66" s="2">
        <v>9365.4</v>
      </c>
      <c r="D66" s="2">
        <v>6.7</v>
      </c>
    </row>
    <row r="67" spans="1:4">
      <c r="A67" s="7">
        <v>43707</v>
      </c>
      <c r="B67" s="1">
        <v>0.33333333333333331</v>
      </c>
      <c r="C67" s="2">
        <v>9369.4</v>
      </c>
      <c r="D67" s="2">
        <v>6.6</v>
      </c>
    </row>
  </sheetData>
  <phoneticPr fontId="4" type="noConversion"/>
  <pageMargins left="0.69930555555555596" right="0.69930555555555596" top="0.75" bottom="0.75" header="0.3" footer="0.3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8"/>
  <sheetViews>
    <sheetView topLeftCell="A55" workbookViewId="0">
      <selection activeCell="A72" sqref="A72:B78"/>
    </sheetView>
  </sheetViews>
  <sheetFormatPr defaultColWidth="9" defaultRowHeight="13.5"/>
  <cols>
    <col min="1" max="1" width="11.75" customWidth="1"/>
    <col min="2" max="2" width="13.875" customWidth="1"/>
  </cols>
  <sheetData>
    <row r="1" spans="1:7">
      <c r="A1" t="s">
        <v>0</v>
      </c>
      <c r="B1">
        <v>50354</v>
      </c>
      <c r="C1" t="s">
        <v>1</v>
      </c>
      <c r="D1">
        <v>734.5</v>
      </c>
    </row>
    <row r="2" spans="1:7">
      <c r="A2" t="s">
        <v>2</v>
      </c>
      <c r="B2">
        <f>2.00304*10^(-10)</f>
        <v>2.00304E-10</v>
      </c>
    </row>
    <row r="3" spans="1:7">
      <c r="A3" t="s">
        <v>3</v>
      </c>
      <c r="B3">
        <f>-0.000077465</f>
        <v>-7.7465000000000005E-5</v>
      </c>
    </row>
    <row r="4" spans="1:7">
      <c r="A4" t="s">
        <v>4</v>
      </c>
      <c r="B4">
        <f>0.68482437</f>
        <v>0.68482436999999996</v>
      </c>
    </row>
    <row r="5" spans="1:7">
      <c r="A5" t="s">
        <v>5</v>
      </c>
      <c r="B5">
        <f>-0.001577707</f>
        <v>-1.577707E-3</v>
      </c>
    </row>
    <row r="6" spans="1:7">
      <c r="A6" t="s">
        <v>6</v>
      </c>
      <c r="B6" t="s">
        <v>7</v>
      </c>
      <c r="C6" t="s">
        <v>8</v>
      </c>
      <c r="D6" t="s">
        <v>9</v>
      </c>
      <c r="E6" t="s">
        <v>10</v>
      </c>
      <c r="F6" t="s">
        <v>11</v>
      </c>
      <c r="G6" t="s">
        <v>12</v>
      </c>
    </row>
    <row r="7" spans="1:7">
      <c r="A7" t="s">
        <v>48</v>
      </c>
      <c r="B7" s="1">
        <v>0.375</v>
      </c>
      <c r="C7" s="2">
        <v>8293.7999999999993</v>
      </c>
      <c r="D7" s="2">
        <v>6.3</v>
      </c>
      <c r="E7" s="3">
        <f>($B$2*C7^2+$B$3*C7+$B$4)-$B$5*D7</f>
        <v>6.6063042072005723E-2</v>
      </c>
      <c r="G7" t="s">
        <v>13</v>
      </c>
    </row>
    <row r="8" spans="1:7">
      <c r="A8" t="s">
        <v>49</v>
      </c>
      <c r="B8" s="1">
        <v>0.27083333333333298</v>
      </c>
      <c r="C8" s="2">
        <v>8345.1</v>
      </c>
      <c r="D8" s="2">
        <v>9.3000000000000007</v>
      </c>
      <c r="E8" s="3">
        <f>($B$2*C8^2+$B$3*C8+$B$4)-$B$5*D8-$E$7</f>
        <v>9.3014110097322522E-4</v>
      </c>
      <c r="F8" s="4">
        <f>$D$1+102*E8</f>
        <v>734.59487439229929</v>
      </c>
      <c r="G8" t="s">
        <v>17</v>
      </c>
    </row>
    <row r="9" spans="1:7">
      <c r="A9" t="s">
        <v>50</v>
      </c>
      <c r="B9" s="1">
        <v>0.33333333333333298</v>
      </c>
      <c r="C9" s="2">
        <v>8319</v>
      </c>
      <c r="D9" s="2">
        <v>8.6</v>
      </c>
      <c r="E9" s="3">
        <f t="shared" ref="E9:E27" si="0">($B$2*C9^2+$B$3*C9+$B$4)-$B$5*D9-$E$7</f>
        <v>1.7604638793381755E-3</v>
      </c>
      <c r="F9" s="4">
        <f t="shared" ref="F9:F56" si="1">$D$1+102*E9</f>
        <v>734.67956731569245</v>
      </c>
      <c r="G9" t="s">
        <v>14</v>
      </c>
    </row>
    <row r="10" spans="1:7">
      <c r="A10" t="s">
        <v>51</v>
      </c>
      <c r="B10" s="1">
        <v>0.58333333333333304</v>
      </c>
      <c r="C10" s="2">
        <v>8197.6</v>
      </c>
      <c r="D10" s="2">
        <v>8.1</v>
      </c>
      <c r="E10" s="3">
        <f t="shared" si="0"/>
        <v>9.9742287763052023E-3</v>
      </c>
      <c r="F10" s="4">
        <f t="shared" si="1"/>
        <v>735.51737133518316</v>
      </c>
    </row>
    <row r="11" spans="1:7">
      <c r="A11" t="s">
        <v>52</v>
      </c>
      <c r="B11" s="1">
        <v>0.33333333333333298</v>
      </c>
      <c r="C11" s="2">
        <v>8263.5</v>
      </c>
      <c r="D11" s="2">
        <v>11.6</v>
      </c>
      <c r="E11" s="3">
        <f t="shared" si="0"/>
        <v>1.0608546849398173E-2</v>
      </c>
      <c r="F11" s="4">
        <f t="shared" si="1"/>
        <v>735.58207177863858</v>
      </c>
    </row>
    <row r="12" spans="1:7">
      <c r="A12" t="s">
        <v>53</v>
      </c>
      <c r="B12" s="1">
        <v>0.33333333333333298</v>
      </c>
      <c r="C12" s="2">
        <v>8331.2000000000007</v>
      </c>
      <c r="D12" s="2">
        <v>14.3</v>
      </c>
      <c r="E12" s="3">
        <f t="shared" si="0"/>
        <v>9.8490090195999802E-3</v>
      </c>
      <c r="F12" s="4">
        <f t="shared" si="1"/>
        <v>735.50459891999924</v>
      </c>
    </row>
    <row r="13" spans="1:7">
      <c r="A13" t="s">
        <v>54</v>
      </c>
      <c r="B13" s="1">
        <v>0.33333333333333298</v>
      </c>
      <c r="C13" s="2">
        <v>8401.7999999999993</v>
      </c>
      <c r="D13" s="2">
        <v>12.6</v>
      </c>
      <c r="E13" s="3">
        <f t="shared" si="0"/>
        <v>1.9345072099392346E-3</v>
      </c>
      <c r="F13" s="4">
        <f t="shared" si="1"/>
        <v>734.69731973541377</v>
      </c>
    </row>
    <row r="14" spans="1:7">
      <c r="A14" t="s">
        <v>43</v>
      </c>
      <c r="B14" s="1">
        <v>0.33333333333333298</v>
      </c>
      <c r="C14" s="2">
        <v>8436.5</v>
      </c>
      <c r="D14" s="2">
        <v>11.7</v>
      </c>
      <c r="E14" s="3">
        <f t="shared" si="0"/>
        <v>-2.0564291642017757E-3</v>
      </c>
      <c r="F14" s="4">
        <f t="shared" si="1"/>
        <v>734.2902442252514</v>
      </c>
    </row>
    <row r="15" spans="1:7">
      <c r="A15" t="s">
        <v>55</v>
      </c>
      <c r="B15" s="1">
        <v>0.33333333333333298</v>
      </c>
      <c r="C15" s="2">
        <v>8479.6</v>
      </c>
      <c r="D15" s="2">
        <v>11.5</v>
      </c>
      <c r="E15" s="3">
        <f t="shared" si="0"/>
        <v>-5.5646736406932198E-3</v>
      </c>
      <c r="F15" s="4">
        <f t="shared" si="1"/>
        <v>733.93240328864931</v>
      </c>
    </row>
    <row r="16" spans="1:7">
      <c r="A16" t="s">
        <v>56</v>
      </c>
      <c r="B16" s="1">
        <v>0.33333333333333298</v>
      </c>
      <c r="C16" s="2">
        <v>8468.5</v>
      </c>
      <c r="D16" s="2">
        <v>11.9</v>
      </c>
      <c r="E16" s="3">
        <f t="shared" si="0"/>
        <v>-4.1114113123618054E-3</v>
      </c>
      <c r="F16" s="4">
        <f t="shared" si="1"/>
        <v>734.08063604613915</v>
      </c>
    </row>
    <row r="17" spans="1:7">
      <c r="A17" t="s">
        <v>57</v>
      </c>
      <c r="B17" s="1">
        <v>0.33333333333333298</v>
      </c>
      <c r="C17" s="2">
        <v>8450.1</v>
      </c>
      <c r="D17" s="2">
        <v>12.4</v>
      </c>
      <c r="E17" s="3">
        <f t="shared" si="0"/>
        <v>-1.959556896242845E-3</v>
      </c>
      <c r="F17" s="4">
        <f t="shared" si="1"/>
        <v>734.30012519658328</v>
      </c>
    </row>
    <row r="18" spans="1:7">
      <c r="A18" t="s">
        <v>58</v>
      </c>
      <c r="B18" s="1">
        <v>0.33333333333333298</v>
      </c>
      <c r="C18" s="2">
        <v>8428.7000000000007</v>
      </c>
      <c r="D18" s="2">
        <v>12.8</v>
      </c>
      <c r="E18" s="3">
        <f t="shared" si="0"/>
        <v>2.5692583303590921E-4</v>
      </c>
      <c r="F18" s="4">
        <f t="shared" si="1"/>
        <v>734.52620643496971</v>
      </c>
    </row>
    <row r="19" spans="1:7">
      <c r="A19" t="s">
        <v>46</v>
      </c>
      <c r="B19" s="1">
        <v>0.33333333333333298</v>
      </c>
      <c r="C19" s="2">
        <v>8418.5</v>
      </c>
      <c r="D19" s="2">
        <v>13.2</v>
      </c>
      <c r="E19" s="3">
        <f t="shared" si="0"/>
        <v>1.6437311052381331E-3</v>
      </c>
      <c r="F19" s="4">
        <f t="shared" si="1"/>
        <v>734.66766057273423</v>
      </c>
      <c r="G19" s="2"/>
    </row>
    <row r="20" spans="1:7">
      <c r="A20" t="s">
        <v>59</v>
      </c>
      <c r="B20" s="1">
        <v>0.33333333333333298</v>
      </c>
      <c r="C20" s="2">
        <v>8408.6</v>
      </c>
      <c r="D20" s="2">
        <v>14.5</v>
      </c>
      <c r="E20" s="3">
        <f t="shared" si="0"/>
        <v>4.4282854043980052E-3</v>
      </c>
      <c r="F20" s="4">
        <f t="shared" si="1"/>
        <v>734.95168511124859</v>
      </c>
      <c r="G20" s="2"/>
    </row>
    <row r="21" spans="1:7">
      <c r="A21" t="s">
        <v>44</v>
      </c>
      <c r="B21" s="1">
        <v>0.33333333333333298</v>
      </c>
      <c r="C21" s="2">
        <v>8399.5</v>
      </c>
      <c r="D21" s="2">
        <v>16.2</v>
      </c>
      <c r="E21" s="3">
        <f t="shared" si="0"/>
        <v>7.7846815644701528E-3</v>
      </c>
      <c r="F21" s="4">
        <f t="shared" si="1"/>
        <v>735.29403751957591</v>
      </c>
      <c r="G21" s="2"/>
    </row>
    <row r="22" spans="1:7">
      <c r="A22" s="5" t="s">
        <v>33</v>
      </c>
      <c r="B22" s="1">
        <v>0.33333333333333298</v>
      </c>
      <c r="C22" s="2">
        <v>8485.4</v>
      </c>
      <c r="D22" s="2">
        <v>16.600000000000001</v>
      </c>
      <c r="E22" s="3">
        <f t="shared" si="0"/>
        <v>2.0520443719948406E-3</v>
      </c>
      <c r="F22" s="4">
        <f t="shared" si="1"/>
        <v>734.70930852594347</v>
      </c>
    </row>
    <row r="23" spans="1:7">
      <c r="A23" s="6">
        <v>42541</v>
      </c>
      <c r="B23" s="1">
        <v>0.33333333333333298</v>
      </c>
      <c r="C23" s="2">
        <v>8395.7000000000007</v>
      </c>
      <c r="D23" s="2">
        <v>16.2</v>
      </c>
      <c r="E23" s="3">
        <f t="shared" si="0"/>
        <v>8.0662648106551438E-3</v>
      </c>
      <c r="F23" s="4">
        <f t="shared" si="1"/>
        <v>735.32275901068681</v>
      </c>
    </row>
    <row r="24" spans="1:7">
      <c r="A24" s="7">
        <v>42551</v>
      </c>
      <c r="B24" s="1">
        <v>0.33333333333333298</v>
      </c>
      <c r="C24">
        <v>8475</v>
      </c>
      <c r="D24">
        <v>16.5</v>
      </c>
      <c r="E24" s="3">
        <f t="shared" si="0"/>
        <v>2.6645784179940984E-3</v>
      </c>
      <c r="F24" s="4">
        <f t="shared" si="1"/>
        <v>734.77178699863543</v>
      </c>
    </row>
    <row r="25" spans="1:7">
      <c r="A25" s="7">
        <v>42561</v>
      </c>
      <c r="B25" s="1">
        <v>0.33333333333333298</v>
      </c>
      <c r="C25">
        <v>8467</v>
      </c>
      <c r="D25">
        <v>16.399999999999999</v>
      </c>
      <c r="E25" s="3">
        <f t="shared" si="0"/>
        <v>3.0993793150501658E-3</v>
      </c>
      <c r="F25" s="4">
        <f t="shared" si="1"/>
        <v>734.81613669013507</v>
      </c>
    </row>
    <row r="26" spans="1:7">
      <c r="A26" s="7">
        <v>42571</v>
      </c>
      <c r="B26" s="1">
        <v>0.33333333333333298</v>
      </c>
      <c r="C26" s="2">
        <v>8418.9</v>
      </c>
      <c r="D26" s="2">
        <v>16.3</v>
      </c>
      <c r="E26" s="3">
        <f t="shared" si="0"/>
        <v>6.5049858446660225E-3</v>
      </c>
      <c r="F26" s="4">
        <f t="shared" si="1"/>
        <v>735.16350855615599</v>
      </c>
    </row>
    <row r="27" spans="1:7">
      <c r="A27" s="7">
        <v>42581</v>
      </c>
      <c r="B27" s="1">
        <v>0.33333333333333398</v>
      </c>
      <c r="C27" s="2">
        <v>8419.7000000000007</v>
      </c>
      <c r="D27" s="2">
        <v>16.100000000000001</v>
      </c>
      <c r="E27" s="3">
        <f t="shared" si="0"/>
        <v>6.1301707158135238E-3</v>
      </c>
      <c r="F27" s="4">
        <f t="shared" si="1"/>
        <v>735.12527741301301</v>
      </c>
    </row>
    <row r="28" spans="1:7">
      <c r="A28" s="7">
        <v>42592</v>
      </c>
      <c r="B28" s="1">
        <v>0.33333333333333298</v>
      </c>
      <c r="C28">
        <v>8472.2999999999993</v>
      </c>
      <c r="D28">
        <v>16.2</v>
      </c>
      <c r="E28" s="3">
        <f t="shared" ref="E28:E56" si="2">($B$2*C28^2+$B$3*C28+$B$4)-$B$5*D28-$E$7</f>
        <v>2.3912563656504626E-3</v>
      </c>
      <c r="F28" s="4">
        <f t="shared" si="1"/>
        <v>734.74390814929632</v>
      </c>
    </row>
    <row r="29" spans="1:7">
      <c r="A29" s="7">
        <v>42602</v>
      </c>
      <c r="B29" s="1">
        <v>0.33333333333333298</v>
      </c>
      <c r="C29">
        <v>8393.4</v>
      </c>
      <c r="D29">
        <v>16.100000000000001</v>
      </c>
      <c r="E29" s="3">
        <f t="shared" si="2"/>
        <v>8.0789288857164437E-3</v>
      </c>
      <c r="F29" s="4">
        <f t="shared" si="1"/>
        <v>735.32405074634312</v>
      </c>
    </row>
    <row r="30" spans="1:7">
      <c r="A30" s="7">
        <v>42612</v>
      </c>
      <c r="B30" s="1">
        <v>0.33333333333333298</v>
      </c>
      <c r="C30">
        <v>8469</v>
      </c>
      <c r="D30">
        <v>16</v>
      </c>
      <c r="E30" s="3">
        <f t="shared" si="2"/>
        <v>2.3201512121382023E-3</v>
      </c>
      <c r="F30" s="4">
        <f t="shared" si="1"/>
        <v>734.73665542363813</v>
      </c>
    </row>
    <row r="31" spans="1:7">
      <c r="A31" s="7">
        <v>42623</v>
      </c>
      <c r="B31" s="1">
        <v>0.33333333333333298</v>
      </c>
      <c r="C31">
        <v>8331.5</v>
      </c>
      <c r="D31">
        <v>16</v>
      </c>
      <c r="E31" s="3">
        <f t="shared" si="2"/>
        <v>1.2508872701238197E-2</v>
      </c>
      <c r="F31" s="4">
        <f t="shared" si="1"/>
        <v>735.77590501552629</v>
      </c>
    </row>
    <row r="32" spans="1:7">
      <c r="A32" s="7">
        <v>42633</v>
      </c>
      <c r="B32" s="1">
        <v>0.33333333333333331</v>
      </c>
      <c r="C32">
        <v>8382.2000000000007</v>
      </c>
      <c r="D32">
        <v>15.9</v>
      </c>
      <c r="E32" s="3">
        <f t="shared" si="2"/>
        <v>8.5933610241534925E-3</v>
      </c>
      <c r="F32" s="4">
        <f t="shared" si="1"/>
        <v>735.37652282446368</v>
      </c>
    </row>
    <row r="33" spans="1:6">
      <c r="A33" s="7">
        <v>42643</v>
      </c>
      <c r="B33" s="1">
        <v>0.33333333333333331</v>
      </c>
      <c r="C33">
        <v>8425.9</v>
      </c>
      <c r="D33">
        <v>15.7</v>
      </c>
      <c r="E33" s="3">
        <f t="shared" si="2"/>
        <v>5.0397252104004975E-3</v>
      </c>
      <c r="F33" s="4">
        <f t="shared" si="1"/>
        <v>735.01405197146084</v>
      </c>
    </row>
    <row r="34" spans="1:6">
      <c r="A34" s="7">
        <v>42653</v>
      </c>
      <c r="B34" s="1">
        <v>0.33333333333333331</v>
      </c>
      <c r="C34">
        <v>8080.4</v>
      </c>
      <c r="D34">
        <v>15.5</v>
      </c>
      <c r="E34" s="3">
        <f t="shared" si="2"/>
        <v>3.034602229069891E-2</v>
      </c>
      <c r="F34" s="4">
        <f t="shared" si="1"/>
        <v>737.59529427365123</v>
      </c>
    </row>
    <row r="35" spans="1:6">
      <c r="A35" s="7">
        <v>42855</v>
      </c>
      <c r="B35" s="1">
        <v>0.33333333333333331</v>
      </c>
      <c r="C35">
        <v>8014.7</v>
      </c>
      <c r="D35">
        <v>6.5</v>
      </c>
      <c r="E35" s="3">
        <f t="shared" si="2"/>
        <v>2.1024298712485567E-2</v>
      </c>
      <c r="F35" s="4">
        <f t="shared" si="1"/>
        <v>736.64447846867358</v>
      </c>
    </row>
    <row r="36" spans="1:6">
      <c r="A36" s="7">
        <v>42865</v>
      </c>
      <c r="B36" s="1">
        <v>0.33333333333333331</v>
      </c>
      <c r="C36">
        <v>7930.3</v>
      </c>
      <c r="D36">
        <v>6.4</v>
      </c>
      <c r="E36" s="3">
        <f t="shared" si="2"/>
        <v>2.7135013302053479E-2</v>
      </c>
      <c r="F36" s="4">
        <f t="shared" si="1"/>
        <v>737.26777135680948</v>
      </c>
    </row>
    <row r="37" spans="1:6">
      <c r="A37" s="7">
        <v>42875</v>
      </c>
      <c r="B37" s="1">
        <v>0.33333333333333331</v>
      </c>
      <c r="C37">
        <v>8046.2</v>
      </c>
      <c r="D37">
        <v>6.3</v>
      </c>
      <c r="E37" s="3">
        <f t="shared" si="2"/>
        <v>1.8369947281663968E-2</v>
      </c>
      <c r="F37" s="4">
        <f t="shared" si="1"/>
        <v>736.37373462272967</v>
      </c>
    </row>
    <row r="38" spans="1:6">
      <c r="A38" s="7">
        <v>42885</v>
      </c>
      <c r="B38" s="1">
        <v>0.33333333333333331</v>
      </c>
      <c r="C38">
        <v>8069.3</v>
      </c>
      <c r="D38">
        <v>6.2</v>
      </c>
      <c r="E38" s="3">
        <f t="shared" si="2"/>
        <v>1.649730186115117E-2</v>
      </c>
      <c r="F38" s="4">
        <f t="shared" si="1"/>
        <v>736.18272478983738</v>
      </c>
    </row>
    <row r="39" spans="1:6">
      <c r="A39" s="7">
        <v>42906</v>
      </c>
      <c r="B39" s="1">
        <v>0.33333333333333331</v>
      </c>
      <c r="C39">
        <v>7939</v>
      </c>
      <c r="D39">
        <v>6.2</v>
      </c>
      <c r="E39" s="3">
        <f t="shared" si="2"/>
        <v>2.6173180955178177E-2</v>
      </c>
      <c r="F39" s="4">
        <f t="shared" si="1"/>
        <v>737.16966445742821</v>
      </c>
    </row>
    <row r="40" spans="1:6">
      <c r="A40" s="7">
        <v>42916</v>
      </c>
      <c r="B40" s="1">
        <v>0.33333333333333331</v>
      </c>
      <c r="C40">
        <v>7980</v>
      </c>
      <c r="D40">
        <v>6.2</v>
      </c>
      <c r="E40" s="3">
        <f t="shared" si="2"/>
        <v>2.3127850169594177E-2</v>
      </c>
      <c r="F40" s="4">
        <f t="shared" si="1"/>
        <v>736.85904071729863</v>
      </c>
    </row>
    <row r="41" spans="1:6">
      <c r="A41" s="7">
        <v>42926</v>
      </c>
      <c r="B41" s="1">
        <v>0.33333333333333331</v>
      </c>
      <c r="C41">
        <v>8042.5</v>
      </c>
      <c r="D41">
        <v>6.3</v>
      </c>
      <c r="E41" s="3">
        <f t="shared" si="2"/>
        <v>1.8644644047094205E-2</v>
      </c>
      <c r="F41" s="4">
        <f t="shared" si="1"/>
        <v>736.4017536928036</v>
      </c>
    </row>
    <row r="42" spans="1:6">
      <c r="A42" s="7">
        <v>42936</v>
      </c>
      <c r="B42" s="1">
        <v>0.33333333333333331</v>
      </c>
      <c r="C42">
        <v>8054</v>
      </c>
      <c r="D42">
        <v>6.4</v>
      </c>
      <c r="E42" s="3">
        <f t="shared" si="2"/>
        <v>1.7948645470458269E-2</v>
      </c>
      <c r="F42" s="4">
        <f t="shared" si="1"/>
        <v>736.33076183798676</v>
      </c>
    </row>
    <row r="43" spans="1:6">
      <c r="A43" s="7">
        <v>42946</v>
      </c>
      <c r="B43" s="1">
        <v>0.33333333333333331</v>
      </c>
      <c r="C43">
        <v>8057.8</v>
      </c>
      <c r="D43">
        <v>6.5</v>
      </c>
      <c r="E43" s="3">
        <f t="shared" si="2"/>
        <v>1.7824312750809534E-2</v>
      </c>
      <c r="F43" s="4">
        <f t="shared" si="1"/>
        <v>736.31807990058257</v>
      </c>
    </row>
    <row r="44" spans="1:6">
      <c r="A44" s="7">
        <v>42957</v>
      </c>
      <c r="B44" s="1">
        <v>0.33333333333333331</v>
      </c>
      <c r="C44">
        <v>7987.6</v>
      </c>
      <c r="D44">
        <v>6.7</v>
      </c>
      <c r="E44" s="3">
        <f t="shared" si="2"/>
        <v>2.3352277313137146E-2</v>
      </c>
      <c r="F44" s="4">
        <f t="shared" si="1"/>
        <v>736.88193228594002</v>
      </c>
    </row>
    <row r="45" spans="1:6">
      <c r="A45" s="7">
        <v>42967</v>
      </c>
      <c r="B45" s="1">
        <v>0.33333333333333331</v>
      </c>
      <c r="C45">
        <v>8052.5</v>
      </c>
      <c r="D45">
        <v>7.2</v>
      </c>
      <c r="E45" s="3">
        <f t="shared" si="2"/>
        <v>1.9322169275894224E-2</v>
      </c>
      <c r="F45" s="4">
        <f t="shared" si="1"/>
        <v>736.47086126614124</v>
      </c>
    </row>
    <row r="46" spans="1:6">
      <c r="A46" s="7">
        <v>42977</v>
      </c>
      <c r="B46" s="1">
        <v>0.33333333333333331</v>
      </c>
      <c r="C46">
        <v>8023.9</v>
      </c>
      <c r="D46">
        <v>7.8</v>
      </c>
      <c r="E46" s="3">
        <f t="shared" si="2"/>
        <v>2.2392195693242078E-2</v>
      </c>
      <c r="F46" s="4">
        <f t="shared" si="1"/>
        <v>736.78400396071072</v>
      </c>
    </row>
    <row r="47" spans="1:6">
      <c r="A47" s="7">
        <v>42988</v>
      </c>
      <c r="B47" s="1">
        <v>0.33333333333333331</v>
      </c>
      <c r="C47">
        <v>8035.7</v>
      </c>
      <c r="D47">
        <v>7.6</v>
      </c>
      <c r="E47" s="3">
        <f t="shared" si="2"/>
        <v>2.1200525558239092E-2</v>
      </c>
      <c r="F47" s="4">
        <f t="shared" si="1"/>
        <v>736.6624536069404</v>
      </c>
    </row>
    <row r="48" spans="1:6">
      <c r="A48" s="7">
        <v>42998</v>
      </c>
      <c r="B48" s="1">
        <v>0.33333333333333331</v>
      </c>
      <c r="C48">
        <v>8014.7</v>
      </c>
      <c r="D48">
        <v>7.7</v>
      </c>
      <c r="E48" s="3">
        <f t="shared" si="2"/>
        <v>2.2917547112485559E-2</v>
      </c>
      <c r="F48" s="4">
        <f t="shared" si="1"/>
        <v>736.8375898054735</v>
      </c>
    </row>
    <row r="49" spans="1:6">
      <c r="A49" s="7">
        <v>43008</v>
      </c>
      <c r="B49" s="1">
        <v>0.33333333333333331</v>
      </c>
      <c r="C49">
        <v>8071.7</v>
      </c>
      <c r="D49">
        <v>7.7</v>
      </c>
      <c r="E49" s="3">
        <f t="shared" si="2"/>
        <v>1.8685705817624798E-2</v>
      </c>
      <c r="F49" s="4">
        <f t="shared" si="1"/>
        <v>736.40594199339773</v>
      </c>
    </row>
    <row r="50" spans="1:6">
      <c r="A50" s="7">
        <v>43018</v>
      </c>
      <c r="B50" s="1">
        <v>0.33333333333333331</v>
      </c>
      <c r="C50">
        <v>8071.4</v>
      </c>
      <c r="D50">
        <v>7.8</v>
      </c>
      <c r="E50" s="3">
        <f t="shared" si="2"/>
        <v>1.8865745959374125E-2</v>
      </c>
      <c r="F50" s="4">
        <f t="shared" si="1"/>
        <v>736.42430608785617</v>
      </c>
    </row>
    <row r="51" spans="1:6">
      <c r="A51" s="7">
        <v>43230</v>
      </c>
      <c r="B51" s="1">
        <v>0.33333333333333331</v>
      </c>
      <c r="C51">
        <v>8000.1</v>
      </c>
      <c r="D51">
        <v>4</v>
      </c>
      <c r="E51" s="3">
        <f t="shared" si="2"/>
        <v>1.8164185916397221E-2</v>
      </c>
      <c r="F51" s="4">
        <f t="shared" si="1"/>
        <v>736.35274696347255</v>
      </c>
    </row>
    <row r="52" spans="1:6">
      <c r="A52" s="7">
        <v>43240</v>
      </c>
      <c r="B52" s="1">
        <v>0.33333333333333331</v>
      </c>
      <c r="C52">
        <v>8003.4</v>
      </c>
      <c r="D52">
        <v>4.0999999999999996</v>
      </c>
      <c r="E52" s="3">
        <f t="shared" si="2"/>
        <v>1.807690048110841E-2</v>
      </c>
      <c r="F52" s="4">
        <f t="shared" si="1"/>
        <v>736.3438438490731</v>
      </c>
    </row>
    <row r="53" spans="1:6">
      <c r="A53" s="7">
        <v>43250</v>
      </c>
      <c r="B53" s="1">
        <v>0.33333333333333331</v>
      </c>
      <c r="C53">
        <v>7887.8</v>
      </c>
      <c r="D53">
        <v>4</v>
      </c>
      <c r="E53" s="3">
        <f t="shared" si="2"/>
        <v>2.6506120782201589E-2</v>
      </c>
      <c r="F53" s="4">
        <f t="shared" si="1"/>
        <v>737.20362431978458</v>
      </c>
    </row>
    <row r="54" spans="1:6">
      <c r="A54" s="7">
        <v>43261</v>
      </c>
      <c r="B54" s="1">
        <v>0.33333333333333331</v>
      </c>
      <c r="C54">
        <v>7814.8</v>
      </c>
      <c r="D54">
        <v>4</v>
      </c>
      <c r="E54" s="3">
        <f t="shared" si="2"/>
        <v>3.1931459350102318E-2</v>
      </c>
      <c r="F54" s="4">
        <f t="shared" si="1"/>
        <v>737.75700885371043</v>
      </c>
    </row>
    <row r="55" spans="1:6">
      <c r="A55" s="7">
        <v>43271</v>
      </c>
      <c r="B55" s="1">
        <v>0.33333333333333331</v>
      </c>
      <c r="C55">
        <v>7754.3</v>
      </c>
      <c r="D55">
        <v>4.7</v>
      </c>
      <c r="E55" s="3">
        <f t="shared" si="2"/>
        <v>3.7533814293215187E-2</v>
      </c>
      <c r="F55" s="4">
        <f t="shared" si="1"/>
        <v>738.32844905790796</v>
      </c>
    </row>
    <row r="56" spans="1:6">
      <c r="A56" s="7">
        <v>43281</v>
      </c>
      <c r="B56" s="1">
        <v>0.33333333333333331</v>
      </c>
      <c r="C56">
        <v>7855.7</v>
      </c>
      <c r="D56">
        <v>4.5999999999999996</v>
      </c>
      <c r="E56" s="3">
        <f t="shared" si="2"/>
        <v>2.9838144580831186E-2</v>
      </c>
      <c r="F56" s="4">
        <f t="shared" si="1"/>
        <v>737.54349074724473</v>
      </c>
    </row>
    <row r="57" spans="1:6">
      <c r="A57" s="7">
        <v>43291</v>
      </c>
      <c r="B57" s="1">
        <v>0.33333333333333331</v>
      </c>
      <c r="C57">
        <v>7950.7</v>
      </c>
      <c r="D57">
        <v>4.8</v>
      </c>
    </row>
    <row r="58" spans="1:6">
      <c r="A58" s="7">
        <v>43301</v>
      </c>
      <c r="B58" s="1">
        <v>0.33333333333333331</v>
      </c>
      <c r="C58">
        <v>7941.2</v>
      </c>
      <c r="D58">
        <v>4.7</v>
      </c>
    </row>
    <row r="59" spans="1:6">
      <c r="A59" s="7">
        <v>43311</v>
      </c>
      <c r="B59" s="1">
        <v>0.33333333333333331</v>
      </c>
      <c r="C59">
        <v>7861</v>
      </c>
      <c r="D59">
        <v>4.8</v>
      </c>
    </row>
    <row r="60" spans="1:6">
      <c r="A60" s="7">
        <v>43322</v>
      </c>
      <c r="B60" s="1">
        <v>0.33333333333333331</v>
      </c>
      <c r="C60">
        <v>7905</v>
      </c>
      <c r="D60">
        <v>5.2</v>
      </c>
    </row>
    <row r="61" spans="1:6">
      <c r="A61" s="7">
        <v>43332</v>
      </c>
      <c r="B61" s="1">
        <v>0.33333333333333331</v>
      </c>
      <c r="C61">
        <v>7912.2</v>
      </c>
      <c r="D61">
        <v>5.3</v>
      </c>
    </row>
    <row r="62" spans="1:6">
      <c r="A62" s="7">
        <v>43342</v>
      </c>
      <c r="B62" s="1">
        <v>0.33333333333333331</v>
      </c>
      <c r="C62">
        <v>7867.3</v>
      </c>
      <c r="D62">
        <v>5.3</v>
      </c>
    </row>
    <row r="63" spans="1:6">
      <c r="A63" s="7">
        <v>43353</v>
      </c>
      <c r="B63" s="1">
        <v>0.33333333333333331</v>
      </c>
      <c r="C63">
        <v>7777.1</v>
      </c>
      <c r="D63">
        <v>5.6</v>
      </c>
    </row>
    <row r="64" spans="1:6">
      <c r="A64" s="7">
        <v>43363</v>
      </c>
      <c r="B64" s="1">
        <v>0.33333333333333331</v>
      </c>
      <c r="C64">
        <v>7879.8</v>
      </c>
      <c r="D64">
        <v>6.2</v>
      </c>
    </row>
    <row r="65" spans="1:4">
      <c r="A65" s="7">
        <v>43373</v>
      </c>
      <c r="B65" s="1">
        <v>0.33333333333333331</v>
      </c>
      <c r="C65">
        <v>7887.6</v>
      </c>
      <c r="D65">
        <v>5.7</v>
      </c>
    </row>
    <row r="66" spans="1:4">
      <c r="A66" s="7">
        <v>43383</v>
      </c>
      <c r="B66" s="1">
        <v>0.33333333333333331</v>
      </c>
      <c r="C66">
        <v>7884.3</v>
      </c>
      <c r="D66">
        <v>5.4</v>
      </c>
    </row>
    <row r="67" spans="1:4">
      <c r="A67" s="7">
        <v>43393</v>
      </c>
      <c r="B67" s="1">
        <v>0.33333333333333331</v>
      </c>
      <c r="C67">
        <v>7888.2</v>
      </c>
      <c r="D67">
        <v>5.2</v>
      </c>
    </row>
    <row r="68" spans="1:4">
      <c r="A68" s="32">
        <v>43605</v>
      </c>
      <c r="B68" s="1">
        <v>0.33333333333333331</v>
      </c>
      <c r="C68">
        <v>7891.3</v>
      </c>
      <c r="D68">
        <v>4.5</v>
      </c>
    </row>
    <row r="69" spans="1:4">
      <c r="A69" s="32">
        <v>43615</v>
      </c>
      <c r="B69" s="1">
        <v>0.33333333333333331</v>
      </c>
      <c r="C69">
        <v>7892.7</v>
      </c>
      <c r="D69">
        <v>4.7</v>
      </c>
    </row>
    <row r="70" spans="1:4">
      <c r="A70" s="32">
        <v>43626</v>
      </c>
      <c r="B70" s="1">
        <v>0.33333333333333331</v>
      </c>
      <c r="C70">
        <v>7894.3</v>
      </c>
      <c r="D70">
        <v>4.9000000000000004</v>
      </c>
    </row>
    <row r="71" spans="1:4">
      <c r="A71" s="32">
        <v>43636</v>
      </c>
      <c r="B71" s="1">
        <v>0.33333333333333331</v>
      </c>
      <c r="C71">
        <v>7897.1</v>
      </c>
      <c r="D71">
        <v>5.2</v>
      </c>
    </row>
    <row r="72" spans="1:4">
      <c r="A72" s="7">
        <v>43646</v>
      </c>
      <c r="B72" s="1">
        <v>0.33333333333333331</v>
      </c>
      <c r="C72">
        <v>7842.2</v>
      </c>
      <c r="D72">
        <v>4.4000000000000004</v>
      </c>
    </row>
    <row r="73" spans="1:4">
      <c r="A73" s="7">
        <v>43656</v>
      </c>
      <c r="B73" s="1">
        <v>0.33333333333333331</v>
      </c>
      <c r="C73">
        <v>7830.6</v>
      </c>
      <c r="D73">
        <v>4.5999999999999996</v>
      </c>
    </row>
    <row r="74" spans="1:4">
      <c r="A74" s="7">
        <v>43666</v>
      </c>
      <c r="B74" s="1">
        <v>0.33333333333333331</v>
      </c>
      <c r="C74">
        <v>7825.7</v>
      </c>
      <c r="D74">
        <v>4.9000000000000004</v>
      </c>
    </row>
    <row r="75" spans="1:4">
      <c r="A75" s="7">
        <v>43676</v>
      </c>
      <c r="B75" s="1">
        <v>0.33333333333333331</v>
      </c>
      <c r="C75">
        <v>7816.2</v>
      </c>
      <c r="D75">
        <v>5</v>
      </c>
    </row>
    <row r="76" spans="1:4">
      <c r="A76" s="7">
        <v>43687</v>
      </c>
      <c r="B76" s="1">
        <v>0.33333333333333331</v>
      </c>
      <c r="C76">
        <v>7809.6</v>
      </c>
      <c r="D76">
        <v>5</v>
      </c>
    </row>
    <row r="77" spans="1:4">
      <c r="A77" s="7">
        <v>43697</v>
      </c>
      <c r="B77" s="1">
        <v>0.33333333333333331</v>
      </c>
      <c r="C77">
        <v>7807.7</v>
      </c>
      <c r="D77">
        <v>5.2</v>
      </c>
    </row>
    <row r="78" spans="1:4">
      <c r="A78" s="7">
        <v>43707</v>
      </c>
      <c r="B78" s="1">
        <v>0.33333333333333331</v>
      </c>
      <c r="C78">
        <v>7804.1</v>
      </c>
      <c r="D78">
        <v>5.3</v>
      </c>
    </row>
  </sheetData>
  <phoneticPr fontId="4" type="noConversion"/>
  <pageMargins left="0.69930555555555596" right="0.69930555555555596" top="0.75" bottom="0.75" header="0.3" footer="0.3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1"/>
  <sheetViews>
    <sheetView topLeftCell="A61" workbookViewId="0">
      <selection activeCell="A75" sqref="A75:B81"/>
    </sheetView>
  </sheetViews>
  <sheetFormatPr defaultColWidth="9" defaultRowHeight="13.5"/>
  <cols>
    <col min="1" max="1" width="11.375" customWidth="1"/>
    <col min="2" max="2" width="13.875" customWidth="1"/>
  </cols>
  <sheetData>
    <row r="1" spans="1:7">
      <c r="A1" t="s">
        <v>0</v>
      </c>
      <c r="B1">
        <v>50347</v>
      </c>
      <c r="C1" t="s">
        <v>1</v>
      </c>
      <c r="D1">
        <v>729.5</v>
      </c>
    </row>
    <row r="2" spans="1:7">
      <c r="A2" t="s">
        <v>2</v>
      </c>
      <c r="B2">
        <f>4.35445*10^(-10)</f>
        <v>4.3544499999999999E-10</v>
      </c>
    </row>
    <row r="3" spans="1:7">
      <c r="A3" t="s">
        <v>3</v>
      </c>
      <c r="B3">
        <f>-0.000072123</f>
        <v>-7.2123E-5</v>
      </c>
    </row>
    <row r="4" spans="1:7">
      <c r="A4" t="s">
        <v>4</v>
      </c>
      <c r="B4">
        <f>0.63473997</f>
        <v>0.63473997000000004</v>
      </c>
    </row>
    <row r="5" spans="1:7">
      <c r="A5" t="s">
        <v>5</v>
      </c>
      <c r="B5">
        <f>-0.000939469</f>
        <v>-9.3946899999999996E-4</v>
      </c>
    </row>
    <row r="6" spans="1:7">
      <c r="A6" t="s">
        <v>6</v>
      </c>
      <c r="B6" t="s">
        <v>7</v>
      </c>
      <c r="C6" t="s">
        <v>8</v>
      </c>
      <c r="D6" t="s">
        <v>9</v>
      </c>
      <c r="E6" t="s">
        <v>10</v>
      </c>
      <c r="F6" t="s">
        <v>11</v>
      </c>
      <c r="G6" t="s">
        <v>12</v>
      </c>
    </row>
    <row r="7" spans="1:7">
      <c r="A7" t="s">
        <v>40</v>
      </c>
      <c r="B7" s="1">
        <v>0.375</v>
      </c>
      <c r="C7" s="2">
        <v>9034.5</v>
      </c>
      <c r="D7" s="2">
        <v>13.5</v>
      </c>
      <c r="E7" s="3">
        <f>($B$2*C7^2+$B$3*C7+$B$4)-$B$5*D7</f>
        <v>3.1369532633411308E-2</v>
      </c>
      <c r="G7" t="s">
        <v>13</v>
      </c>
    </row>
    <row r="8" spans="1:7">
      <c r="A8" t="s">
        <v>41</v>
      </c>
      <c r="B8" s="1">
        <v>0.39583333333333298</v>
      </c>
      <c r="C8" s="2">
        <v>9075.7999999999993</v>
      </c>
      <c r="D8" s="2">
        <v>13.9</v>
      </c>
      <c r="E8" s="3">
        <f>($B$2*C8^2+$B$3*C8+$B$4)-$B$5*D8-$E$7</f>
        <v>-2.2771988652013977E-3</v>
      </c>
      <c r="F8" s="4">
        <f>$D$1+102*E8</f>
        <v>729.26772571574941</v>
      </c>
      <c r="G8" t="s">
        <v>17</v>
      </c>
    </row>
    <row r="9" spans="1:7">
      <c r="A9" t="s">
        <v>34</v>
      </c>
      <c r="B9" s="1">
        <v>0.33333333333333298</v>
      </c>
      <c r="C9" s="2">
        <v>9265.1</v>
      </c>
      <c r="D9" s="2">
        <v>16.899999999999999</v>
      </c>
      <c r="E9" s="3">
        <f t="shared" ref="E9:E18" si="0">($B$2*C9^2+$B$3*C9+$B$4)-$B$5*D9-$E$7</f>
        <v>-1.1599840174346933E-2</v>
      </c>
      <c r="F9" s="4">
        <f t="shared" ref="F9:F59" si="1">$D$1+102*E9</f>
        <v>728.31681630221658</v>
      </c>
      <c r="G9" t="s">
        <v>14</v>
      </c>
    </row>
    <row r="10" spans="1:7">
      <c r="A10" t="s">
        <v>35</v>
      </c>
      <c r="B10" s="1">
        <v>0.33333333333333298</v>
      </c>
      <c r="C10" s="2">
        <v>9246.7999999999993</v>
      </c>
      <c r="D10" s="2">
        <v>15.4</v>
      </c>
      <c r="E10" s="3">
        <f t="shared" si="0"/>
        <v>-1.1836707505954412E-2</v>
      </c>
      <c r="F10" s="4">
        <f t="shared" si="1"/>
        <v>728.29265583439269</v>
      </c>
    </row>
    <row r="11" spans="1:7">
      <c r="A11" t="s">
        <v>27</v>
      </c>
      <c r="B11" s="1">
        <v>0.33333333333333298</v>
      </c>
      <c r="C11" s="2">
        <v>9209.2999999999993</v>
      </c>
      <c r="D11" s="2">
        <v>12.1</v>
      </c>
      <c r="E11" s="3">
        <f t="shared" si="0"/>
        <v>-1.2533715823373166E-2</v>
      </c>
      <c r="F11" s="4">
        <f t="shared" si="1"/>
        <v>728.2215609860159</v>
      </c>
    </row>
    <row r="12" spans="1:7">
      <c r="A12" t="s">
        <v>36</v>
      </c>
      <c r="B12" s="1">
        <v>0.33333333333333298</v>
      </c>
      <c r="C12" s="2">
        <v>9222</v>
      </c>
      <c r="D12" s="2">
        <v>11.8</v>
      </c>
      <c r="E12" s="3">
        <f t="shared" si="0"/>
        <v>-1.3629590742031274E-2</v>
      </c>
      <c r="F12" s="4">
        <f t="shared" si="1"/>
        <v>728.10978174431284</v>
      </c>
    </row>
    <row r="13" spans="1:7">
      <c r="A13" t="s">
        <v>37</v>
      </c>
      <c r="B13" s="1">
        <v>0.33333333333333298</v>
      </c>
      <c r="C13" s="2">
        <v>9225.6</v>
      </c>
      <c r="D13" s="2">
        <v>13.1</v>
      </c>
      <c r="E13" s="3">
        <f t="shared" si="0"/>
        <v>-1.2639005347376043E-2</v>
      </c>
      <c r="F13" s="4">
        <f t="shared" si="1"/>
        <v>728.21082145456762</v>
      </c>
    </row>
    <row r="14" spans="1:7">
      <c r="A14" t="s">
        <v>38</v>
      </c>
      <c r="B14" s="1">
        <v>0.33333333333333298</v>
      </c>
      <c r="C14" s="2">
        <v>9195.6</v>
      </c>
      <c r="D14" s="2">
        <v>12.6</v>
      </c>
      <c r="E14" s="3">
        <f t="shared" si="0"/>
        <v>-1.1185692430396136E-2</v>
      </c>
      <c r="F14" s="4">
        <f t="shared" si="1"/>
        <v>728.35905937209964</v>
      </c>
    </row>
    <row r="15" spans="1:7">
      <c r="A15" t="s">
        <v>39</v>
      </c>
      <c r="B15" s="1">
        <v>0.33333333333333298</v>
      </c>
      <c r="C15" s="2">
        <v>9190.9</v>
      </c>
      <c r="D15" s="2">
        <v>10.6</v>
      </c>
      <c r="E15" s="3">
        <f t="shared" si="0"/>
        <v>-1.2763281985010817E-2</v>
      </c>
      <c r="F15" s="4">
        <f t="shared" si="1"/>
        <v>728.19814523752893</v>
      </c>
    </row>
    <row r="16" spans="1:7">
      <c r="A16" t="s">
        <v>28</v>
      </c>
      <c r="B16" s="1">
        <v>0.33333333333333298</v>
      </c>
      <c r="C16" s="2">
        <v>9118.2000000000007</v>
      </c>
      <c r="D16" s="2">
        <v>12.4</v>
      </c>
      <c r="E16" s="3">
        <f t="shared" si="0"/>
        <v>-6.4085041448094793E-3</v>
      </c>
      <c r="F16" s="4">
        <f t="shared" si="1"/>
        <v>728.84633257722942</v>
      </c>
    </row>
    <row r="17" spans="1:7">
      <c r="A17" t="s">
        <v>29</v>
      </c>
      <c r="B17" s="1">
        <v>0.33333333333333298</v>
      </c>
      <c r="C17" s="2">
        <v>9353.1</v>
      </c>
      <c r="D17" s="2">
        <v>22.7</v>
      </c>
      <c r="E17" s="3">
        <f t="shared" si="0"/>
        <v>-1.1784310189634901E-2</v>
      </c>
      <c r="F17" s="4">
        <f t="shared" si="1"/>
        <v>728.29800036065728</v>
      </c>
    </row>
    <row r="18" spans="1:7">
      <c r="A18" t="s">
        <v>30</v>
      </c>
      <c r="B18" s="1">
        <v>0.33333333333333298</v>
      </c>
      <c r="C18" s="2">
        <v>9333.5</v>
      </c>
      <c r="D18" s="2">
        <v>20.6</v>
      </c>
      <c r="E18" s="3">
        <f t="shared" si="0"/>
        <v>-1.2503069225760045E-2</v>
      </c>
      <c r="F18" s="4">
        <f t="shared" si="1"/>
        <v>728.22468693897247</v>
      </c>
    </row>
    <row r="19" spans="1:7">
      <c r="A19" t="s">
        <v>31</v>
      </c>
      <c r="B19" s="1">
        <v>0.33333333333333298</v>
      </c>
      <c r="C19" s="2">
        <v>9305.5</v>
      </c>
      <c r="D19" s="2">
        <v>19.600000000000001</v>
      </c>
      <c r="E19" s="3">
        <f t="shared" ref="E19:E25" si="2">($B$2*C19^2+$B$3*C19+$B$4)-$B$5*D19-$E$7</f>
        <v>-1.1650349487700069E-2</v>
      </c>
      <c r="F19" s="4">
        <f t="shared" si="1"/>
        <v>728.31166435225464</v>
      </c>
      <c r="G19" s="2"/>
    </row>
    <row r="20" spans="1:7">
      <c r="A20" t="s">
        <v>32</v>
      </c>
      <c r="B20" s="1">
        <v>0.33333333333333298</v>
      </c>
      <c r="C20" s="2">
        <v>9301.4</v>
      </c>
      <c r="D20" s="2">
        <v>20.2</v>
      </c>
      <c r="E20" s="3">
        <f t="shared" si="2"/>
        <v>-1.0824183142139045E-2</v>
      </c>
      <c r="F20" s="4">
        <f t="shared" si="1"/>
        <v>728.39593331950186</v>
      </c>
      <c r="G20" s="2"/>
    </row>
    <row r="21" spans="1:7">
      <c r="A21" t="s">
        <v>42</v>
      </c>
      <c r="B21" s="1">
        <v>0.33333333333333298</v>
      </c>
      <c r="C21" s="2">
        <v>9017.7999999999993</v>
      </c>
      <c r="D21" s="2">
        <v>7.5</v>
      </c>
      <c r="E21" s="3">
        <f t="shared" si="2"/>
        <v>-4.5636349890174135E-3</v>
      </c>
      <c r="F21" s="4">
        <f t="shared" si="1"/>
        <v>729.03450923112018</v>
      </c>
      <c r="G21" s="2"/>
    </row>
    <row r="22" spans="1:7">
      <c r="A22" t="s">
        <v>43</v>
      </c>
      <c r="B22" s="1">
        <v>0.33333333333333298</v>
      </c>
      <c r="C22">
        <v>9121.6</v>
      </c>
      <c r="D22">
        <v>7.2</v>
      </c>
      <c r="E22" s="3">
        <f t="shared" si="2"/>
        <v>-1.1511956883792057E-2</v>
      </c>
      <c r="F22" s="4">
        <f t="shared" si="1"/>
        <v>728.32578039785324</v>
      </c>
    </row>
    <row r="23" spans="1:7">
      <c r="A23" t="s">
        <v>44</v>
      </c>
      <c r="B23" s="1">
        <v>0.33333333333333298</v>
      </c>
      <c r="C23">
        <v>9185.1</v>
      </c>
      <c r="D23">
        <v>8.4</v>
      </c>
      <c r="E23" s="3">
        <f t="shared" si="2"/>
        <v>-1.445821046146684E-2</v>
      </c>
      <c r="F23" s="4">
        <f t="shared" si="1"/>
        <v>728.02526253293036</v>
      </c>
    </row>
    <row r="24" spans="1:7">
      <c r="A24" s="5" t="s">
        <v>18</v>
      </c>
      <c r="B24" s="1">
        <v>0.33333333333333298</v>
      </c>
      <c r="C24" s="2">
        <v>9210</v>
      </c>
      <c r="D24" s="2">
        <v>9.8000000000000007</v>
      </c>
      <c r="E24" s="3">
        <f t="shared" si="2"/>
        <v>-1.4739366208911295E-2</v>
      </c>
      <c r="F24" s="4">
        <f t="shared" si="1"/>
        <v>727.99658464669108</v>
      </c>
    </row>
    <row r="25" spans="1:7">
      <c r="A25" s="6">
        <v>42541</v>
      </c>
      <c r="B25" s="1">
        <v>0.33333333333333298</v>
      </c>
      <c r="C25" s="2">
        <v>9054</v>
      </c>
      <c r="D25" s="2">
        <v>10.8</v>
      </c>
      <c r="E25" s="3">
        <f t="shared" si="2"/>
        <v>-3.7893721357912351E-3</v>
      </c>
      <c r="F25" s="4">
        <f t="shared" si="1"/>
        <v>729.11348404214925</v>
      </c>
    </row>
    <row r="26" spans="1:7">
      <c r="A26" s="7">
        <v>42551</v>
      </c>
      <c r="B26" s="1">
        <v>0.33333333333333298</v>
      </c>
      <c r="C26">
        <v>9192.7999999999993</v>
      </c>
      <c r="D26">
        <v>11.5</v>
      </c>
      <c r="E26" s="3">
        <f>($B$2*C26^2+$B$3*C26+$B$4)-$B$5*D26-$E$7</f>
        <v>-1.2039583913542484E-2</v>
      </c>
      <c r="F26" s="4">
        <f t="shared" si="1"/>
        <v>728.2719624408187</v>
      </c>
    </row>
    <row r="27" spans="1:7">
      <c r="A27" s="7">
        <v>42561</v>
      </c>
      <c r="B27" s="1">
        <v>0.33333333333333298</v>
      </c>
      <c r="C27">
        <v>9192.7999999999993</v>
      </c>
      <c r="D27">
        <v>12.1</v>
      </c>
      <c r="E27" s="3">
        <f>($B$2*C27^2+$B$3*C27+$B$4)-$B$5*D27-$E$7</f>
        <v>-1.1475902513542486E-2</v>
      </c>
      <c r="F27" s="4">
        <f t="shared" si="1"/>
        <v>728.32945794361865</v>
      </c>
    </row>
    <row r="28" spans="1:7">
      <c r="A28" s="7">
        <v>42571</v>
      </c>
      <c r="B28" s="1">
        <v>0.33333333333333298</v>
      </c>
      <c r="C28">
        <v>9189.6</v>
      </c>
      <c r="D28">
        <v>12.7</v>
      </c>
      <c r="E28" s="3">
        <f>($B$2*C28^2+$B$3*C28+$B$4)-$B$5*D28-$E$7</f>
        <v>-1.0707041990880108E-2</v>
      </c>
      <c r="F28" s="4">
        <f t="shared" si="1"/>
        <v>728.40788171693021</v>
      </c>
    </row>
    <row r="29" spans="1:7">
      <c r="A29" s="7">
        <v>42581</v>
      </c>
      <c r="B29" s="1">
        <v>0.33333333333333298</v>
      </c>
      <c r="C29">
        <v>9214.4</v>
      </c>
      <c r="D29">
        <v>13.4</v>
      </c>
      <c r="E29" s="3">
        <f>($B$2*C29^2+$B$3*C29+$B$4)-$B$5*D29-$E$7</f>
        <v>-1.1639318632336051E-2</v>
      </c>
      <c r="F29" s="4">
        <f t="shared" si="1"/>
        <v>728.31278949950172</v>
      </c>
    </row>
    <row r="30" spans="1:7">
      <c r="A30" s="7">
        <v>42592</v>
      </c>
      <c r="B30" s="1">
        <v>0.33333333333333298</v>
      </c>
      <c r="C30">
        <v>9213.7999999999993</v>
      </c>
      <c r="D30">
        <v>13.8</v>
      </c>
      <c r="E30" s="3">
        <f t="shared" ref="E30:E54" si="3">($B$2*C30^2+$B$3*C30+$B$4)-$B$5*D30-$E$7</f>
        <v>-1.1225071912865404E-2</v>
      </c>
      <c r="F30" s="4">
        <f t="shared" si="1"/>
        <v>728.35504266488772</v>
      </c>
    </row>
    <row r="31" spans="1:7">
      <c r="A31" s="7">
        <v>42602</v>
      </c>
      <c r="B31" s="1">
        <v>0.33333333333333298</v>
      </c>
      <c r="C31">
        <v>9241.6</v>
      </c>
      <c r="D31">
        <v>14.5</v>
      </c>
      <c r="E31" s="3">
        <f t="shared" si="3"/>
        <v>-1.2349053548912105E-2</v>
      </c>
      <c r="F31" s="4">
        <f t="shared" si="1"/>
        <v>728.24039653801094</v>
      </c>
    </row>
    <row r="32" spans="1:7">
      <c r="A32" s="7">
        <v>42612</v>
      </c>
      <c r="B32" s="1">
        <v>0.33333333333333298</v>
      </c>
      <c r="C32">
        <v>9215.7999999999993</v>
      </c>
      <c r="D32">
        <v>14.8</v>
      </c>
      <c r="E32" s="3">
        <f t="shared" si="3"/>
        <v>-1.0413798758521449E-2</v>
      </c>
      <c r="F32" s="4">
        <f t="shared" si="1"/>
        <v>728.4377925266308</v>
      </c>
    </row>
    <row r="33" spans="1:6">
      <c r="A33" s="7">
        <v>42623</v>
      </c>
      <c r="B33" s="1">
        <v>0.33333333333333298</v>
      </c>
      <c r="C33">
        <v>9185.9</v>
      </c>
      <c r="D33">
        <v>15.1</v>
      </c>
      <c r="E33" s="3">
        <f t="shared" si="3"/>
        <v>-8.2150669133907311E-3</v>
      </c>
      <c r="F33" s="4">
        <f t="shared" si="1"/>
        <v>728.6620631748342</v>
      </c>
    </row>
    <row r="34" spans="1:6">
      <c r="A34" s="7">
        <v>42633</v>
      </c>
      <c r="B34" s="1">
        <v>0.33333333333333331</v>
      </c>
      <c r="C34">
        <v>9129</v>
      </c>
      <c r="D34">
        <v>15.4</v>
      </c>
      <c r="E34" s="3">
        <f t="shared" si="3"/>
        <v>-4.2832125031661769E-3</v>
      </c>
      <c r="F34" s="4">
        <f t="shared" si="1"/>
        <v>729.06311232467704</v>
      </c>
    </row>
    <row r="35" spans="1:6">
      <c r="A35" s="7">
        <v>42643</v>
      </c>
      <c r="B35" s="1">
        <v>0.33333333333333331</v>
      </c>
      <c r="C35">
        <v>8636.7999999999993</v>
      </c>
      <c r="D35">
        <v>15.5</v>
      </c>
      <c r="E35" s="3">
        <f t="shared" si="3"/>
        <v>2.7502001630825564E-2</v>
      </c>
      <c r="F35" s="4">
        <f t="shared" si="1"/>
        <v>732.3052041663442</v>
      </c>
    </row>
    <row r="36" spans="1:6">
      <c r="A36" s="7">
        <v>42653</v>
      </c>
      <c r="B36" s="1">
        <v>0.33333333333333331</v>
      </c>
      <c r="C36">
        <v>8659.2000000000007</v>
      </c>
      <c r="D36">
        <v>15.6</v>
      </c>
      <c r="E36" s="3">
        <f t="shared" si="3"/>
        <v>2.6149097961353535E-2</v>
      </c>
      <c r="F36" s="4">
        <f t="shared" si="1"/>
        <v>732.16720799205802</v>
      </c>
    </row>
    <row r="37" spans="1:6">
      <c r="A37" s="7">
        <v>42855</v>
      </c>
      <c r="B37" s="1">
        <v>0.33333333333333331</v>
      </c>
      <c r="C37">
        <v>8662</v>
      </c>
      <c r="D37">
        <v>8.9</v>
      </c>
      <c r="E37" s="3">
        <f t="shared" si="3"/>
        <v>1.9673830065168714E-2</v>
      </c>
      <c r="F37" s="4">
        <f t="shared" si="1"/>
        <v>731.50673066664717</v>
      </c>
    </row>
    <row r="38" spans="1:6">
      <c r="A38" s="7">
        <v>42865</v>
      </c>
      <c r="B38" s="1">
        <v>0.33333333333333331</v>
      </c>
      <c r="C38">
        <v>8572.4</v>
      </c>
      <c r="D38">
        <v>8.9</v>
      </c>
      <c r="E38" s="3">
        <f t="shared" si="3"/>
        <v>2.5463635720771878E-2</v>
      </c>
      <c r="F38" s="4">
        <f t="shared" si="1"/>
        <v>732.09729084351875</v>
      </c>
    </row>
    <row r="39" spans="1:6">
      <c r="A39" s="7">
        <v>42875</v>
      </c>
      <c r="B39" s="1">
        <v>0.33333333333333331</v>
      </c>
      <c r="C39">
        <v>8649.6</v>
      </c>
      <c r="D39">
        <v>8.6999999999999993</v>
      </c>
      <c r="E39" s="3">
        <f t="shared" si="3"/>
        <v>2.0286787169359846E-2</v>
      </c>
      <c r="F39" s="4">
        <f t="shared" si="1"/>
        <v>731.56925229127467</v>
      </c>
    </row>
    <row r="40" spans="1:6">
      <c r="A40" s="7">
        <v>42885</v>
      </c>
      <c r="B40" s="1">
        <v>0.33333333333333331</v>
      </c>
      <c r="C40">
        <v>8646.4</v>
      </c>
      <c r="D40">
        <v>8.6999999999999993</v>
      </c>
      <c r="E40" s="3">
        <f t="shared" si="3"/>
        <v>2.0493480107856024E-2</v>
      </c>
      <c r="F40" s="4">
        <f t="shared" si="1"/>
        <v>731.59033497100131</v>
      </c>
    </row>
    <row r="41" spans="1:6">
      <c r="A41" s="7">
        <v>42896</v>
      </c>
      <c r="B41" s="1">
        <v>0.33333333333333331</v>
      </c>
      <c r="C41">
        <v>8658.7999999999993</v>
      </c>
      <c r="D41">
        <v>8.6999999999999993</v>
      </c>
      <c r="E41" s="3">
        <f t="shared" si="3"/>
        <v>1.9692594646749564E-2</v>
      </c>
      <c r="F41" s="4">
        <f t="shared" si="1"/>
        <v>731.50864465396842</v>
      </c>
    </row>
    <row r="42" spans="1:6">
      <c r="A42" s="7">
        <v>42906</v>
      </c>
      <c r="B42" s="1">
        <v>0.33333333333333331</v>
      </c>
      <c r="C42">
        <v>8628.2000000000007</v>
      </c>
      <c r="D42">
        <v>8.6999999999999993</v>
      </c>
      <c r="E42" s="3">
        <f t="shared" si="3"/>
        <v>2.1669215792670463E-2</v>
      </c>
      <c r="F42" s="4">
        <f t="shared" si="1"/>
        <v>731.71026001085238</v>
      </c>
    </row>
    <row r="43" spans="1:6">
      <c r="A43" s="7">
        <v>42916</v>
      </c>
      <c r="B43" s="1">
        <v>0.33333333333333331</v>
      </c>
      <c r="C43">
        <v>8475.7999999999993</v>
      </c>
      <c r="D43">
        <v>8.8000000000000007</v>
      </c>
      <c r="E43" s="3">
        <f t="shared" si="3"/>
        <v>3.1619655357598635E-2</v>
      </c>
      <c r="F43" s="4">
        <f t="shared" si="1"/>
        <v>732.72520484647509</v>
      </c>
    </row>
    <row r="44" spans="1:6">
      <c r="A44" s="7">
        <v>42926</v>
      </c>
      <c r="B44" s="1">
        <v>0.33333333333333331</v>
      </c>
      <c r="C44">
        <v>8541.9</v>
      </c>
      <c r="D44">
        <v>8.9</v>
      </c>
      <c r="E44" s="3">
        <f t="shared" si="3"/>
        <v>2.7436090961685262E-2</v>
      </c>
      <c r="F44" s="4">
        <f t="shared" si="1"/>
        <v>732.29848127809191</v>
      </c>
    </row>
    <row r="45" spans="1:6">
      <c r="A45" s="7">
        <v>42936</v>
      </c>
      <c r="B45" s="1">
        <v>0.33333333333333331</v>
      </c>
      <c r="C45">
        <v>8617.2999999999993</v>
      </c>
      <c r="D45">
        <v>8.9</v>
      </c>
      <c r="E45" s="3">
        <f t="shared" si="3"/>
        <v>2.25613971051229E-2</v>
      </c>
      <c r="F45" s="4">
        <f t="shared" si="1"/>
        <v>731.80126250472256</v>
      </c>
    </row>
    <row r="46" spans="1:6">
      <c r="A46" s="7">
        <v>42946</v>
      </c>
      <c r="B46" s="1">
        <v>0.33333333333333331</v>
      </c>
      <c r="C46">
        <v>8550.2000000000007</v>
      </c>
      <c r="D46">
        <v>9.1</v>
      </c>
      <c r="E46" s="3">
        <f t="shared" si="3"/>
        <v>2.7087138018406572E-2</v>
      </c>
      <c r="F46" s="4">
        <f t="shared" si="1"/>
        <v>732.26288807787751</v>
      </c>
    </row>
    <row r="47" spans="1:6">
      <c r="A47" s="7">
        <v>42957</v>
      </c>
      <c r="B47" s="1">
        <v>0.33333333333333331</v>
      </c>
      <c r="C47">
        <v>8500.1</v>
      </c>
      <c r="D47">
        <v>9.1999999999999993</v>
      </c>
      <c r="E47" s="3">
        <f t="shared" si="3"/>
        <v>3.0422481377443106E-2</v>
      </c>
      <c r="F47" s="4">
        <f t="shared" si="1"/>
        <v>732.60309310049922</v>
      </c>
    </row>
    <row r="48" spans="1:6">
      <c r="A48" s="7">
        <v>42967</v>
      </c>
      <c r="B48" s="1">
        <v>0.33333333333333331</v>
      </c>
      <c r="C48">
        <v>8527.2000000000007</v>
      </c>
      <c r="D48">
        <v>9.9</v>
      </c>
      <c r="E48" s="3">
        <f t="shared" si="3"/>
        <v>2.9326508044217423E-2</v>
      </c>
      <c r="F48" s="4">
        <f t="shared" si="1"/>
        <v>732.49130382051021</v>
      </c>
    </row>
    <row r="49" spans="1:6">
      <c r="A49" s="7">
        <v>42977</v>
      </c>
      <c r="B49" s="1">
        <v>0.33333333333333331</v>
      </c>
      <c r="C49">
        <v>8496.9</v>
      </c>
      <c r="D49">
        <v>9.3000000000000007</v>
      </c>
      <c r="E49" s="3">
        <f t="shared" si="3"/>
        <v>3.072353784971521E-2</v>
      </c>
      <c r="F49" s="4">
        <f t="shared" si="1"/>
        <v>732.63380086067093</v>
      </c>
    </row>
    <row r="50" spans="1:6">
      <c r="A50" s="7">
        <v>42988</v>
      </c>
      <c r="B50" s="1">
        <v>0.33333333333333331</v>
      </c>
      <c r="C50">
        <v>8497.2999999999993</v>
      </c>
      <c r="D50">
        <v>9.8000000000000007</v>
      </c>
      <c r="E50" s="3">
        <f t="shared" si="3"/>
        <v>3.1167383165482808E-2</v>
      </c>
      <c r="F50" s="4">
        <f t="shared" si="1"/>
        <v>732.6790730828792</v>
      </c>
    </row>
    <row r="51" spans="1:6">
      <c r="A51" s="7">
        <v>42998</v>
      </c>
      <c r="B51" s="1">
        <v>0.33333333333333331</v>
      </c>
      <c r="C51">
        <v>8507.2999999999993</v>
      </c>
      <c r="D51">
        <v>9.6</v>
      </c>
      <c r="E51" s="3">
        <f t="shared" si="3"/>
        <v>3.0332305045952877E-2</v>
      </c>
      <c r="F51" s="4">
        <f t="shared" si="1"/>
        <v>732.59389511468714</v>
      </c>
    </row>
    <row r="52" spans="1:6">
      <c r="A52" s="7">
        <v>43008</v>
      </c>
      <c r="B52" s="1">
        <v>0.33333333333333331</v>
      </c>
      <c r="C52">
        <v>8523</v>
      </c>
      <c r="D52">
        <v>9.5</v>
      </c>
      <c r="E52" s="3">
        <f t="shared" si="3"/>
        <v>2.9222454461993667E-2</v>
      </c>
      <c r="F52" s="4">
        <f t="shared" si="1"/>
        <v>732.48069035512333</v>
      </c>
    </row>
    <row r="53" spans="1:6">
      <c r="A53" s="7">
        <v>43018</v>
      </c>
      <c r="B53" s="1">
        <v>0.33333333333333331</v>
      </c>
      <c r="C53">
        <v>8511.5</v>
      </c>
      <c r="D53">
        <v>9.5</v>
      </c>
      <c r="E53" s="3">
        <f t="shared" si="3"/>
        <v>2.996656670169006E-2</v>
      </c>
      <c r="F53" s="4">
        <f t="shared" si="1"/>
        <v>732.55658980357236</v>
      </c>
    </row>
    <row r="54" spans="1:6">
      <c r="A54" s="7">
        <v>43230</v>
      </c>
      <c r="B54" s="1">
        <v>0.33333333333333331</v>
      </c>
      <c r="C54">
        <v>8489.2000000000007</v>
      </c>
      <c r="D54">
        <v>7.4</v>
      </c>
      <c r="E54" s="3">
        <f t="shared" si="3"/>
        <v>2.9436940704893465E-2</v>
      </c>
      <c r="F54" s="4">
        <f t="shared" si="1"/>
        <v>732.5025679518991</v>
      </c>
    </row>
    <row r="55" spans="1:6">
      <c r="A55" s="7">
        <v>43240</v>
      </c>
      <c r="B55" s="1">
        <v>0.33333333333333331</v>
      </c>
      <c r="C55">
        <v>8504.1</v>
      </c>
      <c r="D55">
        <v>7.4</v>
      </c>
      <c r="E55" s="3">
        <f>($B$2*C55^2+$B$3*C55+$B$4)-$B$5*D55-$E$7</f>
        <v>2.8472562752919116E-2</v>
      </c>
      <c r="F55" s="4">
        <f t="shared" si="1"/>
        <v>732.40420140079777</v>
      </c>
    </row>
    <row r="56" spans="1:6">
      <c r="A56" s="7">
        <v>43250</v>
      </c>
      <c r="B56" s="1">
        <v>0.33333333333333331</v>
      </c>
      <c r="C56">
        <v>8510.7000000000007</v>
      </c>
      <c r="D56">
        <v>7.2</v>
      </c>
      <c r="E56" s="3">
        <f>($B$2*C56^2+$B$3*C56+$B$4)-$B$5*D56-$E$7</f>
        <v>2.7857556616186691E-2</v>
      </c>
      <c r="F56" s="4">
        <f t="shared" si="1"/>
        <v>732.34147077485102</v>
      </c>
    </row>
    <row r="57" spans="1:6">
      <c r="A57" s="7">
        <v>43261</v>
      </c>
      <c r="B57" s="1">
        <v>0.33333333333333331</v>
      </c>
      <c r="C57">
        <v>8426.5</v>
      </c>
      <c r="D57">
        <v>7</v>
      </c>
      <c r="E57" s="3">
        <f>($B$2*C57^2+$B$3*C57+$B$4)-$B$5*D57-$E$7</f>
        <v>3.3121425971840014E-2</v>
      </c>
      <c r="F57" s="4">
        <f t="shared" si="1"/>
        <v>732.87838544912768</v>
      </c>
    </row>
    <row r="58" spans="1:6">
      <c r="A58" s="7">
        <v>43271</v>
      </c>
      <c r="B58" s="1">
        <v>0.33333333333333331</v>
      </c>
      <c r="C58">
        <v>8329.2000000000007</v>
      </c>
      <c r="D58">
        <v>7.2</v>
      </c>
      <c r="E58" s="3">
        <f>($B$2*C58^2+$B$3*C58+$B$4)-$B$5*D58-$E$7</f>
        <v>3.9616968794813544E-2</v>
      </c>
      <c r="F58" s="4">
        <f t="shared" si="1"/>
        <v>733.54093081707094</v>
      </c>
    </row>
    <row r="59" spans="1:6">
      <c r="A59" s="7">
        <v>43281</v>
      </c>
      <c r="B59" s="1">
        <v>0.33333333333333331</v>
      </c>
      <c r="C59">
        <v>8377.2999999999993</v>
      </c>
      <c r="D59">
        <v>7</v>
      </c>
      <c r="E59" s="3">
        <f>($B$2*C59^2+$B$3*C59+$B$4)-$B$5*D59-$E$7</f>
        <v>3.6309874741842808E-2</v>
      </c>
      <c r="F59" s="4">
        <f t="shared" si="1"/>
        <v>733.20360722366797</v>
      </c>
    </row>
    <row r="60" spans="1:6">
      <c r="A60" s="7">
        <v>43291</v>
      </c>
      <c r="B60" s="1">
        <v>0.33333333333333331</v>
      </c>
      <c r="C60">
        <v>8440.1</v>
      </c>
      <c r="D60">
        <v>7.4</v>
      </c>
    </row>
    <row r="61" spans="1:6">
      <c r="A61" s="7">
        <v>43301</v>
      </c>
      <c r="B61" s="1">
        <v>0.33333333333333331</v>
      </c>
      <c r="C61">
        <v>8411.6</v>
      </c>
      <c r="D61">
        <v>7.4</v>
      </c>
    </row>
    <row r="62" spans="1:6">
      <c r="A62" s="7">
        <v>43311</v>
      </c>
      <c r="B62" s="1">
        <v>0.33333333333333331</v>
      </c>
      <c r="C62">
        <v>8410.9</v>
      </c>
      <c r="D62">
        <v>6.7</v>
      </c>
    </row>
    <row r="63" spans="1:6">
      <c r="A63" s="7">
        <v>43322</v>
      </c>
      <c r="B63" s="1">
        <v>0.33333333333333331</v>
      </c>
      <c r="C63">
        <v>8368.7000000000007</v>
      </c>
      <c r="D63">
        <v>7.4</v>
      </c>
    </row>
    <row r="64" spans="1:6">
      <c r="A64" s="7">
        <v>43332</v>
      </c>
      <c r="B64" s="1">
        <v>0.33333333333333331</v>
      </c>
      <c r="C64">
        <v>8403.2999999999993</v>
      </c>
      <c r="D64">
        <v>7.1</v>
      </c>
    </row>
    <row r="65" spans="1:4">
      <c r="A65" s="7">
        <v>43342</v>
      </c>
      <c r="B65" s="1">
        <v>0.33333333333333331</v>
      </c>
      <c r="C65">
        <v>8342.7000000000007</v>
      </c>
      <c r="D65">
        <v>7.4</v>
      </c>
    </row>
    <row r="66" spans="1:4">
      <c r="A66" s="7">
        <v>43353</v>
      </c>
      <c r="B66" s="1">
        <v>0.33333333333333331</v>
      </c>
      <c r="C66">
        <v>8232.7999999999993</v>
      </c>
      <c r="D66">
        <v>7.9</v>
      </c>
    </row>
    <row r="67" spans="1:4">
      <c r="A67" s="7">
        <v>43363</v>
      </c>
      <c r="B67" s="1">
        <v>0.33333333333333331</v>
      </c>
      <c r="C67">
        <v>8351.1</v>
      </c>
      <c r="D67">
        <v>7.5</v>
      </c>
    </row>
    <row r="68" spans="1:4">
      <c r="A68" s="7">
        <v>43373</v>
      </c>
      <c r="B68" s="1">
        <v>0.33333333333333331</v>
      </c>
      <c r="C68">
        <v>8360.2000000000007</v>
      </c>
      <c r="D68">
        <v>7.4</v>
      </c>
    </row>
    <row r="69" spans="1:4">
      <c r="A69" s="7">
        <v>43383</v>
      </c>
      <c r="B69" s="1">
        <v>0.33333333333333331</v>
      </c>
      <c r="C69">
        <v>8364.7000000000007</v>
      </c>
      <c r="D69">
        <v>7.3</v>
      </c>
    </row>
    <row r="70" spans="1:4">
      <c r="A70" s="7">
        <v>43393</v>
      </c>
      <c r="B70" s="1">
        <v>0.33333333333333331</v>
      </c>
      <c r="C70">
        <v>8367.2000000000007</v>
      </c>
      <c r="D70">
        <v>7.2</v>
      </c>
    </row>
    <row r="71" spans="1:4">
      <c r="A71" s="32">
        <v>43605</v>
      </c>
      <c r="B71" s="1">
        <v>0.33333333333333331</v>
      </c>
      <c r="C71">
        <v>8381.2999999999993</v>
      </c>
      <c r="D71">
        <v>6.7</v>
      </c>
    </row>
    <row r="72" spans="1:4">
      <c r="A72" s="32">
        <v>43615</v>
      </c>
      <c r="B72" s="1">
        <v>0.33333333333333331</v>
      </c>
      <c r="C72">
        <v>8379.2999999999993</v>
      </c>
      <c r="D72">
        <v>6.9</v>
      </c>
    </row>
    <row r="73" spans="1:4">
      <c r="A73" s="32">
        <v>43626</v>
      </c>
      <c r="B73" s="1">
        <v>0.33333333333333331</v>
      </c>
      <c r="C73">
        <v>8380.7000000000007</v>
      </c>
      <c r="D73">
        <v>7.1</v>
      </c>
    </row>
    <row r="74" spans="1:4">
      <c r="A74" s="32">
        <v>43636</v>
      </c>
      <c r="B74" s="1">
        <v>0.33333333333333331</v>
      </c>
      <c r="C74">
        <v>8382.1</v>
      </c>
      <c r="D74">
        <v>7.3</v>
      </c>
    </row>
    <row r="75" spans="1:4">
      <c r="A75" s="7">
        <v>43646</v>
      </c>
      <c r="B75" s="1">
        <v>0.33333333333333331</v>
      </c>
      <c r="C75">
        <v>8375.2999999999993</v>
      </c>
      <c r="D75">
        <v>7</v>
      </c>
    </row>
    <row r="76" spans="1:4">
      <c r="A76" s="7">
        <v>43656</v>
      </c>
      <c r="B76" s="1">
        <v>0.33333333333333331</v>
      </c>
      <c r="C76">
        <v>8369.2000000000007</v>
      </c>
      <c r="D76">
        <v>6.8</v>
      </c>
    </row>
    <row r="77" spans="1:4">
      <c r="A77" s="7">
        <v>43666</v>
      </c>
      <c r="B77" s="1">
        <v>0.33333333333333331</v>
      </c>
      <c r="C77">
        <v>8354.2999999999993</v>
      </c>
      <c r="D77">
        <v>6.8</v>
      </c>
    </row>
    <row r="78" spans="1:4">
      <c r="A78" s="7">
        <v>43676</v>
      </c>
      <c r="B78" s="1">
        <v>0.33333333333333331</v>
      </c>
      <c r="C78">
        <v>8327.2999999999993</v>
      </c>
      <c r="D78">
        <v>6.5</v>
      </c>
    </row>
    <row r="79" spans="1:4">
      <c r="A79" s="7">
        <v>43687</v>
      </c>
      <c r="B79" s="1">
        <v>0.33333333333333331</v>
      </c>
      <c r="C79">
        <v>8318.9</v>
      </c>
      <c r="D79">
        <v>6.5</v>
      </c>
    </row>
    <row r="80" spans="1:4">
      <c r="A80" s="7">
        <v>43697</v>
      </c>
      <c r="B80" s="1">
        <v>0.33333333333333331</v>
      </c>
      <c r="C80">
        <v>8309.4</v>
      </c>
      <c r="D80">
        <v>6.3</v>
      </c>
    </row>
    <row r="81" spans="1:4">
      <c r="A81" s="7">
        <v>43707</v>
      </c>
      <c r="B81" s="1">
        <v>0.33333333333333331</v>
      </c>
      <c r="C81">
        <v>8301.6</v>
      </c>
      <c r="D81">
        <v>6.2</v>
      </c>
    </row>
  </sheetData>
  <phoneticPr fontId="4" type="noConversion"/>
  <pageMargins left="0.69930555555555596" right="0.69930555555555596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6"/>
  <sheetViews>
    <sheetView topLeftCell="A43" workbookViewId="0">
      <selection activeCell="A60" sqref="A60:B62"/>
    </sheetView>
  </sheetViews>
  <sheetFormatPr defaultColWidth="9" defaultRowHeight="13.5"/>
  <cols>
    <col min="1" max="1" width="11.125" customWidth="1"/>
    <col min="2" max="2" width="13.125" style="17" customWidth="1"/>
    <col min="5" max="5" width="10.875" customWidth="1"/>
    <col min="8" max="8" width="9.5" customWidth="1"/>
  </cols>
  <sheetData>
    <row r="1" spans="1:8">
      <c r="A1" t="s">
        <v>0</v>
      </c>
      <c r="B1" s="18">
        <v>11258</v>
      </c>
      <c r="C1" t="s">
        <v>1</v>
      </c>
      <c r="D1" s="11">
        <v>733.5</v>
      </c>
    </row>
    <row r="2" spans="1:8">
      <c r="A2" t="s">
        <v>2</v>
      </c>
      <c r="B2" s="24">
        <v>-2.09846E-10</v>
      </c>
    </row>
    <row r="3" spans="1:8">
      <c r="A3" t="s">
        <v>3</v>
      </c>
      <c r="B3" s="18">
        <v>-1.70316E-4</v>
      </c>
    </row>
    <row r="4" spans="1:8">
      <c r="A4" t="s">
        <v>4</v>
      </c>
      <c r="B4" s="18">
        <v>1.61765268</v>
      </c>
    </row>
    <row r="5" spans="1:8">
      <c r="A5" t="s">
        <v>5</v>
      </c>
      <c r="B5" s="18">
        <v>-3.3280610000000002E-3</v>
      </c>
    </row>
    <row r="6" spans="1:8">
      <c r="A6" t="s">
        <v>6</v>
      </c>
      <c r="B6" s="17" t="s">
        <v>7</v>
      </c>
      <c r="C6" t="s">
        <v>8</v>
      </c>
      <c r="D6" t="s">
        <v>9</v>
      </c>
      <c r="E6" t="s">
        <v>10</v>
      </c>
      <c r="F6" t="s">
        <v>11</v>
      </c>
      <c r="G6" t="s">
        <v>12</v>
      </c>
    </row>
    <row r="7" spans="1:8">
      <c r="A7" s="6">
        <v>42603</v>
      </c>
      <c r="B7" s="9">
        <v>0.54166666666666696</v>
      </c>
      <c r="C7" s="2">
        <v>9287.2999999999993</v>
      </c>
      <c r="D7" s="2">
        <v>16.7</v>
      </c>
      <c r="E7" s="3">
        <f>($B$2*C7^2+$B$3*C7+$B$4)-$B$5*D7</f>
        <v>7.335546733605855E-2</v>
      </c>
      <c r="G7" t="s">
        <v>13</v>
      </c>
    </row>
    <row r="8" spans="1:8">
      <c r="A8" s="6">
        <v>42603</v>
      </c>
      <c r="B8" s="9">
        <v>0.65972222222222199</v>
      </c>
      <c r="C8" s="2">
        <v>8958.9</v>
      </c>
      <c r="D8" s="2">
        <v>19.7</v>
      </c>
      <c r="E8" s="3">
        <f t="shared" ref="E8:E35" si="0">($B$2*C8^2+$B$3*C8+$B$4)-$B$5*D8-$E$7</f>
        <v>6.7173365560779769E-2</v>
      </c>
      <c r="F8" s="4">
        <f>$D$1+102*E8</f>
        <v>740.35168328719953</v>
      </c>
      <c r="G8" s="5" t="s">
        <v>14</v>
      </c>
      <c r="H8" s="23"/>
    </row>
    <row r="9" spans="1:8">
      <c r="A9" s="6">
        <v>42604</v>
      </c>
      <c r="B9" s="9">
        <v>0.33333333333333298</v>
      </c>
      <c r="C9" s="2">
        <v>9112.7000000000007</v>
      </c>
      <c r="D9" s="2">
        <v>15.2</v>
      </c>
      <c r="E9" s="3">
        <f t="shared" si="0"/>
        <v>2.5419241753439931E-2</v>
      </c>
      <c r="F9" s="4">
        <f t="shared" ref="F9:F50" si="1">$D$1+102*E9</f>
        <v>736.09276265885092</v>
      </c>
      <c r="H9" s="23"/>
    </row>
    <row r="10" spans="1:8">
      <c r="A10" s="6">
        <v>42605</v>
      </c>
      <c r="B10" s="9">
        <v>0.33333333333333298</v>
      </c>
      <c r="C10" s="2">
        <v>9105</v>
      </c>
      <c r="D10" s="2">
        <v>14.6</v>
      </c>
      <c r="E10" s="3">
        <f t="shared" si="0"/>
        <v>2.4763274771791369E-2</v>
      </c>
      <c r="F10" s="4">
        <f t="shared" si="1"/>
        <v>736.02585402672275</v>
      </c>
      <c r="H10" s="23"/>
    </row>
    <row r="11" spans="1:8">
      <c r="A11" s="6">
        <v>42606</v>
      </c>
      <c r="B11" s="9">
        <v>0.33333333333333298</v>
      </c>
      <c r="C11" s="2">
        <v>9103</v>
      </c>
      <c r="D11" s="2">
        <v>14.5</v>
      </c>
      <c r="E11" s="3">
        <f t="shared" si="0"/>
        <v>2.4778742423727393E-2</v>
      </c>
      <c r="F11" s="4">
        <f t="shared" si="1"/>
        <v>736.02743172722023</v>
      </c>
      <c r="H11" s="23"/>
    </row>
    <row r="12" spans="1:8">
      <c r="A12" s="6">
        <v>42607</v>
      </c>
      <c r="B12" s="9">
        <v>0.33333333333333298</v>
      </c>
      <c r="C12" s="2">
        <v>9098.1</v>
      </c>
      <c r="D12" s="2">
        <v>14.4</v>
      </c>
      <c r="E12" s="3">
        <f t="shared" si="0"/>
        <v>2.5299199921077348E-2</v>
      </c>
      <c r="F12" s="4">
        <f t="shared" si="1"/>
        <v>736.08051839194991</v>
      </c>
      <c r="H12" s="23"/>
    </row>
    <row r="13" spans="1:8">
      <c r="A13" s="6">
        <v>42608</v>
      </c>
      <c r="B13" s="9">
        <v>0.33333333333333298</v>
      </c>
      <c r="C13" s="2">
        <v>9095.2999999999993</v>
      </c>
      <c r="D13" s="2">
        <v>14.4</v>
      </c>
      <c r="E13" s="3">
        <f t="shared" si="0"/>
        <v>2.5786774595283252E-2</v>
      </c>
      <c r="F13" s="4">
        <f t="shared" si="1"/>
        <v>736.13025100871891</v>
      </c>
      <c r="H13" s="23"/>
    </row>
    <row r="14" spans="1:8">
      <c r="A14" s="6">
        <v>42609</v>
      </c>
      <c r="B14" s="9">
        <v>0.33333333333333298</v>
      </c>
      <c r="C14" s="2">
        <v>9095.7999999999993</v>
      </c>
      <c r="D14" s="2">
        <v>14.3</v>
      </c>
      <c r="E14" s="3">
        <f t="shared" si="0"/>
        <v>2.5366901830498279E-2</v>
      </c>
      <c r="F14" s="4">
        <f t="shared" si="1"/>
        <v>736.08742398671086</v>
      </c>
      <c r="H14" s="23"/>
    </row>
    <row r="15" spans="1:8">
      <c r="A15" s="6">
        <v>42610</v>
      </c>
      <c r="B15" s="9">
        <v>0.33333333333333298</v>
      </c>
      <c r="C15" s="2">
        <v>9095.7999999999993</v>
      </c>
      <c r="D15" s="2">
        <v>14.3</v>
      </c>
      <c r="E15" s="3">
        <f t="shared" si="0"/>
        <v>2.5366901830498279E-2</v>
      </c>
      <c r="F15" s="4">
        <f t="shared" si="1"/>
        <v>736.08742398671086</v>
      </c>
      <c r="H15" s="23"/>
    </row>
    <row r="16" spans="1:8">
      <c r="A16" s="6">
        <v>42611</v>
      </c>
      <c r="B16" s="9">
        <v>0.33333333333333298</v>
      </c>
      <c r="C16" s="2">
        <v>9095.7000000000007</v>
      </c>
      <c r="D16" s="2">
        <v>14.4</v>
      </c>
      <c r="E16" s="3">
        <f t="shared" si="0"/>
        <v>2.5717121271848692E-2</v>
      </c>
      <c r="F16" s="4">
        <f t="shared" si="1"/>
        <v>736.1231463697286</v>
      </c>
      <c r="H16" s="23"/>
    </row>
    <row r="17" spans="1:8">
      <c r="A17" s="6">
        <v>42623</v>
      </c>
      <c r="B17" s="9">
        <v>0.33333333333333298</v>
      </c>
      <c r="C17" s="2">
        <v>9093.9</v>
      </c>
      <c r="D17" s="2">
        <v>14.8</v>
      </c>
      <c r="E17" s="3">
        <f t="shared" si="0"/>
        <v>2.736178509849177E-2</v>
      </c>
      <c r="F17" s="4">
        <f t="shared" si="1"/>
        <v>736.29090208004618</v>
      </c>
      <c r="H17" s="23"/>
    </row>
    <row r="18" spans="1:8">
      <c r="A18" s="6">
        <v>42633</v>
      </c>
      <c r="B18" s="9">
        <v>0.33333333333333331</v>
      </c>
      <c r="C18" s="2">
        <v>9086.4</v>
      </c>
      <c r="D18" s="2">
        <v>15.1</v>
      </c>
      <c r="E18" s="3">
        <f t="shared" si="0"/>
        <v>2.9666186372745429E-2</v>
      </c>
      <c r="F18" s="4">
        <f t="shared" si="1"/>
        <v>736.52595101001998</v>
      </c>
      <c r="H18" s="23"/>
    </row>
    <row r="19" spans="1:8">
      <c r="A19" s="7">
        <v>42643</v>
      </c>
      <c r="B19" s="9">
        <v>0.33333333333333331</v>
      </c>
      <c r="C19" s="2">
        <v>9106.5</v>
      </c>
      <c r="D19" s="2">
        <v>15.3</v>
      </c>
      <c r="E19" s="3">
        <f t="shared" si="0"/>
        <v>2.6831711056147844E-2</v>
      </c>
      <c r="F19" s="4">
        <f t="shared" si="1"/>
        <v>736.23683452772707</v>
      </c>
      <c r="H19" s="23"/>
    </row>
    <row r="20" spans="1:8">
      <c r="A20" s="7">
        <v>42884</v>
      </c>
      <c r="B20" s="9">
        <v>0.33333333333333331</v>
      </c>
      <c r="C20" s="2">
        <v>9092.6</v>
      </c>
      <c r="D20" s="2">
        <v>12.9</v>
      </c>
      <c r="E20" s="3">
        <f t="shared" si="0"/>
        <v>2.1264841272054441E-2</v>
      </c>
      <c r="F20" s="4">
        <f t="shared" si="1"/>
        <v>735.66901380974957</v>
      </c>
      <c r="H20" s="23"/>
    </row>
    <row r="21" spans="1:8">
      <c r="A21" s="7">
        <v>42885</v>
      </c>
      <c r="B21" s="9">
        <v>0.33333333333333331</v>
      </c>
      <c r="C21" s="2">
        <v>9092.7999999999993</v>
      </c>
      <c r="D21" s="2">
        <v>12.9</v>
      </c>
      <c r="E21" s="3">
        <f t="shared" si="0"/>
        <v>2.1230014845364825E-2</v>
      </c>
      <c r="F21" s="4">
        <f t="shared" si="1"/>
        <v>735.66546151422722</v>
      </c>
      <c r="H21" s="23"/>
    </row>
    <row r="22" spans="1:8">
      <c r="A22" s="7">
        <v>42896</v>
      </c>
      <c r="B22" s="9">
        <v>0.33333333333333331</v>
      </c>
      <c r="C22" s="2">
        <v>9093.4</v>
      </c>
      <c r="D22" s="2">
        <v>12.8</v>
      </c>
      <c r="E22" s="3">
        <f t="shared" si="0"/>
        <v>2.0792729364569662E-2</v>
      </c>
      <c r="F22" s="4">
        <f t="shared" si="1"/>
        <v>735.62085839518613</v>
      </c>
      <c r="H22" s="23"/>
    </row>
    <row r="23" spans="1:8">
      <c r="A23" s="7">
        <v>42906</v>
      </c>
      <c r="B23" s="9">
        <v>0.33333333333333331</v>
      </c>
      <c r="C23" s="2">
        <v>9090.2999999999993</v>
      </c>
      <c r="D23" s="2">
        <v>12.7</v>
      </c>
      <c r="E23" s="3">
        <f t="shared" si="0"/>
        <v>2.0999731772371327E-2</v>
      </c>
      <c r="F23" s="4">
        <f t="shared" si="1"/>
        <v>735.64197264078189</v>
      </c>
    </row>
    <row r="24" spans="1:8">
      <c r="A24" s="7">
        <v>42916</v>
      </c>
      <c r="B24" s="9">
        <v>0.33333333333333331</v>
      </c>
      <c r="C24" s="2">
        <v>9079.6</v>
      </c>
      <c r="D24" s="2">
        <v>12.6</v>
      </c>
      <c r="E24" s="3">
        <f t="shared" si="0"/>
        <v>2.2530104697310149E-2</v>
      </c>
      <c r="F24" s="4">
        <f t="shared" si="1"/>
        <v>735.79807067912566</v>
      </c>
    </row>
    <row r="25" spans="1:8">
      <c r="A25" s="7">
        <v>42926</v>
      </c>
      <c r="B25" s="9">
        <v>0.33333333333333331</v>
      </c>
      <c r="C25" s="2">
        <v>9093.7000000000007</v>
      </c>
      <c r="D25" s="2">
        <v>12.6</v>
      </c>
      <c r="E25" s="3">
        <f t="shared" si="0"/>
        <v>2.0074877417513515E-2</v>
      </c>
      <c r="F25" s="4">
        <f t="shared" si="1"/>
        <v>735.54763749658639</v>
      </c>
    </row>
    <row r="26" spans="1:8">
      <c r="A26" s="7">
        <v>42936</v>
      </c>
      <c r="B26" s="9">
        <v>0.33333333333333331</v>
      </c>
      <c r="C26" s="2">
        <v>9089.2000000000007</v>
      </c>
      <c r="D26" s="2">
        <v>12.5</v>
      </c>
      <c r="E26" s="3">
        <f t="shared" si="0"/>
        <v>2.0525663557263846E-2</v>
      </c>
      <c r="F26" s="4">
        <f t="shared" si="1"/>
        <v>735.59361768284089</v>
      </c>
    </row>
    <row r="27" spans="1:8">
      <c r="A27" s="7">
        <v>42946</v>
      </c>
      <c r="B27" s="9">
        <v>0.33333333333333331</v>
      </c>
      <c r="C27" s="2">
        <v>9092.9</v>
      </c>
      <c r="D27" s="2">
        <v>12.4</v>
      </c>
      <c r="E27" s="3">
        <f t="shared" si="0"/>
        <v>1.9548571125724612E-2</v>
      </c>
      <c r="F27" s="4">
        <f t="shared" si="1"/>
        <v>735.49395425482396</v>
      </c>
    </row>
    <row r="28" spans="1:8">
      <c r="A28" s="6">
        <v>42957</v>
      </c>
      <c r="B28" s="9">
        <v>0.33333333333333331</v>
      </c>
      <c r="C28" s="2">
        <v>9085.4</v>
      </c>
      <c r="D28" s="2">
        <v>12.3</v>
      </c>
      <c r="E28" s="3">
        <f t="shared" si="0"/>
        <v>2.0521744852288165E-2</v>
      </c>
      <c r="F28" s="4">
        <f t="shared" si="1"/>
        <v>735.5932179749334</v>
      </c>
    </row>
    <row r="29" spans="1:8">
      <c r="A29" s="7">
        <v>42967</v>
      </c>
      <c r="B29" s="9">
        <v>0.33333333333333331</v>
      </c>
      <c r="C29" s="2">
        <v>9081.7000000000007</v>
      </c>
      <c r="D29" s="2">
        <v>12.3</v>
      </c>
      <c r="E29" s="3">
        <f t="shared" si="0"/>
        <v>2.1166019537374264E-2</v>
      </c>
      <c r="F29" s="4">
        <f t="shared" si="1"/>
        <v>735.65893399281219</v>
      </c>
    </row>
    <row r="30" spans="1:8">
      <c r="A30" s="7">
        <v>42977</v>
      </c>
      <c r="B30" s="9">
        <v>0.33333333333333331</v>
      </c>
      <c r="C30" s="2">
        <v>9082.6</v>
      </c>
      <c r="D30" s="2">
        <v>12.9</v>
      </c>
      <c r="E30" s="3">
        <f t="shared" si="0"/>
        <v>2.300614120224645E-2</v>
      </c>
      <c r="F30" s="4">
        <f t="shared" si="1"/>
        <v>735.84662640262911</v>
      </c>
    </row>
    <row r="31" spans="1:8">
      <c r="A31" s="7">
        <v>42988</v>
      </c>
      <c r="B31" s="9">
        <v>0.33333333333333331</v>
      </c>
      <c r="C31" s="2">
        <v>9081.2999999999993</v>
      </c>
      <c r="D31" s="2">
        <v>12</v>
      </c>
      <c r="E31" s="3">
        <f t="shared" si="0"/>
        <v>2.023725221053374E-2</v>
      </c>
      <c r="F31" s="4">
        <f t="shared" si="1"/>
        <v>735.5641997254744</v>
      </c>
    </row>
    <row r="32" spans="1:8">
      <c r="A32" s="7">
        <v>42998</v>
      </c>
      <c r="B32" s="9">
        <v>0.33333333333333331</v>
      </c>
      <c r="C32" s="2">
        <v>9086.2000000000007</v>
      </c>
      <c r="D32" s="2">
        <v>12.2</v>
      </c>
      <c r="E32" s="3">
        <f t="shared" si="0"/>
        <v>2.0049635362229201E-2</v>
      </c>
      <c r="F32" s="4">
        <f t="shared" si="1"/>
        <v>735.54506280694739</v>
      </c>
    </row>
    <row r="33" spans="1:6">
      <c r="A33" s="7">
        <v>43008</v>
      </c>
      <c r="B33" s="9">
        <v>0.33333333333333331</v>
      </c>
      <c r="C33" s="2">
        <v>9085.4</v>
      </c>
      <c r="D33" s="2">
        <v>11.9</v>
      </c>
      <c r="E33" s="3">
        <f t="shared" si="0"/>
        <v>1.9190520452288168E-2</v>
      </c>
      <c r="F33" s="4">
        <f t="shared" si="1"/>
        <v>735.45743308613339</v>
      </c>
    </row>
    <row r="34" spans="1:6">
      <c r="A34" s="7">
        <v>43018</v>
      </c>
      <c r="B34" s="9">
        <v>0.33333333333333331</v>
      </c>
      <c r="C34" s="2">
        <v>9083.9</v>
      </c>
      <c r="D34" s="2">
        <v>12.1</v>
      </c>
      <c r="E34" s="3">
        <f t="shared" si="0"/>
        <v>2.0117325784679868E-2</v>
      </c>
      <c r="F34" s="4">
        <f t="shared" si="1"/>
        <v>735.55196723003735</v>
      </c>
    </row>
    <row r="35" spans="1:6">
      <c r="A35" s="7">
        <v>43230</v>
      </c>
      <c r="B35" s="9">
        <v>0.33333333333333331</v>
      </c>
      <c r="C35" s="2">
        <v>9076.2999999999993</v>
      </c>
      <c r="D35" s="2">
        <v>9.1999999999999993</v>
      </c>
      <c r="E35" s="3">
        <f t="shared" si="0"/>
        <v>1.178931290918192E-2</v>
      </c>
      <c r="F35" s="4">
        <f t="shared" si="1"/>
        <v>734.70250991673652</v>
      </c>
    </row>
    <row r="36" spans="1:6">
      <c r="A36" s="7">
        <v>43240</v>
      </c>
      <c r="B36" s="9">
        <v>0.33333333333333331</v>
      </c>
      <c r="C36" s="2">
        <v>9079.2000000000007</v>
      </c>
      <c r="D36" s="2">
        <v>11.6</v>
      </c>
      <c r="E36" s="3">
        <f t="shared" ref="E36:E50" si="2">($B$2*C36^2+$B$3*C36+$B$4)-$B$5*D36-$E$7</f>
        <v>1.9271694317927857E-2</v>
      </c>
      <c r="F36" s="4">
        <f t="shared" si="1"/>
        <v>735.46571282042862</v>
      </c>
    </row>
    <row r="37" spans="1:6">
      <c r="A37" s="7">
        <v>43250</v>
      </c>
      <c r="B37" s="9">
        <v>0.33333333333333331</v>
      </c>
      <c r="C37" s="2">
        <v>9076.1</v>
      </c>
      <c r="D37" s="2">
        <v>11.5</v>
      </c>
      <c r="E37" s="3">
        <f t="shared" si="2"/>
        <v>1.9478678250887643E-2</v>
      </c>
      <c r="F37" s="4">
        <f t="shared" si="1"/>
        <v>735.48682518159058</v>
      </c>
    </row>
    <row r="38" spans="1:6">
      <c r="A38" s="7">
        <v>43261</v>
      </c>
      <c r="B38" s="9">
        <v>0.33333333333333331</v>
      </c>
      <c r="C38" s="2">
        <v>9071.6</v>
      </c>
      <c r="D38" s="2">
        <v>11.3</v>
      </c>
      <c r="E38" s="3">
        <f t="shared" si="2"/>
        <v>1.9596625051031574E-2</v>
      </c>
      <c r="F38" s="4">
        <f t="shared" si="1"/>
        <v>735.49885575520523</v>
      </c>
    </row>
    <row r="39" spans="1:6">
      <c r="A39" s="7">
        <v>43271</v>
      </c>
      <c r="B39" s="9">
        <v>0.33333333333333331</v>
      </c>
      <c r="C39" s="2">
        <v>9009.1</v>
      </c>
      <c r="D39" s="2">
        <v>11.3</v>
      </c>
      <c r="E39" s="3">
        <f t="shared" si="2"/>
        <v>3.047851021179418E-2</v>
      </c>
      <c r="F39" s="4">
        <f t="shared" si="1"/>
        <v>736.60880804160297</v>
      </c>
    </row>
    <row r="40" spans="1:6">
      <c r="A40" s="7">
        <v>43281</v>
      </c>
      <c r="B40" s="9">
        <v>0.33333333333333331</v>
      </c>
      <c r="C40" s="2">
        <v>9022</v>
      </c>
      <c r="D40" s="2">
        <v>11.2</v>
      </c>
      <c r="E40" s="3">
        <f t="shared" si="2"/>
        <v>2.7899817282477257E-2</v>
      </c>
      <c r="F40" s="4">
        <f t="shared" si="1"/>
        <v>736.34578136281266</v>
      </c>
    </row>
    <row r="41" spans="1:6">
      <c r="A41" s="7">
        <v>43291</v>
      </c>
      <c r="B41" s="9">
        <v>0.33333333333333331</v>
      </c>
      <c r="C41" s="2">
        <v>9042</v>
      </c>
      <c r="D41" s="2">
        <v>11.7</v>
      </c>
      <c r="E41" s="3">
        <f t="shared" si="2"/>
        <v>2.6081714619597435E-2</v>
      </c>
      <c r="F41" s="4">
        <f t="shared" si="1"/>
        <v>736.16033489119889</v>
      </c>
    </row>
    <row r="42" spans="1:6">
      <c r="A42" s="7">
        <v>43301</v>
      </c>
      <c r="B42" s="9">
        <v>0.33333333333333331</v>
      </c>
      <c r="C42" s="2">
        <v>9043.2999999999993</v>
      </c>
      <c r="D42" s="2">
        <v>11.2</v>
      </c>
      <c r="E42" s="3">
        <f t="shared" si="2"/>
        <v>2.41913396533745E-2</v>
      </c>
      <c r="F42" s="4">
        <f t="shared" si="1"/>
        <v>735.96751664464421</v>
      </c>
    </row>
    <row r="43" spans="1:6">
      <c r="A43" s="7">
        <v>43311</v>
      </c>
      <c r="B43" s="9">
        <v>0.33333333333333331</v>
      </c>
      <c r="C43" s="2">
        <v>9040.2000000000007</v>
      </c>
      <c r="D43" s="2">
        <v>11.2</v>
      </c>
      <c r="E43" s="3">
        <f t="shared" si="2"/>
        <v>2.4731082978811325E-2</v>
      </c>
      <c r="F43" s="4">
        <f t="shared" si="1"/>
        <v>736.02257046383875</v>
      </c>
    </row>
    <row r="44" spans="1:6">
      <c r="A44" s="7">
        <v>43322</v>
      </c>
      <c r="B44" s="9">
        <v>0.33333333333333331</v>
      </c>
      <c r="C44" s="2">
        <v>9021</v>
      </c>
      <c r="D44" s="2">
        <v>11.2</v>
      </c>
      <c r="E44" s="3">
        <f t="shared" si="2"/>
        <v>2.8073919533855407E-2</v>
      </c>
      <c r="F44" s="4">
        <f t="shared" si="1"/>
        <v>736.36353979245325</v>
      </c>
    </row>
    <row r="45" spans="1:6">
      <c r="A45" s="7">
        <v>43332</v>
      </c>
      <c r="B45" s="9">
        <v>0.33333333333333331</v>
      </c>
      <c r="C45" s="2">
        <v>9031.1</v>
      </c>
      <c r="D45" s="2">
        <v>11.4</v>
      </c>
      <c r="E45" s="3">
        <f t="shared" si="2"/>
        <v>2.6981079707991629E-2</v>
      </c>
      <c r="F45" s="4">
        <f t="shared" si="1"/>
        <v>736.2520701302152</v>
      </c>
    </row>
    <row r="46" spans="1:6">
      <c r="A46" s="7">
        <v>43342</v>
      </c>
      <c r="B46" s="9">
        <v>0.33333333333333331</v>
      </c>
      <c r="C46" s="2">
        <v>9029.1</v>
      </c>
      <c r="D46" s="2">
        <v>10.9</v>
      </c>
      <c r="E46" s="3">
        <f t="shared" si="2"/>
        <v>2.5665260929450234E-2</v>
      </c>
      <c r="F46" s="4">
        <f t="shared" si="1"/>
        <v>736.11785661480394</v>
      </c>
    </row>
    <row r="47" spans="1:6">
      <c r="A47" s="7">
        <v>43353</v>
      </c>
      <c r="B47" s="9">
        <v>0.33333333333333331</v>
      </c>
      <c r="C47" s="2">
        <v>9020.5</v>
      </c>
      <c r="D47" s="2">
        <v>10.6</v>
      </c>
      <c r="E47" s="3">
        <f t="shared" si="2"/>
        <v>2.6164133902159811E-2</v>
      </c>
      <c r="F47" s="4">
        <f t="shared" si="1"/>
        <v>736.16874165802028</v>
      </c>
    </row>
    <row r="48" spans="1:6">
      <c r="A48" s="7">
        <v>43363</v>
      </c>
      <c r="B48" s="9">
        <v>0.33333333333333331</v>
      </c>
      <c r="C48" s="2">
        <v>9006.9</v>
      </c>
      <c r="D48" s="2">
        <v>11</v>
      </c>
      <c r="E48" s="3">
        <f t="shared" si="2"/>
        <v>2.9863104399973583E-2</v>
      </c>
      <c r="F48" s="4">
        <f t="shared" si="1"/>
        <v>736.54603664879733</v>
      </c>
    </row>
    <row r="49" spans="1:6">
      <c r="A49" s="7">
        <v>43373</v>
      </c>
      <c r="B49" s="9">
        <v>0.33333333333333331</v>
      </c>
      <c r="C49" s="2">
        <v>9025.4</v>
      </c>
      <c r="D49" s="2">
        <v>11.1</v>
      </c>
      <c r="E49" s="3">
        <f t="shared" si="2"/>
        <v>2.6975060388496147E-2</v>
      </c>
      <c r="F49" s="4">
        <f t="shared" si="1"/>
        <v>736.25145615962663</v>
      </c>
    </row>
    <row r="50" spans="1:6">
      <c r="A50" s="7">
        <v>43383</v>
      </c>
      <c r="B50" s="9">
        <v>0.33333333333333331</v>
      </c>
      <c r="C50" s="2">
        <v>9025.7000000000007</v>
      </c>
      <c r="D50" s="2">
        <v>10.8</v>
      </c>
      <c r="E50" s="3">
        <f t="shared" si="2"/>
        <v>2.5924410903156669E-2</v>
      </c>
      <c r="F50" s="4">
        <f t="shared" si="1"/>
        <v>736.14428991212196</v>
      </c>
    </row>
    <row r="51" spans="1:6">
      <c r="A51" s="7">
        <v>43393</v>
      </c>
      <c r="B51" s="9">
        <v>0.33333333333333331</v>
      </c>
      <c r="C51" s="2">
        <v>9026.4</v>
      </c>
      <c r="D51" s="2">
        <v>10.4</v>
      </c>
      <c r="E51" s="3">
        <f t="shared" ref="E51:E62" si="3">($B$2*C51^2+$B$3*C51+$B$4)-$B$5*D51-$E$7</f>
        <v>2.4471313590473387E-2</v>
      </c>
      <c r="F51" s="4">
        <f t="shared" ref="F51:F62" si="4">$D$1+102*E51</f>
        <v>735.99607398622834</v>
      </c>
    </row>
    <row r="52" spans="1:6">
      <c r="A52" s="7">
        <v>43605</v>
      </c>
      <c r="B52" s="1">
        <v>0.33333333333333331</v>
      </c>
      <c r="C52" s="2">
        <v>9056.4</v>
      </c>
      <c r="D52" s="2">
        <v>10</v>
      </c>
      <c r="E52" s="3">
        <f t="shared" si="3"/>
        <v>1.7916771093009473E-2</v>
      </c>
      <c r="F52" s="4">
        <f t="shared" si="4"/>
        <v>735.32751065148693</v>
      </c>
    </row>
    <row r="53" spans="1:6">
      <c r="A53" s="7">
        <v>43615</v>
      </c>
      <c r="B53" s="1">
        <v>0.33333333333333331</v>
      </c>
      <c r="C53" s="2">
        <v>9057.4</v>
      </c>
      <c r="D53" s="2">
        <v>10.199999999999999</v>
      </c>
      <c r="E53" s="3">
        <f t="shared" si="3"/>
        <v>1.8408266184534436E-2</v>
      </c>
      <c r="F53" s="4">
        <f t="shared" si="4"/>
        <v>735.37764315082256</v>
      </c>
    </row>
    <row r="54" spans="1:6">
      <c r="A54" s="7">
        <v>43626</v>
      </c>
      <c r="B54" s="1">
        <v>0.33333333333333331</v>
      </c>
      <c r="C54" s="2">
        <v>9055.2999999999993</v>
      </c>
      <c r="D54" s="2">
        <v>10.3</v>
      </c>
      <c r="E54" s="3">
        <f t="shared" si="3"/>
        <v>1.9106717727587402E-2</v>
      </c>
      <c r="F54" s="4">
        <f t="shared" si="4"/>
        <v>735.44888520821394</v>
      </c>
    </row>
    <row r="55" spans="1:6">
      <c r="A55" s="7">
        <v>43636</v>
      </c>
      <c r="B55" s="1">
        <v>0.33333333333333331</v>
      </c>
      <c r="C55" s="2">
        <v>9054.1</v>
      </c>
      <c r="D55" s="2">
        <v>10.3</v>
      </c>
      <c r="E55" s="3">
        <f t="shared" si="3"/>
        <v>1.9315657149770099E-2</v>
      </c>
      <c r="F55" s="4">
        <f t="shared" si="4"/>
        <v>735.47019702927651</v>
      </c>
    </row>
    <row r="56" spans="1:6">
      <c r="A56" s="7">
        <v>43646</v>
      </c>
      <c r="B56" s="1">
        <v>0.33333333333333331</v>
      </c>
      <c r="C56" s="2">
        <v>9048.7000000000007</v>
      </c>
      <c r="D56" s="2">
        <v>10.199999999999999</v>
      </c>
      <c r="E56" s="3">
        <f t="shared" si="3"/>
        <v>1.9923070970681508E-2</v>
      </c>
      <c r="F56" s="4">
        <f t="shared" si="4"/>
        <v>735.53215323900952</v>
      </c>
    </row>
    <row r="57" spans="1:6">
      <c r="A57" s="7">
        <v>43656</v>
      </c>
      <c r="B57" s="1">
        <v>0.33333333333333331</v>
      </c>
      <c r="C57" s="2">
        <v>9041.2999999999993</v>
      </c>
      <c r="D57" s="2">
        <v>9.9</v>
      </c>
      <c r="E57" s="3">
        <f t="shared" si="3"/>
        <v>2.0213082315317779E-2</v>
      </c>
      <c r="F57" s="4">
        <f t="shared" si="4"/>
        <v>735.56173439616236</v>
      </c>
    </row>
    <row r="58" spans="1:6">
      <c r="A58" s="7">
        <v>43666</v>
      </c>
      <c r="B58" s="1">
        <v>0.33333333333333331</v>
      </c>
      <c r="C58" s="2">
        <v>9027.2000000000007</v>
      </c>
      <c r="D58" s="2">
        <v>9.9</v>
      </c>
      <c r="E58" s="3">
        <f t="shared" si="3"/>
        <v>2.2667999509876705E-2</v>
      </c>
      <c r="F58" s="4">
        <f t="shared" si="4"/>
        <v>735.81213595000747</v>
      </c>
    </row>
    <row r="59" spans="1:6">
      <c r="A59" s="7">
        <v>43676</v>
      </c>
      <c r="B59" s="1">
        <v>0.33333333333333331</v>
      </c>
      <c r="C59" s="2">
        <v>9010.6</v>
      </c>
      <c r="D59" s="2">
        <v>9.6999999999999993</v>
      </c>
      <c r="E59" s="3">
        <f t="shared" si="3"/>
        <v>2.4892466568844807E-2</v>
      </c>
      <c r="F59" s="4">
        <f t="shared" si="4"/>
        <v>736.0390315900222</v>
      </c>
    </row>
    <row r="60" spans="1:6">
      <c r="A60" s="7">
        <v>43687</v>
      </c>
      <c r="B60" s="9">
        <v>0.33333333333333331</v>
      </c>
      <c r="C60" s="2">
        <v>9001.6</v>
      </c>
      <c r="D60" s="2">
        <v>9.6999999999999993</v>
      </c>
      <c r="E60" s="3">
        <f t="shared" si="3"/>
        <v>2.6459328661935677E-2</v>
      </c>
      <c r="F60" s="4">
        <f t="shared" si="4"/>
        <v>736.19885152351742</v>
      </c>
    </row>
    <row r="61" spans="1:6">
      <c r="A61" s="7">
        <v>43697</v>
      </c>
      <c r="B61" s="1">
        <v>0.33333333333333331</v>
      </c>
      <c r="C61" s="2">
        <v>8972.2999999999993</v>
      </c>
      <c r="D61" s="2">
        <v>9.8000000000000007</v>
      </c>
      <c r="E61" s="3">
        <f t="shared" si="3"/>
        <v>3.1892905866804197E-2</v>
      </c>
      <c r="F61" s="4">
        <f t="shared" si="4"/>
        <v>736.75307639841401</v>
      </c>
    </row>
    <row r="62" spans="1:6">
      <c r="A62" s="7">
        <v>43707</v>
      </c>
      <c r="B62" s="9">
        <v>0.33333333333333331</v>
      </c>
      <c r="C62" s="2">
        <v>8955.7000000000007</v>
      </c>
      <c r="D62" s="2">
        <v>9.8000000000000007</v>
      </c>
      <c r="E62" s="3">
        <f t="shared" si="3"/>
        <v>3.478260264366477E-2</v>
      </c>
      <c r="F62" s="4">
        <f t="shared" si="4"/>
        <v>737.04782546965384</v>
      </c>
    </row>
    <row r="63" spans="1:6">
      <c r="B63" s="9"/>
    </row>
    <row r="64" spans="1:6">
      <c r="B64" s="9"/>
    </row>
    <row r="65" spans="2:2">
      <c r="B65" s="9"/>
    </row>
    <row r="66" spans="2:2">
      <c r="B66" s="9"/>
    </row>
    <row r="67" spans="2:2">
      <c r="B67" s="9"/>
    </row>
    <row r="68" spans="2:2">
      <c r="B68" s="9"/>
    </row>
    <row r="69" spans="2:2">
      <c r="B69" s="9"/>
    </row>
    <row r="70" spans="2:2">
      <c r="B70" s="9"/>
    </row>
    <row r="71" spans="2:2">
      <c r="B71" s="9"/>
    </row>
    <row r="72" spans="2:2">
      <c r="B72" s="9"/>
    </row>
    <row r="73" spans="2:2">
      <c r="B73" s="9"/>
    </row>
    <row r="74" spans="2:2">
      <c r="B74" s="9"/>
    </row>
    <row r="75" spans="2:2">
      <c r="B75" s="9"/>
    </row>
    <row r="76" spans="2:2">
      <c r="B76" s="9"/>
    </row>
    <row r="77" spans="2:2">
      <c r="B77" s="9"/>
    </row>
    <row r="78" spans="2:2">
      <c r="B78" s="9"/>
    </row>
    <row r="79" spans="2:2">
      <c r="B79" s="9"/>
    </row>
    <row r="80" spans="2:2">
      <c r="B80" s="9"/>
    </row>
    <row r="81" spans="2:2">
      <c r="B81" s="9"/>
    </row>
    <row r="82" spans="2:2">
      <c r="B82" s="9"/>
    </row>
    <row r="83" spans="2:2">
      <c r="B83" s="9"/>
    </row>
    <row r="84" spans="2:2">
      <c r="B84" s="9"/>
    </row>
    <row r="85" spans="2:2">
      <c r="B85" s="9"/>
    </row>
    <row r="86" spans="2:2">
      <c r="B86" s="9"/>
    </row>
    <row r="87" spans="2:2">
      <c r="B87" s="9"/>
    </row>
    <row r="88" spans="2:2">
      <c r="B88" s="9"/>
    </row>
    <row r="89" spans="2:2">
      <c r="B89" s="9"/>
    </row>
    <row r="90" spans="2:2">
      <c r="B90" s="9"/>
    </row>
    <row r="91" spans="2:2">
      <c r="B91" s="9"/>
    </row>
    <row r="92" spans="2:2">
      <c r="B92" s="9"/>
    </row>
    <row r="93" spans="2:2">
      <c r="B93" s="9"/>
    </row>
    <row r="94" spans="2:2">
      <c r="B94" s="9"/>
    </row>
    <row r="95" spans="2:2">
      <c r="B95" s="9"/>
    </row>
    <row r="96" spans="2:2">
      <c r="B96" s="9"/>
    </row>
    <row r="97" spans="2:2">
      <c r="B97" s="9"/>
    </row>
    <row r="98" spans="2:2">
      <c r="B98" s="9"/>
    </row>
    <row r="99" spans="2:2">
      <c r="B99" s="9"/>
    </row>
    <row r="100" spans="2:2">
      <c r="B100" s="9"/>
    </row>
    <row r="101" spans="2:2">
      <c r="B101" s="9"/>
    </row>
    <row r="102" spans="2:2">
      <c r="B102" s="9"/>
    </row>
    <row r="103" spans="2:2">
      <c r="B103" s="9"/>
    </row>
    <row r="104" spans="2:2">
      <c r="B104" s="9"/>
    </row>
    <row r="105" spans="2:2">
      <c r="B105" s="9"/>
    </row>
    <row r="106" spans="2:2">
      <c r="B106" s="9"/>
    </row>
    <row r="107" spans="2:2">
      <c r="B107" s="9"/>
    </row>
    <row r="108" spans="2:2">
      <c r="B108" s="9"/>
    </row>
    <row r="109" spans="2:2">
      <c r="B109" s="9"/>
    </row>
    <row r="110" spans="2:2">
      <c r="B110" s="9"/>
    </row>
    <row r="111" spans="2:2">
      <c r="B111" s="9"/>
    </row>
    <row r="112" spans="2:2">
      <c r="B112" s="9"/>
    </row>
    <row r="113" spans="2:2">
      <c r="B113" s="9"/>
    </row>
    <row r="114" spans="2:2">
      <c r="B114" s="9"/>
    </row>
    <row r="115" spans="2:2">
      <c r="B115" s="9"/>
    </row>
    <row r="116" spans="2:2">
      <c r="B116" s="9"/>
    </row>
    <row r="117" spans="2:2">
      <c r="B117" s="9"/>
    </row>
    <row r="118" spans="2:2">
      <c r="B118" s="9"/>
    </row>
    <row r="119" spans="2:2">
      <c r="B119" s="9"/>
    </row>
    <row r="120" spans="2:2">
      <c r="B120" s="9"/>
    </row>
    <row r="121" spans="2:2">
      <c r="B121" s="9"/>
    </row>
    <row r="122" spans="2:2">
      <c r="B122" s="9"/>
    </row>
    <row r="123" spans="2:2">
      <c r="B123" s="9"/>
    </row>
    <row r="124" spans="2:2">
      <c r="B124" s="9"/>
    </row>
    <row r="125" spans="2:2">
      <c r="B125" s="9"/>
    </row>
    <row r="126" spans="2:2">
      <c r="B126" s="9"/>
    </row>
    <row r="127" spans="2:2">
      <c r="B127" s="9"/>
    </row>
    <row r="128" spans="2:2">
      <c r="B128" s="9"/>
    </row>
    <row r="129" spans="2:2">
      <c r="B129" s="9"/>
    </row>
    <row r="130" spans="2:2">
      <c r="B130" s="9"/>
    </row>
    <row r="131" spans="2:2">
      <c r="B131" s="9"/>
    </row>
    <row r="132" spans="2:2">
      <c r="B132" s="9"/>
    </row>
    <row r="133" spans="2:2">
      <c r="B133" s="9"/>
    </row>
    <row r="134" spans="2:2">
      <c r="B134" s="9"/>
    </row>
    <row r="135" spans="2:2">
      <c r="B135" s="9"/>
    </row>
    <row r="136" spans="2:2">
      <c r="B136" s="9"/>
    </row>
    <row r="137" spans="2:2">
      <c r="B137" s="9"/>
    </row>
    <row r="138" spans="2:2">
      <c r="B138" s="9"/>
    </row>
    <row r="139" spans="2:2">
      <c r="B139" s="9"/>
    </row>
    <row r="140" spans="2:2">
      <c r="B140" s="9"/>
    </row>
    <row r="141" spans="2:2">
      <c r="B141" s="9"/>
    </row>
    <row r="142" spans="2:2">
      <c r="B142" s="9"/>
    </row>
    <row r="143" spans="2:2">
      <c r="B143" s="9"/>
    </row>
    <row r="144" spans="2:2">
      <c r="B144" s="9"/>
    </row>
    <row r="145" spans="2:2">
      <c r="B145" s="9"/>
    </row>
    <row r="146" spans="2:2">
      <c r="B146" s="9"/>
    </row>
    <row r="147" spans="2:2">
      <c r="B147" s="9"/>
    </row>
    <row r="148" spans="2:2">
      <c r="B148" s="9"/>
    </row>
    <row r="149" spans="2:2">
      <c r="B149" s="9"/>
    </row>
    <row r="150" spans="2:2">
      <c r="B150" s="9"/>
    </row>
    <row r="151" spans="2:2">
      <c r="B151" s="9"/>
    </row>
    <row r="152" spans="2:2">
      <c r="B152" s="9"/>
    </row>
    <row r="153" spans="2:2">
      <c r="B153" s="9"/>
    </row>
    <row r="154" spans="2:2">
      <c r="B154" s="9"/>
    </row>
    <row r="155" spans="2:2">
      <c r="B155" s="9"/>
    </row>
    <row r="156" spans="2:2">
      <c r="B156" s="9"/>
    </row>
    <row r="157" spans="2:2">
      <c r="B157" s="9"/>
    </row>
    <row r="158" spans="2:2">
      <c r="B158" s="9"/>
    </row>
    <row r="159" spans="2:2">
      <c r="B159" s="9"/>
    </row>
    <row r="160" spans="2:2">
      <c r="B160" s="9"/>
    </row>
    <row r="161" spans="2:2">
      <c r="B161" s="9"/>
    </row>
    <row r="162" spans="2:2">
      <c r="B162" s="9"/>
    </row>
    <row r="163" spans="2:2">
      <c r="B163" s="9"/>
    </row>
    <row r="164" spans="2:2">
      <c r="B164" s="9"/>
    </row>
    <row r="165" spans="2:2">
      <c r="B165" s="9"/>
    </row>
    <row r="166" spans="2:2">
      <c r="B166" s="9"/>
    </row>
    <row r="167" spans="2:2">
      <c r="B167" s="9"/>
    </row>
    <row r="168" spans="2:2">
      <c r="B168" s="9"/>
    </row>
    <row r="169" spans="2:2">
      <c r="B169" s="9"/>
    </row>
    <row r="170" spans="2:2">
      <c r="B170" s="9"/>
    </row>
    <row r="171" spans="2:2">
      <c r="B171" s="9"/>
    </row>
    <row r="172" spans="2:2">
      <c r="B172" s="9"/>
    </row>
    <row r="173" spans="2:2">
      <c r="B173" s="9"/>
    </row>
    <row r="174" spans="2:2">
      <c r="B174" s="9"/>
    </row>
    <row r="175" spans="2:2">
      <c r="B175" s="9"/>
    </row>
    <row r="176" spans="2:2">
      <c r="B176" s="9"/>
    </row>
  </sheetData>
  <phoneticPr fontId="4" type="noConversion"/>
  <pageMargins left="0.69930555555555596" right="0.69930555555555596" top="0.75" bottom="0.75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6"/>
  <sheetViews>
    <sheetView topLeftCell="A46" workbookViewId="0">
      <selection activeCell="A61" sqref="A61:B63"/>
    </sheetView>
  </sheetViews>
  <sheetFormatPr defaultColWidth="9" defaultRowHeight="13.5"/>
  <cols>
    <col min="1" max="1" width="11" customWidth="1"/>
    <col min="2" max="2" width="13.125" style="17" customWidth="1"/>
    <col min="5" max="5" width="10.875" customWidth="1"/>
    <col min="8" max="8" width="9.5" customWidth="1"/>
  </cols>
  <sheetData>
    <row r="1" spans="1:8">
      <c r="A1" t="s">
        <v>0</v>
      </c>
      <c r="B1" s="18">
        <v>11244</v>
      </c>
      <c r="C1" t="s">
        <v>1</v>
      </c>
      <c r="D1" s="11">
        <v>735.59</v>
      </c>
    </row>
    <row r="2" spans="1:8">
      <c r="A2" t="s">
        <v>2</v>
      </c>
      <c r="B2" s="11">
        <f>2.32676*10^-11</f>
        <v>2.3267600000000002E-11</v>
      </c>
    </row>
    <row r="3" spans="1:8">
      <c r="A3" t="s">
        <v>3</v>
      </c>
      <c r="B3" s="18">
        <v>-1.67837E-4</v>
      </c>
    </row>
    <row r="4" spans="1:8">
      <c r="A4" t="s">
        <v>4</v>
      </c>
      <c r="B4" s="18">
        <v>1.6712261799999999</v>
      </c>
    </row>
    <row r="5" spans="1:8">
      <c r="A5" t="s">
        <v>5</v>
      </c>
      <c r="B5" s="18">
        <v>-2.883989E-3</v>
      </c>
    </row>
    <row r="6" spans="1:8">
      <c r="A6" t="s">
        <v>6</v>
      </c>
      <c r="B6" s="17" t="s">
        <v>7</v>
      </c>
      <c r="C6" t="s">
        <v>8</v>
      </c>
      <c r="D6" t="s">
        <v>9</v>
      </c>
      <c r="E6" t="s">
        <v>10</v>
      </c>
      <c r="F6" t="s">
        <v>11</v>
      </c>
      <c r="G6" t="s">
        <v>12</v>
      </c>
    </row>
    <row r="7" spans="1:8">
      <c r="A7" s="6">
        <v>42584</v>
      </c>
      <c r="B7" s="9">
        <v>0.67361111111111105</v>
      </c>
      <c r="C7" s="2">
        <v>9895.1</v>
      </c>
      <c r="D7" s="2">
        <v>19</v>
      </c>
      <c r="E7" s="3">
        <f>($B$2*C7^2+$B$3*C7+$B$4)-$B$5*D7</f>
        <v>6.7536272912103082E-2</v>
      </c>
      <c r="G7" t="s">
        <v>13</v>
      </c>
    </row>
    <row r="8" spans="1:8">
      <c r="A8" s="6">
        <v>42586</v>
      </c>
      <c r="B8" s="9">
        <v>0.83333333333333304</v>
      </c>
      <c r="C8" s="2">
        <v>9684.5</v>
      </c>
      <c r="D8" s="2">
        <v>20</v>
      </c>
      <c r="E8" s="3">
        <f t="shared" ref="E8:E43" si="0">($B$2*C8^2+$B$3*C8+$B$4)-$B$5*D8-$E$7</f>
        <v>3.8134518094617681E-2</v>
      </c>
      <c r="F8" s="4">
        <f>$D$1+102*E8</f>
        <v>739.47972084565106</v>
      </c>
      <c r="G8" s="5" t="s">
        <v>14</v>
      </c>
      <c r="H8" s="23"/>
    </row>
    <row r="9" spans="1:8">
      <c r="A9" s="6">
        <v>42587</v>
      </c>
      <c r="B9" s="9">
        <v>0.33333333333333298</v>
      </c>
      <c r="C9" s="2">
        <v>10120.700000000001</v>
      </c>
      <c r="D9" s="2">
        <v>32.9</v>
      </c>
      <c r="E9" s="3">
        <f t="shared" si="0"/>
        <v>2.3284862480946605E-3</v>
      </c>
      <c r="F9" s="4">
        <f t="shared" ref="F9:F47" si="1">$D$1+102*E9</f>
        <v>735.82750559730573</v>
      </c>
      <c r="H9" s="23"/>
    </row>
    <row r="10" spans="1:8">
      <c r="A10" s="6">
        <v>42588</v>
      </c>
      <c r="B10" s="9">
        <v>0.33333333333333298</v>
      </c>
      <c r="C10" s="2">
        <v>10135.1</v>
      </c>
      <c r="D10" s="2">
        <v>34.299999999999997</v>
      </c>
      <c r="E10" s="3">
        <f t="shared" si="0"/>
        <v>3.9560048235645767E-3</v>
      </c>
      <c r="F10" s="4">
        <f t="shared" si="1"/>
        <v>735.99351249200367</v>
      </c>
      <c r="H10" s="23"/>
    </row>
    <row r="11" spans="1:8">
      <c r="A11" s="6">
        <v>42589</v>
      </c>
      <c r="B11" s="9">
        <v>0.33333333333333298</v>
      </c>
      <c r="C11" s="2">
        <v>10155.200000000001</v>
      </c>
      <c r="D11" s="2">
        <v>35.200000000000003</v>
      </c>
      <c r="E11" s="3">
        <f t="shared" si="0"/>
        <v>3.1875605659086176E-3</v>
      </c>
      <c r="F11" s="4">
        <f t="shared" si="1"/>
        <v>735.91513117772274</v>
      </c>
      <c r="H11" s="23"/>
    </row>
    <row r="12" spans="1:8">
      <c r="A12" s="6">
        <v>42590</v>
      </c>
      <c r="B12" s="9">
        <v>0.33333333333333298</v>
      </c>
      <c r="C12" s="2">
        <v>10133.4</v>
      </c>
      <c r="D12" s="2">
        <v>34.200000000000003</v>
      </c>
      <c r="E12" s="3">
        <f t="shared" si="0"/>
        <v>3.952127104668815E-3</v>
      </c>
      <c r="F12" s="4">
        <f t="shared" si="1"/>
        <v>735.99311696467623</v>
      </c>
      <c r="H12" s="23"/>
    </row>
    <row r="13" spans="1:8">
      <c r="A13" s="6">
        <v>42591</v>
      </c>
      <c r="B13" s="9">
        <v>0.33333333333333298</v>
      </c>
      <c r="C13" s="2">
        <v>10116.9</v>
      </c>
      <c r="D13" s="2">
        <v>33.200000000000003</v>
      </c>
      <c r="E13" s="3">
        <f t="shared" si="0"/>
        <v>3.8296742026441705E-3</v>
      </c>
      <c r="F13" s="4">
        <f t="shared" si="1"/>
        <v>735.98062676866971</v>
      </c>
      <c r="H13" s="23"/>
    </row>
    <row r="14" spans="1:8">
      <c r="A14" s="6">
        <v>42592</v>
      </c>
      <c r="B14" s="9">
        <v>0.33333333333333298</v>
      </c>
      <c r="C14" s="2">
        <v>10098.299999999999</v>
      </c>
      <c r="D14" s="2">
        <v>32.4</v>
      </c>
      <c r="E14" s="3">
        <f t="shared" si="0"/>
        <v>4.6355025217561935E-3</v>
      </c>
      <c r="F14" s="4">
        <f t="shared" si="1"/>
        <v>736.06282125721918</v>
      </c>
      <c r="H14" s="23"/>
    </row>
    <row r="15" spans="1:8">
      <c r="A15" s="6">
        <v>42593</v>
      </c>
      <c r="B15" s="9">
        <v>0.33333333333333298</v>
      </c>
      <c r="C15" s="2">
        <v>10090.4</v>
      </c>
      <c r="D15" s="2">
        <v>31.2</v>
      </c>
      <c r="E15" s="3">
        <f t="shared" si="0"/>
        <v>2.4969170552470027E-3</v>
      </c>
      <c r="F15" s="4">
        <f t="shared" si="1"/>
        <v>735.84468553963518</v>
      </c>
      <c r="H15" s="23"/>
    </row>
    <row r="16" spans="1:8">
      <c r="A16" s="6">
        <v>42602</v>
      </c>
      <c r="B16" s="9">
        <v>0.33333333333333298</v>
      </c>
      <c r="C16" s="2">
        <v>9994.2000000000007</v>
      </c>
      <c r="D16" s="2">
        <v>25.9</v>
      </c>
      <c r="E16" s="3">
        <f t="shared" si="0"/>
        <v>3.3127385290186301E-3</v>
      </c>
      <c r="F16" s="4">
        <f t="shared" si="1"/>
        <v>735.92789932995993</v>
      </c>
      <c r="H16" s="23"/>
    </row>
    <row r="17" spans="1:8">
      <c r="A17" s="6">
        <v>42612</v>
      </c>
      <c r="B17" s="9">
        <v>0.33333333333333298</v>
      </c>
      <c r="C17" s="2">
        <v>9942.7000000000007</v>
      </c>
      <c r="D17" s="2">
        <v>23.2</v>
      </c>
      <c r="E17" s="3">
        <f t="shared" si="0"/>
        <v>4.1456837125751905E-3</v>
      </c>
      <c r="F17" s="4">
        <f t="shared" si="1"/>
        <v>736.01285973868266</v>
      </c>
      <c r="H17" s="23"/>
    </row>
    <row r="18" spans="1:8">
      <c r="A18" s="6">
        <v>42623</v>
      </c>
      <c r="B18" s="9">
        <v>0.33333333333333298</v>
      </c>
      <c r="C18" s="2">
        <v>9913.4</v>
      </c>
      <c r="D18" s="2">
        <v>22.1</v>
      </c>
      <c r="E18" s="3">
        <f t="shared" si="0"/>
        <v>5.8773832014591271E-3</v>
      </c>
      <c r="F18" s="4">
        <f t="shared" si="1"/>
        <v>736.18949308654885</v>
      </c>
      <c r="H18" s="23"/>
    </row>
    <row r="19" spans="1:8">
      <c r="A19" s="7">
        <v>42633</v>
      </c>
      <c r="B19" s="9">
        <v>0.33333333333333331</v>
      </c>
      <c r="C19" s="2">
        <v>9879.9</v>
      </c>
      <c r="D19" s="2">
        <v>21.1</v>
      </c>
      <c r="E19" s="3">
        <f t="shared" si="0"/>
        <v>8.6005055247920376E-3</v>
      </c>
      <c r="F19" s="4">
        <f t="shared" si="1"/>
        <v>736.46725156352886</v>
      </c>
      <c r="H19" s="23"/>
    </row>
    <row r="20" spans="1:8">
      <c r="A20" s="7">
        <v>42643</v>
      </c>
      <c r="B20" s="9">
        <v>0.33333333333333331</v>
      </c>
      <c r="C20" s="2">
        <v>9880.2000000000007</v>
      </c>
      <c r="D20" s="2">
        <v>20.5</v>
      </c>
      <c r="E20" s="3">
        <f t="shared" si="0"/>
        <v>6.8198989558225648E-3</v>
      </c>
      <c r="F20" s="4">
        <f t="shared" si="1"/>
        <v>736.28562969349389</v>
      </c>
      <c r="H20" s="23"/>
    </row>
    <row r="21" spans="1:8">
      <c r="A21" s="7">
        <v>42884</v>
      </c>
      <c r="B21" s="9">
        <v>0.33333333333333331</v>
      </c>
      <c r="C21" s="2">
        <v>9811.2999999999993</v>
      </c>
      <c r="D21" s="2">
        <v>15.4</v>
      </c>
      <c r="E21" s="3">
        <f t="shared" si="0"/>
        <v>3.643956170984855E-3</v>
      </c>
      <c r="F21" s="4">
        <f t="shared" si="1"/>
        <v>735.96168352944051</v>
      </c>
      <c r="H21" s="23"/>
    </row>
    <row r="22" spans="1:8">
      <c r="A22" s="7">
        <v>42885</v>
      </c>
      <c r="B22" s="9">
        <v>0.33333333333333331</v>
      </c>
      <c r="C22" s="2">
        <v>9811</v>
      </c>
      <c r="D22" s="2">
        <v>15.4</v>
      </c>
      <c r="E22" s="3">
        <f t="shared" si="0"/>
        <v>3.6941703018364552E-3</v>
      </c>
      <c r="F22" s="4">
        <f t="shared" si="1"/>
        <v>735.96680537078737</v>
      </c>
      <c r="H22" s="23"/>
    </row>
    <row r="23" spans="1:8">
      <c r="A23" s="7">
        <v>42896</v>
      </c>
      <c r="B23" s="9">
        <v>0.33333333333333331</v>
      </c>
      <c r="C23" s="2">
        <v>9810.5</v>
      </c>
      <c r="D23" s="2">
        <v>15.2</v>
      </c>
      <c r="E23" s="3">
        <f t="shared" si="0"/>
        <v>3.2010627292297505E-3</v>
      </c>
      <c r="F23" s="4">
        <f t="shared" si="1"/>
        <v>735.91650839838144</v>
      </c>
    </row>
    <row r="24" spans="1:8">
      <c r="A24" s="7">
        <v>42906</v>
      </c>
      <c r="B24" s="9">
        <v>0.33333333333333331</v>
      </c>
      <c r="C24" s="2">
        <v>9806.2000000000007</v>
      </c>
      <c r="D24" s="2">
        <v>15</v>
      </c>
      <c r="E24" s="3">
        <f t="shared" si="0"/>
        <v>3.3440013650553185E-3</v>
      </c>
      <c r="F24" s="4">
        <f t="shared" si="1"/>
        <v>735.93108813923573</v>
      </c>
    </row>
    <row r="25" spans="1:8">
      <c r="A25" s="7">
        <v>42916</v>
      </c>
      <c r="B25" s="9">
        <v>0.33333333333333331</v>
      </c>
      <c r="C25" s="2">
        <v>9793.7000000000007</v>
      </c>
      <c r="D25" s="2">
        <v>14.7</v>
      </c>
      <c r="E25" s="3">
        <f t="shared" si="0"/>
        <v>4.5710666321397697E-3</v>
      </c>
      <c r="F25" s="4">
        <f t="shared" si="1"/>
        <v>736.05624879647826</v>
      </c>
    </row>
    <row r="26" spans="1:8">
      <c r="A26" s="7">
        <v>42926</v>
      </c>
      <c r="B26" s="9">
        <v>0.33333333333333331</v>
      </c>
      <c r="C26" s="2">
        <v>9804.4</v>
      </c>
      <c r="D26" s="2">
        <v>14.6</v>
      </c>
      <c r="E26" s="3">
        <f t="shared" si="0"/>
        <v>2.4916910401816122E-3</v>
      </c>
      <c r="F26" s="4">
        <f t="shared" si="1"/>
        <v>735.84415248609855</v>
      </c>
    </row>
    <row r="27" spans="1:8">
      <c r="A27" s="7">
        <v>42936</v>
      </c>
      <c r="B27" s="9">
        <v>0.33333333333333331</v>
      </c>
      <c r="C27" s="2">
        <v>9798.9</v>
      </c>
      <c r="D27" s="2">
        <v>14.4</v>
      </c>
      <c r="E27" s="3">
        <f t="shared" si="0"/>
        <v>2.835488070594569E-3</v>
      </c>
      <c r="F27" s="4">
        <f t="shared" si="1"/>
        <v>735.87921978320071</v>
      </c>
    </row>
    <row r="28" spans="1:8">
      <c r="A28" s="6">
        <v>42946</v>
      </c>
      <c r="B28" s="9">
        <v>0.33333333333333331</v>
      </c>
      <c r="C28" s="2">
        <v>9798.7999999999993</v>
      </c>
      <c r="D28" s="2">
        <v>14.3</v>
      </c>
      <c r="E28" s="3">
        <f t="shared" si="0"/>
        <v>2.5638272714501448E-3</v>
      </c>
      <c r="F28" s="4">
        <f t="shared" si="1"/>
        <v>735.85151038168794</v>
      </c>
    </row>
    <row r="29" spans="1:8">
      <c r="A29" s="7">
        <v>42957</v>
      </c>
      <c r="B29" s="9">
        <v>0.33333333333333331</v>
      </c>
      <c r="C29" s="2">
        <v>9790.7999999999993</v>
      </c>
      <c r="D29" s="2">
        <v>14</v>
      </c>
      <c r="E29" s="3">
        <f t="shared" si="0"/>
        <v>3.0376801476345999E-3</v>
      </c>
      <c r="F29" s="4">
        <f t="shared" si="1"/>
        <v>735.89984337505871</v>
      </c>
    </row>
    <row r="30" spans="1:8">
      <c r="A30" s="7">
        <v>42967</v>
      </c>
      <c r="B30" s="9">
        <v>0.33333333333333331</v>
      </c>
      <c r="C30" s="2">
        <v>9786.2000000000007</v>
      </c>
      <c r="D30" s="2">
        <v>14</v>
      </c>
      <c r="E30" s="3">
        <f t="shared" si="0"/>
        <v>3.8076350025304379E-3</v>
      </c>
      <c r="F30" s="4">
        <f t="shared" si="1"/>
        <v>735.97837877025813</v>
      </c>
    </row>
    <row r="31" spans="1:8">
      <c r="A31" s="7">
        <v>42977</v>
      </c>
      <c r="B31" s="9">
        <v>0.33333333333333331</v>
      </c>
      <c r="C31" s="2">
        <v>9784.7999999999993</v>
      </c>
      <c r="D31" s="2">
        <v>14.5</v>
      </c>
      <c r="E31" s="3">
        <f t="shared" si="0"/>
        <v>5.4839637842512695E-3</v>
      </c>
      <c r="F31" s="4">
        <f t="shared" si="1"/>
        <v>736.14936430599369</v>
      </c>
    </row>
    <row r="32" spans="1:8">
      <c r="A32" s="7">
        <v>42988</v>
      </c>
      <c r="B32" s="9">
        <v>0.33333333333333331</v>
      </c>
      <c r="C32" s="2">
        <v>9781.2000000000007</v>
      </c>
      <c r="D32" s="2">
        <v>13.6</v>
      </c>
      <c r="E32" s="3">
        <f t="shared" si="0"/>
        <v>3.4909479703492535E-3</v>
      </c>
      <c r="F32" s="4">
        <f t="shared" si="1"/>
        <v>735.94607669297568</v>
      </c>
    </row>
    <row r="33" spans="1:6">
      <c r="A33" s="7">
        <v>42998</v>
      </c>
      <c r="B33" s="9">
        <v>0.33333333333333331</v>
      </c>
      <c r="C33" s="2">
        <v>9785.4</v>
      </c>
      <c r="D33" s="2">
        <v>13.5</v>
      </c>
      <c r="E33" s="3">
        <f t="shared" si="0"/>
        <v>2.4995457952023264E-3</v>
      </c>
      <c r="F33" s="4">
        <f t="shared" si="1"/>
        <v>735.84495367111072</v>
      </c>
    </row>
    <row r="34" spans="1:6">
      <c r="A34" s="7">
        <v>43008</v>
      </c>
      <c r="B34" s="9">
        <v>0.33333333333333331</v>
      </c>
      <c r="C34" s="2">
        <v>9784.7000000000007</v>
      </c>
      <c r="D34" s="2">
        <v>13.7</v>
      </c>
      <c r="E34" s="3">
        <f t="shared" si="0"/>
        <v>3.1935107507212318E-3</v>
      </c>
      <c r="F34" s="4">
        <f t="shared" si="1"/>
        <v>735.91573809657359</v>
      </c>
    </row>
    <row r="35" spans="1:6">
      <c r="A35" s="7">
        <v>43018</v>
      </c>
      <c r="B35" s="9">
        <v>0.33333333333333331</v>
      </c>
      <c r="C35" s="2">
        <v>9782</v>
      </c>
      <c r="D35" s="2">
        <v>13.3</v>
      </c>
      <c r="E35" s="3">
        <f t="shared" si="0"/>
        <v>2.4918458213193523E-3</v>
      </c>
      <c r="F35" s="4">
        <f t="shared" si="1"/>
        <v>735.84416827377459</v>
      </c>
    </row>
    <row r="36" spans="1:6">
      <c r="A36" s="7">
        <v>43230</v>
      </c>
      <c r="B36" s="9">
        <v>0.33333333333333331</v>
      </c>
      <c r="C36" s="2">
        <v>9768</v>
      </c>
      <c r="D36" s="2">
        <v>11.8</v>
      </c>
      <c r="E36" s="3">
        <f t="shared" si="0"/>
        <v>5.0921197919909233E-4</v>
      </c>
      <c r="F36" s="4">
        <f t="shared" si="1"/>
        <v>735.64193962187835</v>
      </c>
    </row>
    <row r="37" spans="1:6">
      <c r="A37" s="7">
        <v>43240</v>
      </c>
      <c r="B37" s="9">
        <v>0.33333333333333331</v>
      </c>
      <c r="C37" s="2">
        <v>9766.2000000000007</v>
      </c>
      <c r="D37" s="2">
        <v>12.3</v>
      </c>
      <c r="E37" s="3">
        <f t="shared" si="0"/>
        <v>2.2524949540856237E-3</v>
      </c>
      <c r="F37" s="4">
        <f t="shared" si="1"/>
        <v>735.81975448531682</v>
      </c>
    </row>
    <row r="38" spans="1:6">
      <c r="A38" s="7">
        <v>43250</v>
      </c>
      <c r="B38" s="9">
        <v>0.33333333333333331</v>
      </c>
      <c r="C38" s="2">
        <v>9763.1</v>
      </c>
      <c r="D38" s="2">
        <v>12.3</v>
      </c>
      <c r="E38" s="3">
        <f t="shared" si="0"/>
        <v>2.7713810142695333E-3</v>
      </c>
      <c r="F38" s="4">
        <f t="shared" si="1"/>
        <v>735.87268086345557</v>
      </c>
    </row>
    <row r="39" spans="1:6">
      <c r="A39" s="7">
        <v>43261</v>
      </c>
      <c r="B39" s="9">
        <v>0.33333333333333331</v>
      </c>
      <c r="C39" s="2">
        <v>9766.7000000000007</v>
      </c>
      <c r="D39" s="2">
        <v>12.1</v>
      </c>
      <c r="E39" s="3">
        <f t="shared" si="0"/>
        <v>1.5920058959377342E-3</v>
      </c>
      <c r="F39" s="4">
        <f t="shared" si="1"/>
        <v>735.75238460138564</v>
      </c>
    </row>
    <row r="40" spans="1:6">
      <c r="A40" s="7">
        <v>43271</v>
      </c>
      <c r="B40" s="9">
        <v>0.33333333333333331</v>
      </c>
      <c r="C40" s="2">
        <v>9686</v>
      </c>
      <c r="D40" s="2">
        <v>12.3</v>
      </c>
      <c r="E40" s="3">
        <f t="shared" si="0"/>
        <v>1.5676723352186381E-2</v>
      </c>
      <c r="F40" s="4">
        <f t="shared" si="1"/>
        <v>737.18902578192308</v>
      </c>
    </row>
    <row r="41" spans="1:6">
      <c r="A41" s="7">
        <v>43281</v>
      </c>
      <c r="B41" s="9">
        <v>0.33333333333333331</v>
      </c>
      <c r="C41" s="2">
        <v>9684.6</v>
      </c>
      <c r="D41" s="2">
        <v>12.1</v>
      </c>
      <c r="E41" s="3">
        <f t="shared" si="0"/>
        <v>1.5334266361864704E-2</v>
      </c>
      <c r="F41" s="4">
        <f t="shared" si="1"/>
        <v>737.1540951689102</v>
      </c>
    </row>
    <row r="42" spans="1:6">
      <c r="A42" s="7">
        <v>43291</v>
      </c>
      <c r="B42" s="9">
        <v>0.33333333333333331</v>
      </c>
      <c r="C42" s="2">
        <v>9704.2999999999993</v>
      </c>
      <c r="D42" s="2">
        <v>12.7</v>
      </c>
      <c r="E42" s="3">
        <f t="shared" si="0"/>
        <v>1.3767158185306758E-2</v>
      </c>
      <c r="F42" s="4">
        <f t="shared" si="1"/>
        <v>736.99425013490134</v>
      </c>
    </row>
    <row r="43" spans="1:6">
      <c r="A43" s="7">
        <v>43301</v>
      </c>
      <c r="B43" s="9">
        <v>0.33333333333333331</v>
      </c>
      <c r="C43" s="2">
        <v>9710.7999999999993</v>
      </c>
      <c r="D43" s="2">
        <v>12.2</v>
      </c>
      <c r="E43" s="3">
        <f t="shared" si="0"/>
        <v>1.123715951338175E-2</v>
      </c>
      <c r="F43" s="4">
        <f t="shared" si="1"/>
        <v>736.736190270365</v>
      </c>
    </row>
    <row r="44" spans="1:6">
      <c r="A44" s="7">
        <v>43311</v>
      </c>
      <c r="B44" s="9">
        <v>0.33333333333333331</v>
      </c>
      <c r="C44" s="2">
        <v>9710.6</v>
      </c>
      <c r="D44" s="2">
        <v>12.1</v>
      </c>
      <c r="E44" s="3">
        <f>($B$2*C44^2+$B$3*C44+$B$4)-$B$5*D44-$E$7</f>
        <v>1.0982237635508388E-2</v>
      </c>
      <c r="F44" s="4">
        <f t="shared" si="1"/>
        <v>736.71018823882184</v>
      </c>
    </row>
    <row r="45" spans="1:6">
      <c r="A45" s="7">
        <v>43322</v>
      </c>
      <c r="B45" s="9">
        <v>0.33333333333333331</v>
      </c>
      <c r="C45" s="2">
        <v>9699.6</v>
      </c>
      <c r="D45" s="2">
        <v>12</v>
      </c>
      <c r="E45" s="3">
        <f>($B$2*C45^2+$B$3*C45+$B$4)-$B$5*D45-$E$7</f>
        <v>1.2535077819043783E-2</v>
      </c>
      <c r="F45" s="4">
        <f t="shared" si="1"/>
        <v>736.86857793754245</v>
      </c>
    </row>
    <row r="46" spans="1:6">
      <c r="A46" s="7">
        <v>43332</v>
      </c>
      <c r="B46" s="9">
        <v>0.33333333333333331</v>
      </c>
      <c r="C46" s="2">
        <v>9708.7999999999993</v>
      </c>
      <c r="D46" s="2">
        <v>12.2</v>
      </c>
      <c r="E46" s="3">
        <f>($B$2*C46^2+$B$3*C46+$B$4)-$B$5*D46-$E$7</f>
        <v>1.1571929818412013E-2</v>
      </c>
      <c r="F46" s="4">
        <f t="shared" si="1"/>
        <v>736.77033684147807</v>
      </c>
    </row>
    <row r="47" spans="1:6">
      <c r="A47" s="7">
        <v>43342</v>
      </c>
      <c r="B47" s="9">
        <v>0.33333333333333331</v>
      </c>
      <c r="C47" s="2">
        <v>9707.2000000000007</v>
      </c>
      <c r="D47" s="2">
        <v>12</v>
      </c>
      <c r="E47" s="3">
        <f>($B$2*C47^2+$B$3*C47+$B$4)-$B$5*D47-$E$7</f>
        <v>1.1262948396456973E-2</v>
      </c>
      <c r="F47" s="4">
        <f t="shared" si="1"/>
        <v>736.7388207364387</v>
      </c>
    </row>
    <row r="48" spans="1:6">
      <c r="A48" s="7">
        <v>43353</v>
      </c>
      <c r="B48" s="9">
        <v>0.33333333333333331</v>
      </c>
      <c r="C48" s="2">
        <v>9703.9</v>
      </c>
      <c r="D48" s="2">
        <v>11.9</v>
      </c>
      <c r="E48" s="3">
        <f t="shared" ref="E48:E63" si="2">($B$2*C48^2+$B$3*C48+$B$4)-$B$5*D48-$E$7</f>
        <v>1.152692115241287E-2</v>
      </c>
      <c r="F48" s="4">
        <f t="shared" ref="F48:F63" si="3">$D$1+102*E48</f>
        <v>736.76574595754619</v>
      </c>
    </row>
    <row r="49" spans="1:6">
      <c r="A49" s="7">
        <v>43363</v>
      </c>
      <c r="B49" s="9">
        <v>0.33333333333333331</v>
      </c>
      <c r="C49" s="2">
        <v>9681.6</v>
      </c>
      <c r="D49" s="2">
        <v>11.8</v>
      </c>
      <c r="E49" s="3">
        <f t="shared" si="2"/>
        <v>1.4971228846879431E-2</v>
      </c>
      <c r="F49" s="4">
        <f t="shared" si="3"/>
        <v>737.11706534238169</v>
      </c>
    </row>
    <row r="50" spans="1:6">
      <c r="A50" s="7">
        <v>43373</v>
      </c>
      <c r="B50" s="9">
        <v>0.33333333333333331</v>
      </c>
      <c r="C50" s="2">
        <v>9694.1</v>
      </c>
      <c r="D50" s="2">
        <v>11.8</v>
      </c>
      <c r="E50" s="3">
        <f t="shared" si="2"/>
        <v>1.2878901672345983E-2</v>
      </c>
      <c r="F50" s="4">
        <f t="shared" si="3"/>
        <v>736.9036479705793</v>
      </c>
    </row>
    <row r="51" spans="1:6">
      <c r="A51" s="7">
        <v>43383</v>
      </c>
      <c r="B51" s="9">
        <v>0.33333333333333331</v>
      </c>
      <c r="C51" s="2">
        <v>9695.7000000000007</v>
      </c>
      <c r="D51" s="2">
        <v>11.4</v>
      </c>
      <c r="E51" s="3">
        <f t="shared" si="2"/>
        <v>1.1457488718922576E-2</v>
      </c>
      <c r="F51" s="4">
        <f t="shared" si="3"/>
        <v>736.75866384933011</v>
      </c>
    </row>
    <row r="52" spans="1:6">
      <c r="A52" s="7">
        <v>43393</v>
      </c>
      <c r="B52" s="9">
        <v>0.33333333333333331</v>
      </c>
      <c r="C52" s="2">
        <v>9696.2999999999993</v>
      </c>
      <c r="D52" s="2">
        <v>10.8</v>
      </c>
      <c r="E52" s="3">
        <f t="shared" si="2"/>
        <v>9.626663842102326E-3</v>
      </c>
      <c r="F52" s="4">
        <f t="shared" si="3"/>
        <v>736.57191971189445</v>
      </c>
    </row>
    <row r="53" spans="1:6">
      <c r="A53" s="7">
        <v>43605</v>
      </c>
      <c r="B53" s="1">
        <v>0.33333333333333331</v>
      </c>
      <c r="C53" s="2">
        <v>9744.4</v>
      </c>
      <c r="D53" s="2">
        <v>10.199999999999999</v>
      </c>
      <c r="E53" s="3">
        <f t="shared" si="2"/>
        <v>-1.5493177935108071E-4</v>
      </c>
      <c r="F53" s="4">
        <f t="shared" si="3"/>
        <v>735.57419695850626</v>
      </c>
    </row>
    <row r="54" spans="1:6">
      <c r="A54" s="7">
        <v>43615</v>
      </c>
      <c r="B54" s="1">
        <v>0.33333333333333331</v>
      </c>
      <c r="C54" s="2">
        <v>9740.5</v>
      </c>
      <c r="D54" s="2">
        <v>10.5</v>
      </c>
      <c r="E54" s="3">
        <f t="shared" si="2"/>
        <v>1.3630610898975465E-3</v>
      </c>
      <c r="F54" s="4">
        <f t="shared" si="3"/>
        <v>735.72903223116953</v>
      </c>
    </row>
    <row r="55" spans="1:6">
      <c r="A55" s="7">
        <v>43626</v>
      </c>
      <c r="B55" s="1">
        <v>0.33333333333333331</v>
      </c>
      <c r="C55" s="2">
        <v>9740.9</v>
      </c>
      <c r="D55" s="2">
        <v>10.5</v>
      </c>
      <c r="E55" s="3">
        <f t="shared" si="2"/>
        <v>1.2961076040666902E-3</v>
      </c>
      <c r="F55" s="4">
        <f t="shared" si="3"/>
        <v>735.72220297561478</v>
      </c>
    </row>
    <row r="56" spans="1:6">
      <c r="A56" s="7">
        <v>43636</v>
      </c>
      <c r="B56" s="1">
        <v>0.33333333333333331</v>
      </c>
      <c r="C56" s="2">
        <v>9742.2999999999993</v>
      </c>
      <c r="D56" s="2">
        <v>10.7</v>
      </c>
      <c r="E56" s="3">
        <f t="shared" si="2"/>
        <v>1.6385682622930137E-3</v>
      </c>
      <c r="F56" s="4">
        <f t="shared" si="3"/>
        <v>735.75713396275387</v>
      </c>
    </row>
    <row r="57" spans="1:6">
      <c r="A57" s="7">
        <v>43646</v>
      </c>
      <c r="B57" s="1">
        <v>0.33333333333333331</v>
      </c>
      <c r="C57" s="2">
        <v>9738.6</v>
      </c>
      <c r="D57" s="2">
        <v>10.5</v>
      </c>
      <c r="E57" s="3">
        <f t="shared" si="2"/>
        <v>1.6810902492740559E-3</v>
      </c>
      <c r="F57" s="4">
        <f t="shared" si="3"/>
        <v>735.76147120542601</v>
      </c>
    </row>
    <row r="58" spans="1:6">
      <c r="A58" s="7">
        <v>43656</v>
      </c>
      <c r="B58" s="1">
        <v>0.33333333333333331</v>
      </c>
      <c r="C58" s="2">
        <v>9735.2000000000007</v>
      </c>
      <c r="D58" s="2">
        <v>10.5</v>
      </c>
      <c r="E58" s="3">
        <f t="shared" si="2"/>
        <v>2.2501954800719509E-3</v>
      </c>
      <c r="F58" s="4">
        <f t="shared" si="3"/>
        <v>735.81951993896735</v>
      </c>
    </row>
    <row r="59" spans="1:6">
      <c r="A59" s="7">
        <v>43666</v>
      </c>
      <c r="B59" s="1">
        <v>0.33333333333333331</v>
      </c>
      <c r="C59" s="2">
        <v>9726.4</v>
      </c>
      <c r="D59" s="2">
        <v>10.199999999999999</v>
      </c>
      <c r="E59" s="3">
        <f t="shared" si="2"/>
        <v>2.8579795224993598E-3</v>
      </c>
      <c r="F59" s="4">
        <f t="shared" si="3"/>
        <v>735.88151391129497</v>
      </c>
    </row>
    <row r="60" spans="1:6">
      <c r="A60" s="7">
        <v>43676</v>
      </c>
      <c r="B60" s="1">
        <v>0.33333333333333331</v>
      </c>
      <c r="C60" s="2">
        <v>9705.1</v>
      </c>
      <c r="D60" s="2">
        <v>10.3</v>
      </c>
      <c r="E60" s="3">
        <f t="shared" si="2"/>
        <v>6.711676273431097E-3</v>
      </c>
      <c r="F60" s="4">
        <f t="shared" si="3"/>
        <v>736.27459097989004</v>
      </c>
    </row>
    <row r="61" spans="1:6">
      <c r="A61" s="7">
        <v>43687</v>
      </c>
      <c r="B61" s="9">
        <v>0.33333333333333331</v>
      </c>
      <c r="C61" s="2">
        <v>9697.4</v>
      </c>
      <c r="D61" s="2">
        <v>10.3</v>
      </c>
      <c r="E61" s="3">
        <f t="shared" si="2"/>
        <v>8.0005450114419147E-3</v>
      </c>
      <c r="F61" s="4">
        <f t="shared" si="3"/>
        <v>736.40605559116716</v>
      </c>
    </row>
    <row r="62" spans="1:6">
      <c r="A62" s="7">
        <v>43697</v>
      </c>
      <c r="B62" s="1">
        <v>0.33333333333333331</v>
      </c>
      <c r="C62" s="2">
        <v>9686.1</v>
      </c>
      <c r="D62" s="2">
        <v>10.3</v>
      </c>
      <c r="E62" s="3">
        <f t="shared" si="2"/>
        <v>9.8920067264138128E-3</v>
      </c>
      <c r="F62" s="4">
        <f t="shared" si="3"/>
        <v>736.59898468609424</v>
      </c>
    </row>
    <row r="63" spans="1:6">
      <c r="A63" s="7">
        <v>43707</v>
      </c>
      <c r="B63" s="9">
        <v>0.33333333333333331</v>
      </c>
      <c r="C63" s="2">
        <v>9656.2000000000007</v>
      </c>
      <c r="D63" s="2">
        <v>10.199999999999999</v>
      </c>
      <c r="E63" s="3">
        <f t="shared" si="2"/>
        <v>1.4608477664319303E-2</v>
      </c>
      <c r="F63" s="4">
        <f t="shared" si="3"/>
        <v>737.08006472176055</v>
      </c>
    </row>
    <row r="64" spans="1:6">
      <c r="B64" s="9"/>
    </row>
    <row r="65" spans="2:2">
      <c r="B65" s="9"/>
    </row>
    <row r="66" spans="2:2">
      <c r="B66" s="9"/>
    </row>
    <row r="67" spans="2:2">
      <c r="B67" s="9"/>
    </row>
    <row r="68" spans="2:2">
      <c r="B68" s="9"/>
    </row>
    <row r="69" spans="2:2">
      <c r="B69" s="9"/>
    </row>
    <row r="70" spans="2:2">
      <c r="B70" s="9"/>
    </row>
    <row r="71" spans="2:2">
      <c r="B71" s="9"/>
    </row>
    <row r="72" spans="2:2">
      <c r="B72" s="9"/>
    </row>
    <row r="73" spans="2:2">
      <c r="B73" s="9"/>
    </row>
    <row r="74" spans="2:2">
      <c r="B74" s="9"/>
    </row>
    <row r="75" spans="2:2">
      <c r="B75" s="9"/>
    </row>
    <row r="76" spans="2:2">
      <c r="B76" s="9"/>
    </row>
    <row r="77" spans="2:2">
      <c r="B77" s="9"/>
    </row>
    <row r="78" spans="2:2">
      <c r="B78" s="9"/>
    </row>
    <row r="79" spans="2:2">
      <c r="B79" s="9"/>
    </row>
    <row r="80" spans="2:2">
      <c r="B80" s="9"/>
    </row>
    <row r="81" spans="2:2">
      <c r="B81" s="9"/>
    </row>
    <row r="82" spans="2:2">
      <c r="B82" s="9"/>
    </row>
    <row r="83" spans="2:2">
      <c r="B83" s="9"/>
    </row>
    <row r="84" spans="2:2">
      <c r="B84" s="9"/>
    </row>
    <row r="85" spans="2:2">
      <c r="B85" s="9"/>
    </row>
    <row r="86" spans="2:2">
      <c r="B86" s="9"/>
    </row>
    <row r="87" spans="2:2">
      <c r="B87" s="9"/>
    </row>
    <row r="88" spans="2:2">
      <c r="B88" s="9"/>
    </row>
    <row r="89" spans="2:2">
      <c r="B89" s="9"/>
    </row>
    <row r="90" spans="2:2">
      <c r="B90" s="9"/>
    </row>
    <row r="91" spans="2:2">
      <c r="B91" s="9"/>
    </row>
    <row r="92" spans="2:2">
      <c r="B92" s="9"/>
    </row>
    <row r="93" spans="2:2">
      <c r="B93" s="9"/>
    </row>
    <row r="94" spans="2:2">
      <c r="B94" s="9"/>
    </row>
    <row r="95" spans="2:2">
      <c r="B95" s="9"/>
    </row>
    <row r="96" spans="2:2">
      <c r="B96" s="9"/>
    </row>
    <row r="97" spans="2:2">
      <c r="B97" s="9"/>
    </row>
    <row r="98" spans="2:2">
      <c r="B98" s="9"/>
    </row>
    <row r="99" spans="2:2">
      <c r="B99" s="9"/>
    </row>
    <row r="100" spans="2:2">
      <c r="B100" s="9"/>
    </row>
    <row r="101" spans="2:2">
      <c r="B101" s="9"/>
    </row>
    <row r="102" spans="2:2">
      <c r="B102" s="9"/>
    </row>
    <row r="103" spans="2:2">
      <c r="B103" s="9"/>
    </row>
    <row r="104" spans="2:2">
      <c r="B104" s="9"/>
    </row>
    <row r="105" spans="2:2">
      <c r="B105" s="9"/>
    </row>
    <row r="106" spans="2:2">
      <c r="B106" s="9"/>
    </row>
    <row r="107" spans="2:2">
      <c r="B107" s="9"/>
    </row>
    <row r="108" spans="2:2">
      <c r="B108" s="9"/>
    </row>
    <row r="109" spans="2:2">
      <c r="B109" s="9"/>
    </row>
    <row r="110" spans="2:2">
      <c r="B110" s="9"/>
    </row>
    <row r="111" spans="2:2">
      <c r="B111" s="9"/>
    </row>
    <row r="112" spans="2:2">
      <c r="B112" s="9"/>
    </row>
    <row r="113" spans="2:2">
      <c r="B113" s="9"/>
    </row>
    <row r="114" spans="2:2">
      <c r="B114" s="9"/>
    </row>
    <row r="115" spans="2:2">
      <c r="B115" s="9"/>
    </row>
    <row r="116" spans="2:2">
      <c r="B116" s="9"/>
    </row>
    <row r="117" spans="2:2">
      <c r="B117" s="9"/>
    </row>
    <row r="118" spans="2:2">
      <c r="B118" s="9"/>
    </row>
    <row r="119" spans="2:2">
      <c r="B119" s="9"/>
    </row>
    <row r="120" spans="2:2">
      <c r="B120" s="9"/>
    </row>
    <row r="121" spans="2:2">
      <c r="B121" s="9"/>
    </row>
    <row r="122" spans="2:2">
      <c r="B122" s="9"/>
    </row>
    <row r="123" spans="2:2">
      <c r="B123" s="9"/>
    </row>
    <row r="124" spans="2:2">
      <c r="B124" s="9"/>
    </row>
    <row r="125" spans="2:2">
      <c r="B125" s="9"/>
    </row>
    <row r="126" spans="2:2">
      <c r="B126" s="9"/>
    </row>
    <row r="127" spans="2:2">
      <c r="B127" s="9"/>
    </row>
    <row r="128" spans="2:2">
      <c r="B128" s="9"/>
    </row>
    <row r="129" spans="2:2">
      <c r="B129" s="9"/>
    </row>
    <row r="130" spans="2:2">
      <c r="B130" s="9"/>
    </row>
    <row r="131" spans="2:2">
      <c r="B131" s="9"/>
    </row>
    <row r="132" spans="2:2">
      <c r="B132" s="9"/>
    </row>
    <row r="133" spans="2:2">
      <c r="B133" s="9"/>
    </row>
    <row r="134" spans="2:2">
      <c r="B134" s="9"/>
    </row>
    <row r="135" spans="2:2">
      <c r="B135" s="9"/>
    </row>
    <row r="136" spans="2:2">
      <c r="B136" s="9"/>
    </row>
    <row r="137" spans="2:2">
      <c r="B137" s="9"/>
    </row>
    <row r="138" spans="2:2">
      <c r="B138" s="9"/>
    </row>
    <row r="139" spans="2:2">
      <c r="B139" s="9"/>
    </row>
    <row r="140" spans="2:2">
      <c r="B140" s="9"/>
    </row>
    <row r="141" spans="2:2">
      <c r="B141" s="9"/>
    </row>
    <row r="142" spans="2:2">
      <c r="B142" s="9"/>
    </row>
    <row r="143" spans="2:2">
      <c r="B143" s="9"/>
    </row>
    <row r="144" spans="2:2">
      <c r="B144" s="9"/>
    </row>
    <row r="145" spans="2:2">
      <c r="B145" s="9"/>
    </row>
    <row r="146" spans="2:2">
      <c r="B146" s="9"/>
    </row>
    <row r="147" spans="2:2">
      <c r="B147" s="9"/>
    </row>
    <row r="148" spans="2:2">
      <c r="B148" s="9"/>
    </row>
    <row r="149" spans="2:2">
      <c r="B149" s="9"/>
    </row>
    <row r="150" spans="2:2">
      <c r="B150" s="9"/>
    </row>
    <row r="151" spans="2:2">
      <c r="B151" s="9"/>
    </row>
    <row r="152" spans="2:2">
      <c r="B152" s="9"/>
    </row>
    <row r="153" spans="2:2">
      <c r="B153" s="9"/>
    </row>
    <row r="154" spans="2:2">
      <c r="B154" s="9"/>
    </row>
    <row r="155" spans="2:2">
      <c r="B155" s="9"/>
    </row>
    <row r="156" spans="2:2">
      <c r="B156" s="9"/>
    </row>
    <row r="157" spans="2:2">
      <c r="B157" s="9"/>
    </row>
    <row r="158" spans="2:2">
      <c r="B158" s="9"/>
    </row>
    <row r="159" spans="2:2">
      <c r="B159" s="9"/>
    </row>
    <row r="160" spans="2:2">
      <c r="B160" s="9"/>
    </row>
    <row r="161" spans="2:2">
      <c r="B161" s="9"/>
    </row>
    <row r="162" spans="2:2">
      <c r="B162" s="9"/>
    </row>
    <row r="163" spans="2:2">
      <c r="B163" s="9"/>
    </row>
    <row r="164" spans="2:2">
      <c r="B164" s="9"/>
    </row>
    <row r="165" spans="2:2">
      <c r="B165" s="9"/>
    </row>
    <row r="166" spans="2:2">
      <c r="B166" s="9"/>
    </row>
    <row r="167" spans="2:2">
      <c r="B167" s="9"/>
    </row>
    <row r="168" spans="2:2">
      <c r="B168" s="9"/>
    </row>
    <row r="169" spans="2:2">
      <c r="B169" s="9"/>
    </row>
    <row r="170" spans="2:2">
      <c r="B170" s="9"/>
    </row>
    <row r="171" spans="2:2">
      <c r="B171" s="9"/>
    </row>
    <row r="172" spans="2:2">
      <c r="B172" s="9"/>
    </row>
    <row r="173" spans="2:2">
      <c r="B173" s="9"/>
    </row>
    <row r="174" spans="2:2">
      <c r="B174" s="9"/>
    </row>
    <row r="175" spans="2:2">
      <c r="B175" s="9"/>
    </row>
    <row r="176" spans="2:2">
      <c r="B176" s="9"/>
    </row>
  </sheetData>
  <phoneticPr fontId="4" type="noConversion"/>
  <pageMargins left="0.69930555555555596" right="0.69930555555555596" top="0.75" bottom="0.75" header="0.3" footer="0.3"/>
  <pageSetup paperSize="9" orientation="portrait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6"/>
  <sheetViews>
    <sheetView topLeftCell="A46" workbookViewId="0">
      <selection activeCell="A61" sqref="A61:B63"/>
    </sheetView>
  </sheetViews>
  <sheetFormatPr defaultColWidth="9" defaultRowHeight="13.5"/>
  <cols>
    <col min="1" max="1" width="11" customWidth="1"/>
    <col min="2" max="2" width="13.125" style="17" customWidth="1"/>
    <col min="5" max="5" width="10.875" customWidth="1"/>
    <col min="8" max="8" width="9.5" customWidth="1"/>
  </cols>
  <sheetData>
    <row r="1" spans="1:8">
      <c r="A1" t="s">
        <v>0</v>
      </c>
      <c r="B1" s="18">
        <v>11245</v>
      </c>
      <c r="C1" t="s">
        <v>1</v>
      </c>
      <c r="D1" s="11">
        <v>730.59</v>
      </c>
    </row>
    <row r="2" spans="1:8">
      <c r="A2" t="s">
        <v>2</v>
      </c>
      <c r="B2" s="24">
        <v>2.0614499999999999E-10</v>
      </c>
    </row>
    <row r="3" spans="1:8">
      <c r="A3" t="s">
        <v>3</v>
      </c>
      <c r="B3" s="18">
        <v>-1.7039E-4</v>
      </c>
    </row>
    <row r="4" spans="1:8">
      <c r="A4" t="s">
        <v>4</v>
      </c>
      <c r="B4" s="18">
        <v>1.30223373</v>
      </c>
    </row>
    <row r="5" spans="1:8">
      <c r="A5" t="s">
        <v>5</v>
      </c>
      <c r="B5" s="18">
        <v>-3.391037E-3</v>
      </c>
    </row>
    <row r="6" spans="1:8">
      <c r="A6" t="s">
        <v>6</v>
      </c>
      <c r="B6" s="17" t="s">
        <v>7</v>
      </c>
      <c r="C6" t="s">
        <v>8</v>
      </c>
      <c r="D6" t="s">
        <v>9</v>
      </c>
      <c r="E6" t="s">
        <v>10</v>
      </c>
      <c r="F6" t="s">
        <v>11</v>
      </c>
      <c r="G6" t="s">
        <v>12</v>
      </c>
    </row>
    <row r="7" spans="1:8">
      <c r="A7" s="6">
        <v>42584</v>
      </c>
      <c r="B7" s="9">
        <v>0.67361111111111105</v>
      </c>
      <c r="C7" s="2">
        <v>7663.9</v>
      </c>
      <c r="D7" s="2">
        <v>19.5</v>
      </c>
      <c r="E7" s="3">
        <f>($B$2*C7^2+$B$3*C7+$B$4)-$B$5*D7</f>
        <v>7.4615031948925492E-2</v>
      </c>
      <c r="G7" t="s">
        <v>13</v>
      </c>
    </row>
    <row r="8" spans="1:8">
      <c r="A8" s="6">
        <v>42586</v>
      </c>
      <c r="B8" s="9">
        <v>0.83333333333333304</v>
      </c>
      <c r="C8" s="2">
        <v>7191.3</v>
      </c>
      <c r="D8" s="2">
        <v>21.3</v>
      </c>
      <c r="E8" s="3">
        <f t="shared" ref="E8:E36" si="0">($B$2*C8^2+$B$3*C8+$B$4)-$B$5*D8-$E$7</f>
        <v>8.5182925708589485E-2</v>
      </c>
      <c r="F8" s="4">
        <f>$D$1+102*E8</f>
        <v>739.27865842227618</v>
      </c>
      <c r="G8" s="5" t="s">
        <v>14</v>
      </c>
      <c r="H8" s="23"/>
    </row>
    <row r="9" spans="1:8">
      <c r="A9" s="6">
        <v>42587</v>
      </c>
      <c r="B9" s="9">
        <v>0.33333333333333298</v>
      </c>
      <c r="C9" s="2">
        <v>7695.8</v>
      </c>
      <c r="D9" s="2">
        <v>34.200000000000003</v>
      </c>
      <c r="E9" s="3">
        <f t="shared" si="0"/>
        <v>4.4513808678872252E-2</v>
      </c>
      <c r="F9" s="4">
        <f t="shared" ref="F9:F47" si="1">$D$1+102*E9</f>
        <v>735.13040848524497</v>
      </c>
      <c r="H9" s="23"/>
    </row>
    <row r="10" spans="1:8">
      <c r="A10" s="6">
        <v>42588</v>
      </c>
      <c r="B10" s="9">
        <v>0.33333333333333298</v>
      </c>
      <c r="C10" s="2">
        <v>7674.1</v>
      </c>
      <c r="D10" s="2">
        <v>34.1</v>
      </c>
      <c r="E10" s="3">
        <f t="shared" si="0"/>
        <v>4.7803413090501776E-2</v>
      </c>
      <c r="F10" s="4">
        <f t="shared" si="1"/>
        <v>735.4659481352312</v>
      </c>
      <c r="H10" s="23"/>
    </row>
    <row r="11" spans="1:8">
      <c r="A11" s="6">
        <v>42589</v>
      </c>
      <c r="B11" s="9">
        <v>0.33333333333333298</v>
      </c>
      <c r="C11" s="2">
        <v>7654.8</v>
      </c>
      <c r="D11" s="2">
        <v>33.799999999999997</v>
      </c>
      <c r="E11" s="3">
        <f t="shared" si="0"/>
        <v>5.0013641451955138E-2</v>
      </c>
      <c r="F11" s="4">
        <f t="shared" si="1"/>
        <v>735.69139142809945</v>
      </c>
      <c r="H11" s="23"/>
    </row>
    <row r="12" spans="1:8">
      <c r="A12" s="6">
        <v>42590</v>
      </c>
      <c r="B12" s="9">
        <v>0.33333333333333298</v>
      </c>
      <c r="C12" s="2">
        <v>7610.8</v>
      </c>
      <c r="D12" s="2">
        <v>32.200000000000003</v>
      </c>
      <c r="E12" s="3">
        <f t="shared" si="0"/>
        <v>5.1946677459027257E-2</v>
      </c>
      <c r="F12" s="4">
        <f t="shared" si="1"/>
        <v>735.88856110082077</v>
      </c>
      <c r="H12" s="23"/>
    </row>
    <row r="13" spans="1:8">
      <c r="A13" s="6">
        <v>42591</v>
      </c>
      <c r="B13" s="9">
        <v>0.33333333333333298</v>
      </c>
      <c r="C13" s="2">
        <v>7583</v>
      </c>
      <c r="D13" s="2">
        <v>30.9</v>
      </c>
      <c r="E13" s="3">
        <f t="shared" si="0"/>
        <v>5.2188098258979521E-2</v>
      </c>
      <c r="F13" s="4">
        <f t="shared" si="1"/>
        <v>735.91318602241597</v>
      </c>
      <c r="H13" s="23"/>
    </row>
    <row r="14" spans="1:8">
      <c r="A14" s="6">
        <v>42592</v>
      </c>
      <c r="B14" s="9">
        <v>0.33333333333333298</v>
      </c>
      <c r="C14" s="2">
        <v>7554.1</v>
      </c>
      <c r="D14" s="2">
        <v>29.3</v>
      </c>
      <c r="E14" s="3">
        <f t="shared" si="0"/>
        <v>5.1596529415821768E-2</v>
      </c>
      <c r="F14" s="4">
        <f t="shared" si="1"/>
        <v>735.85284600041382</v>
      </c>
      <c r="H14" s="23"/>
    </row>
    <row r="15" spans="1:8">
      <c r="A15" s="6">
        <v>42593</v>
      </c>
      <c r="B15" s="9">
        <v>0.33333333333333298</v>
      </c>
      <c r="C15" s="2">
        <v>7528.7</v>
      </c>
      <c r="D15" s="2">
        <v>28.4</v>
      </c>
      <c r="E15" s="3">
        <f t="shared" si="0"/>
        <v>5.2793527323149486E-2</v>
      </c>
      <c r="F15" s="4">
        <f t="shared" si="1"/>
        <v>735.97493978696127</v>
      </c>
      <c r="H15" s="23"/>
    </row>
    <row r="16" spans="1:8">
      <c r="A16" s="6">
        <v>42602</v>
      </c>
      <c r="B16" s="9">
        <v>0.33333333333333298</v>
      </c>
      <c r="C16" s="2">
        <v>7420.7</v>
      </c>
      <c r="D16" s="2">
        <v>24.2</v>
      </c>
      <c r="E16" s="3">
        <f t="shared" si="0"/>
        <v>5.6620463564345469E-2</v>
      </c>
      <c r="F16" s="4">
        <f t="shared" si="1"/>
        <v>736.36528728356325</v>
      </c>
      <c r="H16" s="23"/>
    </row>
    <row r="17" spans="1:8">
      <c r="A17" s="6">
        <v>42612</v>
      </c>
      <c r="B17" s="9">
        <v>0.33333333333333298</v>
      </c>
      <c r="C17" s="2">
        <v>7370.6</v>
      </c>
      <c r="D17" s="2">
        <v>21.2</v>
      </c>
      <c r="E17" s="3">
        <f t="shared" si="0"/>
        <v>5.4831129022166636E-2</v>
      </c>
      <c r="F17" s="4">
        <f t="shared" si="1"/>
        <v>736.18277516026103</v>
      </c>
      <c r="H17" s="23"/>
    </row>
    <row r="18" spans="1:8">
      <c r="A18" s="6">
        <v>42623</v>
      </c>
      <c r="B18" s="9">
        <v>0.33333333333333298</v>
      </c>
      <c r="C18" s="2">
        <v>7325.5</v>
      </c>
      <c r="D18" s="2">
        <v>19.399999999999999</v>
      </c>
      <c r="E18" s="3">
        <f t="shared" si="0"/>
        <v>5.6275219730360648E-2</v>
      </c>
      <c r="F18" s="4">
        <f t="shared" si="1"/>
        <v>736.33007241249686</v>
      </c>
      <c r="H18" s="23"/>
    </row>
    <row r="19" spans="1:8">
      <c r="A19" s="7">
        <v>42633</v>
      </c>
      <c r="B19" s="9">
        <v>0.33333333333333331</v>
      </c>
      <c r="C19" s="2">
        <v>7289.2</v>
      </c>
      <c r="D19" s="2">
        <v>18.3</v>
      </c>
      <c r="E19" s="3">
        <f t="shared" si="0"/>
        <v>5.8620873302227428E-2</v>
      </c>
      <c r="F19" s="4">
        <f t="shared" si="1"/>
        <v>736.56932907682722</v>
      </c>
      <c r="H19" s="23"/>
    </row>
    <row r="20" spans="1:8">
      <c r="A20" s="7">
        <v>42643</v>
      </c>
      <c r="B20" s="9">
        <v>0.33333333333333331</v>
      </c>
      <c r="C20" s="2">
        <v>7284.1</v>
      </c>
      <c r="D20" s="2">
        <v>17.5</v>
      </c>
      <c r="E20" s="3">
        <f t="shared" si="0"/>
        <v>5.6761711216291894E-2</v>
      </c>
      <c r="F20" s="4">
        <f t="shared" si="1"/>
        <v>736.37969454406175</v>
      </c>
      <c r="H20" s="23"/>
    </row>
    <row r="21" spans="1:8">
      <c r="A21" s="7">
        <v>42884</v>
      </c>
      <c r="B21" s="9">
        <v>0.33333333333333331</v>
      </c>
      <c r="C21" s="2">
        <v>7223.3</v>
      </c>
      <c r="D21" s="2">
        <v>13.1</v>
      </c>
      <c r="E21" s="3">
        <f t="shared" si="0"/>
        <v>5.2019030235533614E-2</v>
      </c>
      <c r="F21" s="4">
        <f t="shared" si="1"/>
        <v>735.89594108402446</v>
      </c>
      <c r="H21" s="23"/>
    </row>
    <row r="22" spans="1:8">
      <c r="A22" s="7">
        <v>42885</v>
      </c>
      <c r="B22" s="9">
        <v>0.33333333333333331</v>
      </c>
      <c r="C22" s="2">
        <v>7223.2</v>
      </c>
      <c r="D22" s="2">
        <v>13.1</v>
      </c>
      <c r="E22" s="3">
        <f t="shared" si="0"/>
        <v>5.203577142815935E-2</v>
      </c>
      <c r="F22" s="4">
        <f t="shared" si="1"/>
        <v>735.89764868567227</v>
      </c>
      <c r="H22" s="23"/>
    </row>
    <row r="23" spans="1:8">
      <c r="A23" s="7">
        <v>42896</v>
      </c>
      <c r="B23" s="9">
        <v>0.33333333333333331</v>
      </c>
      <c r="C23" s="2">
        <v>7225</v>
      </c>
      <c r="D23" s="2">
        <v>13</v>
      </c>
      <c r="E23" s="3">
        <f t="shared" si="0"/>
        <v>5.1395326891699539E-2</v>
      </c>
      <c r="F23" s="4">
        <f t="shared" si="1"/>
        <v>735.83232334295337</v>
      </c>
    </row>
    <row r="24" spans="1:8">
      <c r="A24" s="7">
        <v>42906</v>
      </c>
      <c r="B24" s="9">
        <v>0.33333333333333331</v>
      </c>
      <c r="C24" s="2">
        <v>7221.8</v>
      </c>
      <c r="D24" s="2">
        <v>12.9</v>
      </c>
      <c r="E24" s="3">
        <f t="shared" si="0"/>
        <v>5.1591941157824256E-2</v>
      </c>
      <c r="F24" s="4">
        <f t="shared" si="1"/>
        <v>735.85237799809806</v>
      </c>
    </row>
    <row r="25" spans="1:8">
      <c r="A25" s="7">
        <v>42916</v>
      </c>
      <c r="B25" s="9">
        <v>0.33333333333333331</v>
      </c>
      <c r="C25" s="2">
        <v>7220.8</v>
      </c>
      <c r="D25" s="2">
        <v>12.8</v>
      </c>
      <c r="E25" s="3">
        <f t="shared" si="0"/>
        <v>5.142025018804719E-2</v>
      </c>
      <c r="F25" s="4">
        <f t="shared" si="1"/>
        <v>735.83486551918088</v>
      </c>
    </row>
    <row r="26" spans="1:8">
      <c r="A26" s="7">
        <v>42926</v>
      </c>
      <c r="B26" s="9">
        <v>0.33333333333333331</v>
      </c>
      <c r="C26" s="2">
        <v>7223.7</v>
      </c>
      <c r="D26" s="2">
        <v>12.8</v>
      </c>
      <c r="E26" s="3">
        <f t="shared" si="0"/>
        <v>5.0934754406259497E-2</v>
      </c>
      <c r="F26" s="4">
        <f t="shared" si="1"/>
        <v>735.78534494943847</v>
      </c>
    </row>
    <row r="27" spans="1:8">
      <c r="A27" s="7">
        <v>42936</v>
      </c>
      <c r="B27" s="9">
        <v>0.33333333333333331</v>
      </c>
      <c r="C27" s="2">
        <v>7219.5</v>
      </c>
      <c r="D27" s="2">
        <v>12.7</v>
      </c>
      <c r="E27" s="3">
        <f t="shared" si="0"/>
        <v>5.1298783653710656E-2</v>
      </c>
      <c r="F27" s="4">
        <f t="shared" si="1"/>
        <v>735.82247593267857</v>
      </c>
    </row>
    <row r="28" spans="1:8">
      <c r="A28" s="6">
        <v>42946</v>
      </c>
      <c r="B28" s="9">
        <v>0.33333333333333331</v>
      </c>
      <c r="C28" s="2">
        <v>7221.5</v>
      </c>
      <c r="D28" s="2">
        <v>12.6</v>
      </c>
      <c r="E28" s="3">
        <f t="shared" si="0"/>
        <v>5.0624853833600714E-2</v>
      </c>
      <c r="F28" s="4">
        <f t="shared" si="1"/>
        <v>735.75373509102735</v>
      </c>
    </row>
    <row r="29" spans="1:8">
      <c r="A29" s="7">
        <v>42957</v>
      </c>
      <c r="B29" s="9">
        <v>0.33333333333333331</v>
      </c>
      <c r="C29" s="2">
        <v>7214.7</v>
      </c>
      <c r="D29" s="2">
        <v>12.5</v>
      </c>
      <c r="E29" s="3">
        <f t="shared" si="0"/>
        <v>5.1424165670547639E-2</v>
      </c>
      <c r="F29" s="4">
        <f t="shared" si="1"/>
        <v>735.83526489839585</v>
      </c>
    </row>
    <row r="30" spans="1:8">
      <c r="A30" s="7">
        <v>42967</v>
      </c>
      <c r="B30" s="9">
        <v>0.33333333333333331</v>
      </c>
      <c r="C30" s="2">
        <v>7211.1</v>
      </c>
      <c r="D30" s="2">
        <v>12.5</v>
      </c>
      <c r="E30" s="3">
        <f t="shared" si="0"/>
        <v>5.2026863966999848E-2</v>
      </c>
      <c r="F30" s="4">
        <f t="shared" si="1"/>
        <v>735.89674012463399</v>
      </c>
    </row>
    <row r="31" spans="1:8">
      <c r="A31" s="7">
        <v>42977</v>
      </c>
      <c r="B31" s="9">
        <v>0.33333333333333331</v>
      </c>
      <c r="C31" s="2">
        <v>7211.4</v>
      </c>
      <c r="D31" s="2">
        <v>13</v>
      </c>
      <c r="E31" s="3">
        <f t="shared" si="0"/>
        <v>5.3672157404878823E-2</v>
      </c>
      <c r="F31" s="4">
        <f t="shared" si="1"/>
        <v>736.06456005529765</v>
      </c>
    </row>
    <row r="32" spans="1:8">
      <c r="A32" s="7">
        <v>42988</v>
      </c>
      <c r="B32" s="9">
        <v>0.33333333333333331</v>
      </c>
      <c r="C32" s="2">
        <v>7208.8</v>
      </c>
      <c r="D32" s="2">
        <v>12.3</v>
      </c>
      <c r="E32" s="3">
        <f t="shared" si="0"/>
        <v>5.1733716609343255E-2</v>
      </c>
      <c r="F32" s="4">
        <f t="shared" si="1"/>
        <v>735.86683909415308</v>
      </c>
    </row>
    <row r="33" spans="1:6">
      <c r="A33" s="7">
        <v>42998</v>
      </c>
      <c r="B33" s="9">
        <v>0.33333333333333331</v>
      </c>
      <c r="C33" s="2">
        <v>7213.6</v>
      </c>
      <c r="D33" s="2">
        <v>12.3</v>
      </c>
      <c r="E33" s="3">
        <f t="shared" si="0"/>
        <v>5.0930115516453683E-2</v>
      </c>
      <c r="F33" s="4">
        <f t="shared" si="1"/>
        <v>735.78487178267835</v>
      </c>
    </row>
    <row r="34" spans="1:6">
      <c r="A34" s="7">
        <v>43008</v>
      </c>
      <c r="B34" s="9">
        <v>0.33333333333333331</v>
      </c>
      <c r="C34" s="2">
        <v>7214.6</v>
      </c>
      <c r="D34" s="2">
        <v>12.7</v>
      </c>
      <c r="E34" s="3">
        <f t="shared" si="0"/>
        <v>5.2119114617742435E-2</v>
      </c>
      <c r="F34" s="4">
        <f t="shared" si="1"/>
        <v>735.90614969100977</v>
      </c>
    </row>
    <row r="35" spans="1:6">
      <c r="A35" s="7">
        <v>43018</v>
      </c>
      <c r="B35" s="9">
        <v>0.33333333333333331</v>
      </c>
      <c r="C35" s="2">
        <v>7211.8</v>
      </c>
      <c r="D35" s="2">
        <v>12.2</v>
      </c>
      <c r="E35" s="3">
        <f t="shared" si="0"/>
        <v>5.0892361113104301E-2</v>
      </c>
      <c r="F35" s="4">
        <f t="shared" si="1"/>
        <v>735.78102083353667</v>
      </c>
    </row>
    <row r="36" spans="1:6">
      <c r="A36" s="7">
        <v>43230</v>
      </c>
      <c r="B36" s="9">
        <v>0.33333333333333331</v>
      </c>
      <c r="C36" s="2">
        <v>7201.5</v>
      </c>
      <c r="D36" s="2">
        <v>11.2</v>
      </c>
      <c r="E36" s="3">
        <f t="shared" si="0"/>
        <v>4.9225737446900647E-2</v>
      </c>
      <c r="F36" s="4">
        <f t="shared" si="1"/>
        <v>735.61102521958389</v>
      </c>
    </row>
    <row r="37" spans="1:6">
      <c r="A37" s="7">
        <v>43240</v>
      </c>
      <c r="B37" s="9">
        <v>0.33333333333333331</v>
      </c>
      <c r="C37" s="2">
        <v>7203.2</v>
      </c>
      <c r="D37" s="2">
        <v>11.3</v>
      </c>
      <c r="E37" s="3">
        <f>($B$2*C37^2+$B$3*C37+$B$4)-$B$5*D37-$E$7</f>
        <v>4.9280226223599316E-2</v>
      </c>
      <c r="F37" s="4">
        <f t="shared" si="1"/>
        <v>735.61658307480718</v>
      </c>
    </row>
    <row r="38" spans="1:6">
      <c r="A38" s="7">
        <v>43250</v>
      </c>
      <c r="B38" s="9">
        <v>0.33333333333333331</v>
      </c>
      <c r="C38" s="2">
        <v>7199.5</v>
      </c>
      <c r="D38" s="2">
        <v>11.3</v>
      </c>
      <c r="E38" s="3">
        <f>($B$2*C38^2+$B$3*C38+$B$4)-$B$5*D38-$E$7</f>
        <v>4.9899683758610675E-2</v>
      </c>
      <c r="F38" s="4">
        <f t="shared" si="1"/>
        <v>735.67976774337831</v>
      </c>
    </row>
    <row r="39" spans="1:6">
      <c r="A39" s="7">
        <v>43261</v>
      </c>
      <c r="B39" s="9">
        <v>0.33333333333333331</v>
      </c>
      <c r="C39" s="2">
        <v>7196.2</v>
      </c>
      <c r="D39" s="2">
        <v>11.1</v>
      </c>
      <c r="E39" s="3">
        <f>($B$2*C39^2+$B$3*C39+$B$4)-$B$5*D39-$E$7</f>
        <v>4.9773970273408269E-2</v>
      </c>
      <c r="F39" s="4">
        <f t="shared" si="1"/>
        <v>735.66694496788773</v>
      </c>
    </row>
    <row r="40" spans="1:6">
      <c r="A40" s="7">
        <v>43271</v>
      </c>
      <c r="B40" s="9">
        <v>0.33333333333333331</v>
      </c>
      <c r="C40" s="2">
        <v>7117.3</v>
      </c>
      <c r="D40" s="2">
        <v>11.1</v>
      </c>
      <c r="E40" s="3">
        <f>($B$2*C40^2+$B$3*C40+$B$4)-$B$5*D40-$E$7</f>
        <v>6.2984934478911653E-2</v>
      </c>
      <c r="F40" s="4">
        <f t="shared" si="1"/>
        <v>737.01446331684906</v>
      </c>
    </row>
    <row r="41" spans="1:6">
      <c r="A41" s="7">
        <v>43281</v>
      </c>
      <c r="B41" s="9">
        <v>0.33333333333333331</v>
      </c>
      <c r="C41" s="2">
        <v>7116.1</v>
      </c>
      <c r="D41" s="2">
        <v>11.1</v>
      </c>
      <c r="E41" s="3">
        <f>($B$2*C41^2+$B$3*C41+$B$4)-$B$5*D41-$E$7</f>
        <v>6.3185881505819858E-2</v>
      </c>
      <c r="F41" s="4">
        <f t="shared" si="1"/>
        <v>737.03495991359364</v>
      </c>
    </row>
    <row r="42" spans="1:6">
      <c r="A42" s="7">
        <v>43291</v>
      </c>
      <c r="B42" s="9">
        <v>0.33333333333333331</v>
      </c>
      <c r="C42" s="2">
        <v>7135.5</v>
      </c>
      <c r="D42" s="2">
        <v>11.6</v>
      </c>
      <c r="E42" s="3">
        <f t="shared" ref="E42:E47" si="2">($B$2*C42^2+$B$3*C42+$B$4)-$B$5*D42-$E$7</f>
        <v>6.1632829189810834E-2</v>
      </c>
      <c r="F42" s="4">
        <f t="shared" si="1"/>
        <v>736.87654857736072</v>
      </c>
    </row>
    <row r="43" spans="1:6">
      <c r="A43" s="7">
        <v>43301</v>
      </c>
      <c r="B43" s="9">
        <v>0.33333333333333331</v>
      </c>
      <c r="C43" s="2">
        <v>7142.4</v>
      </c>
      <c r="D43" s="2">
        <v>11.2</v>
      </c>
      <c r="E43" s="3">
        <f t="shared" si="2"/>
        <v>5.9121032281909708E-2</v>
      </c>
      <c r="F43" s="4">
        <f t="shared" si="1"/>
        <v>736.62034529275479</v>
      </c>
    </row>
    <row r="44" spans="1:6">
      <c r="A44" s="7">
        <v>43311</v>
      </c>
      <c r="B44" s="9">
        <v>0.33333333333333331</v>
      </c>
      <c r="C44" s="2">
        <v>7142.8</v>
      </c>
      <c r="D44" s="2">
        <v>10.8</v>
      </c>
      <c r="E44" s="3">
        <f t="shared" si="2"/>
        <v>5.7697639410931145E-2</v>
      </c>
      <c r="F44" s="4">
        <f t="shared" si="1"/>
        <v>736.47515921991499</v>
      </c>
    </row>
    <row r="45" spans="1:6">
      <c r="A45" s="7">
        <v>43322</v>
      </c>
      <c r="B45" s="9">
        <v>0.33333333333333331</v>
      </c>
      <c r="C45" s="2">
        <v>7131.9</v>
      </c>
      <c r="D45" s="2">
        <v>11</v>
      </c>
      <c r="E45" s="3">
        <f t="shared" si="2"/>
        <v>6.0201022838387963E-2</v>
      </c>
      <c r="F45" s="4">
        <f t="shared" si="1"/>
        <v>736.73050432951561</v>
      </c>
    </row>
    <row r="46" spans="1:6">
      <c r="A46" s="7">
        <v>43332</v>
      </c>
      <c r="B46" s="9">
        <v>0.33333333333333331</v>
      </c>
      <c r="C46" s="2">
        <v>7141.5</v>
      </c>
      <c r="D46" s="2">
        <v>11</v>
      </c>
      <c r="E46" s="3">
        <f t="shared" si="2"/>
        <v>5.8593525782800915E-2</v>
      </c>
      <c r="F46" s="4">
        <f t="shared" si="1"/>
        <v>736.56653962984569</v>
      </c>
    </row>
    <row r="47" spans="1:6">
      <c r="A47" s="7">
        <v>43342</v>
      </c>
      <c r="B47" s="9">
        <v>0.33333333333333331</v>
      </c>
      <c r="C47" s="2">
        <v>7139.4</v>
      </c>
      <c r="D47" s="2">
        <v>11</v>
      </c>
      <c r="E47" s="3">
        <f t="shared" si="2"/>
        <v>5.8945162516926775E-2</v>
      </c>
      <c r="F47" s="4">
        <f t="shared" si="1"/>
        <v>736.60240657672659</v>
      </c>
    </row>
    <row r="48" spans="1:6">
      <c r="A48" s="7">
        <v>43353</v>
      </c>
      <c r="B48" s="9">
        <v>0.33333333333333331</v>
      </c>
      <c r="C48" s="2">
        <v>7137.4</v>
      </c>
      <c r="D48" s="2">
        <v>10.9</v>
      </c>
      <c r="E48" s="3">
        <f t="shared" ref="E48:E63" si="3">($B$2*C48^2+$B$3*C48+$B$4)-$B$5*D48-$E$7</f>
        <v>5.8940952635054777E-2</v>
      </c>
      <c r="F48" s="4">
        <f t="shared" ref="F48:F63" si="4">$D$1+102*E48</f>
        <v>736.60197716877565</v>
      </c>
    </row>
    <row r="49" spans="1:6">
      <c r="A49" s="7">
        <v>43363</v>
      </c>
      <c r="B49" s="9">
        <v>0.33333333333333331</v>
      </c>
      <c r="C49" s="2">
        <v>7115.6</v>
      </c>
      <c r="D49" s="2">
        <v>10.8</v>
      </c>
      <c r="E49" s="3">
        <f t="shared" si="3"/>
        <v>6.2252298508921722E-2</v>
      </c>
      <c r="F49" s="4">
        <f t="shared" si="4"/>
        <v>736.93973444791004</v>
      </c>
    </row>
    <row r="50" spans="1:6">
      <c r="A50" s="7">
        <v>43373</v>
      </c>
      <c r="B50" s="9">
        <v>0.33333333333333331</v>
      </c>
      <c r="C50" s="2">
        <v>7142.3</v>
      </c>
      <c r="D50" s="2">
        <v>10.5</v>
      </c>
      <c r="E50" s="3">
        <f t="shared" si="3"/>
        <v>5.6764050909961394E-2</v>
      </c>
      <c r="F50" s="4">
        <f t="shared" si="4"/>
        <v>736.37993319281611</v>
      </c>
    </row>
    <row r="51" spans="1:6">
      <c r="A51" s="7">
        <v>43383</v>
      </c>
      <c r="B51" s="9">
        <v>0.33333333333333331</v>
      </c>
      <c r="C51" s="2">
        <v>7143.6</v>
      </c>
      <c r="D51" s="2">
        <v>10.3</v>
      </c>
      <c r="E51" s="3">
        <f t="shared" si="3"/>
        <v>5.5868164966873524E-2</v>
      </c>
      <c r="F51" s="4">
        <f t="shared" si="4"/>
        <v>736.28855282662118</v>
      </c>
    </row>
    <row r="52" spans="1:6">
      <c r="A52" s="7">
        <v>43393</v>
      </c>
      <c r="B52" s="9">
        <v>0.33333333333333331</v>
      </c>
      <c r="C52" s="2">
        <v>7144.7</v>
      </c>
      <c r="D52" s="2">
        <v>10.1</v>
      </c>
      <c r="E52" s="3">
        <f t="shared" si="3"/>
        <v>5.5005768574637487E-2</v>
      </c>
      <c r="F52" s="4">
        <f t="shared" si="4"/>
        <v>736.20058839461308</v>
      </c>
    </row>
    <row r="53" spans="1:6">
      <c r="A53" s="7">
        <v>43605</v>
      </c>
      <c r="B53" s="1">
        <v>0.33333333333333331</v>
      </c>
      <c r="C53" s="2">
        <v>7182.4</v>
      </c>
      <c r="D53" s="2">
        <v>9.9</v>
      </c>
      <c r="E53" s="3">
        <f t="shared" si="3"/>
        <v>4.8015203617749733E-2</v>
      </c>
      <c r="F53" s="4">
        <f t="shared" si="4"/>
        <v>735.48755076901045</v>
      </c>
    </row>
    <row r="54" spans="1:6">
      <c r="A54" s="7">
        <v>43615</v>
      </c>
      <c r="B54" s="1">
        <v>0.33333333333333331</v>
      </c>
      <c r="C54" s="2">
        <v>7186.2</v>
      </c>
      <c r="D54" s="2">
        <v>9.9</v>
      </c>
      <c r="E54" s="3">
        <f t="shared" si="3"/>
        <v>4.7378977274928277E-2</v>
      </c>
      <c r="F54" s="4">
        <f t="shared" si="4"/>
        <v>735.42265568204266</v>
      </c>
    </row>
    <row r="55" spans="1:6">
      <c r="A55" s="7">
        <v>43626</v>
      </c>
      <c r="B55" s="1">
        <v>0.33333333333333331</v>
      </c>
      <c r="C55" s="2">
        <v>7185.3</v>
      </c>
      <c r="D55" s="2">
        <v>10.199999999999999</v>
      </c>
      <c r="E55" s="3">
        <f t="shared" si="3"/>
        <v>4.8546973023347428E-2</v>
      </c>
      <c r="F55" s="4">
        <f t="shared" si="4"/>
        <v>735.54179124838151</v>
      </c>
    </row>
    <row r="56" spans="1:6">
      <c r="A56" s="7">
        <v>43636</v>
      </c>
      <c r="B56" s="1">
        <v>0.33333333333333331</v>
      </c>
      <c r="C56" s="2">
        <v>7178.3</v>
      </c>
      <c r="D56" s="2">
        <v>10.3</v>
      </c>
      <c r="E56" s="3">
        <f t="shared" si="3"/>
        <v>5.0058079833093627E-2</v>
      </c>
      <c r="F56" s="4">
        <f t="shared" si="4"/>
        <v>735.69592414297563</v>
      </c>
    </row>
    <row r="57" spans="1:6">
      <c r="A57" s="7">
        <v>43646</v>
      </c>
      <c r="B57" s="1">
        <v>0.33333333333333331</v>
      </c>
      <c r="C57" s="2">
        <v>7170.1</v>
      </c>
      <c r="D57" s="2">
        <v>9.9</v>
      </c>
      <c r="E57" s="3">
        <f t="shared" si="3"/>
        <v>5.0074608655565719E-2</v>
      </c>
      <c r="F57" s="4">
        <f t="shared" si="4"/>
        <v>735.69761008286775</v>
      </c>
    </row>
    <row r="58" spans="1:6">
      <c r="A58" s="7">
        <v>43656</v>
      </c>
      <c r="B58" s="1">
        <v>0.33333333333333331</v>
      </c>
      <c r="C58" s="2">
        <v>7162.4</v>
      </c>
      <c r="D58" s="2">
        <v>10.1</v>
      </c>
      <c r="E58" s="3">
        <f t="shared" si="3"/>
        <v>5.2042068841829742E-2</v>
      </c>
      <c r="F58" s="4">
        <f t="shared" si="4"/>
        <v>735.89829102186661</v>
      </c>
    </row>
    <row r="59" spans="1:6">
      <c r="A59" s="7">
        <v>43666</v>
      </c>
      <c r="B59" s="1">
        <v>0.33333333333333331</v>
      </c>
      <c r="C59" s="2">
        <v>7147.8</v>
      </c>
      <c r="D59" s="2">
        <v>9.8000000000000007</v>
      </c>
      <c r="E59" s="3">
        <f t="shared" si="3"/>
        <v>5.3469382089616213E-2</v>
      </c>
      <c r="F59" s="4">
        <f t="shared" si="4"/>
        <v>736.04387697314087</v>
      </c>
    </row>
    <row r="60" spans="1:6">
      <c r="A60" s="7">
        <v>43676</v>
      </c>
      <c r="B60" s="1">
        <v>0.33333333333333331</v>
      </c>
      <c r="C60" s="2">
        <v>7140.7</v>
      </c>
      <c r="D60" s="2">
        <v>9.6999999999999993</v>
      </c>
      <c r="E60" s="3">
        <f t="shared" si="3"/>
        <v>5.431913431950558E-2</v>
      </c>
      <c r="F60" s="4">
        <f t="shared" si="4"/>
        <v>736.13055170058965</v>
      </c>
    </row>
    <row r="61" spans="1:6">
      <c r="A61" s="7">
        <v>43687</v>
      </c>
      <c r="B61" s="9">
        <v>0.33333333333333331</v>
      </c>
      <c r="C61" s="2">
        <v>7135.1</v>
      </c>
      <c r="D61" s="2">
        <v>9.6999999999999993</v>
      </c>
      <c r="E61" s="3">
        <f t="shared" si="3"/>
        <v>5.5256838164675692E-2</v>
      </c>
      <c r="F61" s="4">
        <f t="shared" si="4"/>
        <v>736.22619749279693</v>
      </c>
    </row>
    <row r="62" spans="1:6">
      <c r="A62" s="7">
        <v>43697</v>
      </c>
      <c r="B62" s="1">
        <v>0.33333333333333331</v>
      </c>
      <c r="C62" s="2">
        <v>7119.6</v>
      </c>
      <c r="D62" s="2">
        <v>9.6999999999999993</v>
      </c>
      <c r="E62" s="3">
        <f t="shared" si="3"/>
        <v>5.785233587013755E-2</v>
      </c>
      <c r="F62" s="4">
        <f t="shared" si="4"/>
        <v>736.49093825875411</v>
      </c>
    </row>
    <row r="63" spans="1:6">
      <c r="A63" s="7">
        <v>43707</v>
      </c>
      <c r="B63" s="9">
        <v>0.33333333333333331</v>
      </c>
      <c r="C63" s="2">
        <v>7094.1</v>
      </c>
      <c r="D63" s="2">
        <v>9.6</v>
      </c>
      <c r="E63" s="3">
        <f t="shared" si="3"/>
        <v>6.1783460048881855E-2</v>
      </c>
      <c r="F63" s="4">
        <f t="shared" si="4"/>
        <v>736.89191292498595</v>
      </c>
    </row>
    <row r="64" spans="1:6">
      <c r="B64" s="9"/>
    </row>
    <row r="65" spans="2:2">
      <c r="B65" s="9"/>
    </row>
    <row r="66" spans="2:2">
      <c r="B66" s="9"/>
    </row>
    <row r="67" spans="2:2">
      <c r="B67" s="9"/>
    </row>
    <row r="68" spans="2:2">
      <c r="B68" s="9"/>
    </row>
    <row r="69" spans="2:2">
      <c r="B69" s="9"/>
    </row>
    <row r="70" spans="2:2">
      <c r="B70" s="9"/>
    </row>
    <row r="71" spans="2:2">
      <c r="B71" s="9"/>
    </row>
    <row r="72" spans="2:2">
      <c r="B72" s="9"/>
    </row>
    <row r="73" spans="2:2">
      <c r="B73" s="9"/>
    </row>
    <row r="74" spans="2:2">
      <c r="B74" s="9"/>
    </row>
    <row r="75" spans="2:2">
      <c r="B75" s="9"/>
    </row>
    <row r="76" spans="2:2">
      <c r="B76" s="9"/>
    </row>
    <row r="77" spans="2:2">
      <c r="B77" s="9"/>
    </row>
    <row r="78" spans="2:2">
      <c r="B78" s="9"/>
    </row>
    <row r="79" spans="2:2">
      <c r="B79" s="9"/>
    </row>
    <row r="80" spans="2:2">
      <c r="B80" s="9"/>
    </row>
    <row r="81" spans="2:2">
      <c r="B81" s="9"/>
    </row>
    <row r="82" spans="2:2">
      <c r="B82" s="9"/>
    </row>
    <row r="83" spans="2:2">
      <c r="B83" s="9"/>
    </row>
    <row r="84" spans="2:2">
      <c r="B84" s="9"/>
    </row>
    <row r="85" spans="2:2">
      <c r="B85" s="9"/>
    </row>
    <row r="86" spans="2:2">
      <c r="B86" s="9"/>
    </row>
    <row r="87" spans="2:2">
      <c r="B87" s="9"/>
    </row>
    <row r="88" spans="2:2">
      <c r="B88" s="9"/>
    </row>
    <row r="89" spans="2:2">
      <c r="B89" s="9"/>
    </row>
    <row r="90" spans="2:2">
      <c r="B90" s="9"/>
    </row>
    <row r="91" spans="2:2">
      <c r="B91" s="9"/>
    </row>
    <row r="92" spans="2:2">
      <c r="B92" s="9"/>
    </row>
    <row r="93" spans="2:2">
      <c r="B93" s="9"/>
    </row>
    <row r="94" spans="2:2">
      <c r="B94" s="9"/>
    </row>
    <row r="95" spans="2:2">
      <c r="B95" s="9"/>
    </row>
    <row r="96" spans="2:2">
      <c r="B96" s="9"/>
    </row>
    <row r="97" spans="2:2">
      <c r="B97" s="9"/>
    </row>
    <row r="98" spans="2:2">
      <c r="B98" s="9"/>
    </row>
    <row r="99" spans="2:2">
      <c r="B99" s="9"/>
    </row>
    <row r="100" spans="2:2">
      <c r="B100" s="9"/>
    </row>
    <row r="101" spans="2:2">
      <c r="B101" s="9"/>
    </row>
    <row r="102" spans="2:2">
      <c r="B102" s="9"/>
    </row>
    <row r="103" spans="2:2">
      <c r="B103" s="9"/>
    </row>
    <row r="104" spans="2:2">
      <c r="B104" s="9"/>
    </row>
    <row r="105" spans="2:2">
      <c r="B105" s="9"/>
    </row>
    <row r="106" spans="2:2">
      <c r="B106" s="9"/>
    </row>
    <row r="107" spans="2:2">
      <c r="B107" s="9"/>
    </row>
    <row r="108" spans="2:2">
      <c r="B108" s="9"/>
    </row>
    <row r="109" spans="2:2">
      <c r="B109" s="9"/>
    </row>
    <row r="110" spans="2:2">
      <c r="B110" s="9"/>
    </row>
    <row r="111" spans="2:2">
      <c r="B111" s="9"/>
    </row>
    <row r="112" spans="2:2">
      <c r="B112" s="9"/>
    </row>
    <row r="113" spans="2:2">
      <c r="B113" s="9"/>
    </row>
    <row r="114" spans="2:2">
      <c r="B114" s="9"/>
    </row>
    <row r="115" spans="2:2">
      <c r="B115" s="9"/>
    </row>
    <row r="116" spans="2:2">
      <c r="B116" s="9"/>
    </row>
    <row r="117" spans="2:2">
      <c r="B117" s="9"/>
    </row>
    <row r="118" spans="2:2">
      <c r="B118" s="9"/>
    </row>
    <row r="119" spans="2:2">
      <c r="B119" s="9"/>
    </row>
    <row r="120" spans="2:2">
      <c r="B120" s="9"/>
    </row>
    <row r="121" spans="2:2">
      <c r="B121" s="9"/>
    </row>
    <row r="122" spans="2:2">
      <c r="B122" s="9"/>
    </row>
    <row r="123" spans="2:2">
      <c r="B123" s="9"/>
    </row>
    <row r="124" spans="2:2">
      <c r="B124" s="9"/>
    </row>
    <row r="125" spans="2:2">
      <c r="B125" s="9"/>
    </row>
    <row r="126" spans="2:2">
      <c r="B126" s="9"/>
    </row>
    <row r="127" spans="2:2">
      <c r="B127" s="9"/>
    </row>
    <row r="128" spans="2:2">
      <c r="B128" s="9"/>
    </row>
    <row r="129" spans="2:2">
      <c r="B129" s="9"/>
    </row>
    <row r="130" spans="2:2">
      <c r="B130" s="9"/>
    </row>
    <row r="131" spans="2:2">
      <c r="B131" s="9"/>
    </row>
    <row r="132" spans="2:2">
      <c r="B132" s="9"/>
    </row>
    <row r="133" spans="2:2">
      <c r="B133" s="9"/>
    </row>
    <row r="134" spans="2:2">
      <c r="B134" s="9"/>
    </row>
    <row r="135" spans="2:2">
      <c r="B135" s="9"/>
    </row>
    <row r="136" spans="2:2">
      <c r="B136" s="9"/>
    </row>
    <row r="137" spans="2:2">
      <c r="B137" s="9"/>
    </row>
    <row r="138" spans="2:2">
      <c r="B138" s="9"/>
    </row>
    <row r="139" spans="2:2">
      <c r="B139" s="9"/>
    </row>
    <row r="140" spans="2:2">
      <c r="B140" s="9"/>
    </row>
    <row r="141" spans="2:2">
      <c r="B141" s="9"/>
    </row>
    <row r="142" spans="2:2">
      <c r="B142" s="9"/>
    </row>
    <row r="143" spans="2:2">
      <c r="B143" s="9"/>
    </row>
    <row r="144" spans="2:2">
      <c r="B144" s="9"/>
    </row>
    <row r="145" spans="2:2">
      <c r="B145" s="9"/>
    </row>
    <row r="146" spans="2:2">
      <c r="B146" s="9"/>
    </row>
    <row r="147" spans="2:2">
      <c r="B147" s="9"/>
    </row>
    <row r="148" spans="2:2">
      <c r="B148" s="9"/>
    </row>
    <row r="149" spans="2:2">
      <c r="B149" s="9"/>
    </row>
    <row r="150" spans="2:2">
      <c r="B150" s="9"/>
    </row>
    <row r="151" spans="2:2">
      <c r="B151" s="9"/>
    </row>
    <row r="152" spans="2:2">
      <c r="B152" s="9"/>
    </row>
    <row r="153" spans="2:2">
      <c r="B153" s="9"/>
    </row>
    <row r="154" spans="2:2">
      <c r="B154" s="9"/>
    </row>
    <row r="155" spans="2:2">
      <c r="B155" s="9"/>
    </row>
    <row r="156" spans="2:2">
      <c r="B156" s="9"/>
    </row>
    <row r="157" spans="2:2">
      <c r="B157" s="9"/>
    </row>
    <row r="158" spans="2:2">
      <c r="B158" s="9"/>
    </row>
    <row r="159" spans="2:2">
      <c r="B159" s="9"/>
    </row>
    <row r="160" spans="2:2">
      <c r="B160" s="9"/>
    </row>
    <row r="161" spans="2:2">
      <c r="B161" s="9"/>
    </row>
    <row r="162" spans="2:2">
      <c r="B162" s="9"/>
    </row>
    <row r="163" spans="2:2">
      <c r="B163" s="9"/>
    </row>
    <row r="164" spans="2:2">
      <c r="B164" s="9"/>
    </row>
    <row r="165" spans="2:2">
      <c r="B165" s="9"/>
    </row>
    <row r="166" spans="2:2">
      <c r="B166" s="9"/>
    </row>
    <row r="167" spans="2:2">
      <c r="B167" s="9"/>
    </row>
    <row r="168" spans="2:2">
      <c r="B168" s="9"/>
    </row>
    <row r="169" spans="2:2">
      <c r="B169" s="9"/>
    </row>
    <row r="170" spans="2:2">
      <c r="B170" s="9"/>
    </row>
    <row r="171" spans="2:2">
      <c r="B171" s="9"/>
    </row>
    <row r="172" spans="2:2">
      <c r="B172" s="9"/>
    </row>
    <row r="173" spans="2:2">
      <c r="B173" s="9"/>
    </row>
    <row r="174" spans="2:2">
      <c r="B174" s="9"/>
    </row>
    <row r="175" spans="2:2">
      <c r="B175" s="9"/>
    </row>
    <row r="176" spans="2:2">
      <c r="B176" s="9"/>
    </row>
  </sheetData>
  <phoneticPr fontId="4" type="noConversion"/>
  <pageMargins left="0.69930555555555596" right="0.69930555555555596" top="0.75" bottom="0.75" header="0.3" footer="0.3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6"/>
  <sheetViews>
    <sheetView topLeftCell="A46" workbookViewId="0">
      <selection activeCell="A61" sqref="A61:B63"/>
    </sheetView>
  </sheetViews>
  <sheetFormatPr defaultColWidth="9" defaultRowHeight="13.5"/>
  <cols>
    <col min="1" max="1" width="11" customWidth="1"/>
    <col min="2" max="2" width="13.125" style="17" customWidth="1"/>
    <col min="5" max="5" width="10.875" customWidth="1"/>
    <col min="8" max="8" width="9.5" customWidth="1"/>
  </cols>
  <sheetData>
    <row r="1" spans="1:8">
      <c r="A1" t="s">
        <v>0</v>
      </c>
      <c r="B1" s="18">
        <v>11253</v>
      </c>
      <c r="C1" t="s">
        <v>1</v>
      </c>
      <c r="D1" s="11">
        <v>725.59</v>
      </c>
    </row>
    <row r="2" spans="1:8">
      <c r="A2" t="s">
        <v>2</v>
      </c>
      <c r="B2" s="24">
        <v>9.3031199999999996E-11</v>
      </c>
    </row>
    <row r="3" spans="1:8">
      <c r="A3" t="s">
        <v>3</v>
      </c>
      <c r="B3" s="18">
        <v>-1.8243E-4</v>
      </c>
    </row>
    <row r="4" spans="1:8">
      <c r="A4" t="s">
        <v>4</v>
      </c>
      <c r="B4" s="18">
        <v>1.7714714499999999</v>
      </c>
    </row>
    <row r="5" spans="1:8">
      <c r="A5" t="s">
        <v>5</v>
      </c>
      <c r="B5" s="18">
        <v>-3.420682E-3</v>
      </c>
    </row>
    <row r="6" spans="1:8">
      <c r="A6" t="s">
        <v>6</v>
      </c>
      <c r="B6" s="17" t="s">
        <v>7</v>
      </c>
      <c r="C6" t="s">
        <v>8</v>
      </c>
      <c r="D6" t="s">
        <v>9</v>
      </c>
      <c r="E6" t="s">
        <v>10</v>
      </c>
      <c r="F6" t="s">
        <v>11</v>
      </c>
      <c r="G6" t="s">
        <v>12</v>
      </c>
    </row>
    <row r="7" spans="1:8">
      <c r="A7" s="6">
        <v>42584</v>
      </c>
      <c r="B7" s="9">
        <v>0.67361111111111105</v>
      </c>
      <c r="C7" s="2">
        <v>9407.7999999999993</v>
      </c>
      <c r="D7" s="2">
        <v>20.7</v>
      </c>
      <c r="E7" s="3">
        <f>($B$2*C7^2+$B$3*C7+$B$4)-$B$5*D7</f>
        <v>0.13424849798718613</v>
      </c>
      <c r="G7" t="s">
        <v>13</v>
      </c>
    </row>
    <row r="8" spans="1:8">
      <c r="A8" s="6">
        <v>42586</v>
      </c>
      <c r="B8" s="9">
        <v>0.83333333333333304</v>
      </c>
      <c r="C8" s="2">
        <v>9002.9</v>
      </c>
      <c r="D8" s="2">
        <v>21.9</v>
      </c>
      <c r="E8" s="3">
        <f t="shared" ref="E8:E36" si="0">($B$2*C8^2+$B$3*C8+$B$4)-$B$5*D8-$E$7</f>
        <v>7.7277225023846402E-2</v>
      </c>
      <c r="F8" s="4">
        <f>$D$1+102*E8</f>
        <v>733.47227695243237</v>
      </c>
      <c r="G8" s="5" t="s">
        <v>14</v>
      </c>
      <c r="H8" s="23"/>
    </row>
    <row r="9" spans="1:8">
      <c r="A9" s="6">
        <v>42587</v>
      </c>
      <c r="B9" s="9">
        <v>0.33333333333333298</v>
      </c>
      <c r="C9" s="2">
        <v>9410.2000000000007</v>
      </c>
      <c r="D9" s="2">
        <v>32.200000000000003</v>
      </c>
      <c r="E9" s="3">
        <f t="shared" si="0"/>
        <v>3.8904212586691689E-2</v>
      </c>
      <c r="F9" s="4">
        <f t="shared" ref="F9:F51" si="1">$D$1+102*E9</f>
        <v>729.55822968384257</v>
      </c>
      <c r="H9" s="23"/>
    </row>
    <row r="10" spans="1:8">
      <c r="A10" s="6">
        <v>42588</v>
      </c>
      <c r="B10" s="9">
        <v>0.33333333333333298</v>
      </c>
      <c r="C10" s="2">
        <v>9392.4</v>
      </c>
      <c r="D10" s="2">
        <v>32</v>
      </c>
      <c r="E10" s="3">
        <f t="shared" si="0"/>
        <v>4.1436193920439846E-2</v>
      </c>
      <c r="F10" s="4">
        <f t="shared" si="1"/>
        <v>729.81649177988493</v>
      </c>
      <c r="H10" s="23"/>
    </row>
    <row r="11" spans="1:8">
      <c r="A11" s="6">
        <v>42589</v>
      </c>
      <c r="B11" s="9">
        <v>0.33333333333333298</v>
      </c>
      <c r="C11" s="2">
        <v>9373.1</v>
      </c>
      <c r="D11" s="2">
        <v>31.6</v>
      </c>
      <c r="E11" s="3">
        <f t="shared" si="0"/>
        <v>4.3555126624656409E-2</v>
      </c>
      <c r="F11" s="4">
        <f t="shared" si="1"/>
        <v>730.03262291571502</v>
      </c>
      <c r="H11" s="23"/>
    </row>
    <row r="12" spans="1:8">
      <c r="A12" s="6">
        <v>42590</v>
      </c>
      <c r="B12" s="9">
        <v>0.33333333333333298</v>
      </c>
      <c r="C12" s="2">
        <v>9329.6</v>
      </c>
      <c r="D12" s="2">
        <v>29.8</v>
      </c>
      <c r="E12" s="3">
        <f t="shared" si="0"/>
        <v>4.5257916868501891E-2</v>
      </c>
      <c r="F12" s="4">
        <f t="shared" si="1"/>
        <v>730.20630752058719</v>
      </c>
      <c r="H12" s="23"/>
    </row>
    <row r="13" spans="1:8">
      <c r="A13" s="6">
        <v>42591</v>
      </c>
      <c r="B13" s="9">
        <v>0.33333333333333298</v>
      </c>
      <c r="C13" s="2">
        <v>9300.1</v>
      </c>
      <c r="D13" s="2">
        <v>28.3</v>
      </c>
      <c r="E13" s="3">
        <f t="shared" si="0"/>
        <v>4.5457451139775978E-2</v>
      </c>
      <c r="F13" s="4">
        <f t="shared" si="1"/>
        <v>730.22666001625714</v>
      </c>
      <c r="H13" s="23"/>
    </row>
    <row r="14" spans="1:8">
      <c r="A14" s="6">
        <v>42592</v>
      </c>
      <c r="B14" s="9">
        <v>0.33333333333333298</v>
      </c>
      <c r="C14" s="2">
        <v>9274.2999999999993</v>
      </c>
      <c r="D14" s="2">
        <v>26.6</v>
      </c>
      <c r="E14" s="3">
        <f t="shared" si="0"/>
        <v>4.4304403372767198E-2</v>
      </c>
      <c r="F14" s="4">
        <f t="shared" si="1"/>
        <v>730.10904914402226</v>
      </c>
      <c r="H14" s="23"/>
    </row>
    <row r="15" spans="1:8">
      <c r="A15" s="6">
        <v>42593</v>
      </c>
      <c r="B15" s="9">
        <v>0.33333333333333298</v>
      </c>
      <c r="C15" s="2">
        <v>9241.5</v>
      </c>
      <c r="D15" s="2">
        <v>25.5</v>
      </c>
      <c r="E15" s="3">
        <f t="shared" si="0"/>
        <v>4.6468857628118088E-2</v>
      </c>
      <c r="F15" s="4">
        <f t="shared" si="1"/>
        <v>730.32982347806808</v>
      </c>
      <c r="H15" s="23"/>
    </row>
    <row r="16" spans="1:8">
      <c r="A16" s="6">
        <v>42602</v>
      </c>
      <c r="B16" s="9">
        <v>0.33333333333333298</v>
      </c>
      <c r="C16" s="2">
        <v>9127.2000000000007</v>
      </c>
      <c r="D16" s="2">
        <v>19.5</v>
      </c>
      <c r="E16" s="3">
        <f t="shared" si="0"/>
        <v>4.6601191678264819E-2</v>
      </c>
      <c r="F16" s="4">
        <f t="shared" si="1"/>
        <v>730.34332155118307</v>
      </c>
      <c r="H16" s="23"/>
    </row>
    <row r="17" spans="1:8">
      <c r="A17" s="6">
        <v>42612</v>
      </c>
      <c r="B17" s="9">
        <v>0.33333333333333298</v>
      </c>
      <c r="C17" s="2">
        <v>9080.4</v>
      </c>
      <c r="D17" s="2">
        <v>17.2</v>
      </c>
      <c r="E17" s="3">
        <f t="shared" si="0"/>
        <v>4.7192073734015849E-2</v>
      </c>
      <c r="F17" s="4">
        <f t="shared" si="1"/>
        <v>730.40359152086967</v>
      </c>
      <c r="H17" s="23"/>
    </row>
    <row r="18" spans="1:8">
      <c r="A18" s="6">
        <v>42623</v>
      </c>
      <c r="B18" s="9">
        <v>0.33333333333333298</v>
      </c>
      <c r="C18" s="2">
        <v>9034.7000000000007</v>
      </c>
      <c r="D18" s="2">
        <v>15.1</v>
      </c>
      <c r="E18" s="3">
        <f t="shared" si="0"/>
        <v>4.8268675718271425E-2</v>
      </c>
      <c r="F18" s="4">
        <f t="shared" si="1"/>
        <v>730.51340492326369</v>
      </c>
      <c r="H18" s="23"/>
    </row>
    <row r="19" spans="1:8">
      <c r="A19" s="7">
        <v>42633</v>
      </c>
      <c r="B19" s="9">
        <v>0.33333333333333331</v>
      </c>
      <c r="C19" s="2">
        <v>8998.2000000000007</v>
      </c>
      <c r="D19" s="2">
        <v>13.9</v>
      </c>
      <c r="E19" s="3">
        <f t="shared" si="0"/>
        <v>5.0761319103354685E-2</v>
      </c>
      <c r="F19" s="4">
        <f t="shared" si="1"/>
        <v>730.76765454854217</v>
      </c>
      <c r="H19" s="23"/>
    </row>
    <row r="20" spans="1:8">
      <c r="A20" s="7">
        <v>42643</v>
      </c>
      <c r="B20" s="9">
        <v>0.33333333333333331</v>
      </c>
      <c r="C20" s="2">
        <v>8992.1</v>
      </c>
      <c r="D20" s="2">
        <v>13</v>
      </c>
      <c r="E20" s="3">
        <f t="shared" si="0"/>
        <v>4.8785318982250969E-2</v>
      </c>
      <c r="F20" s="4">
        <f t="shared" si="1"/>
        <v>730.56610253618965</v>
      </c>
      <c r="H20" s="23"/>
    </row>
    <row r="21" spans="1:8">
      <c r="A21" s="7">
        <v>42884</v>
      </c>
      <c r="B21" s="9">
        <v>0.33333333333333331</v>
      </c>
      <c r="C21" s="2">
        <v>8953.4</v>
      </c>
      <c r="D21" s="2">
        <v>9.5</v>
      </c>
      <c r="E21" s="3">
        <f t="shared" si="0"/>
        <v>4.380836366508653E-2</v>
      </c>
      <c r="F21" s="4">
        <f t="shared" si="1"/>
        <v>730.05845309383881</v>
      </c>
      <c r="H21" s="23"/>
    </row>
    <row r="22" spans="1:8">
      <c r="A22" s="7">
        <v>42885</v>
      </c>
      <c r="B22" s="9">
        <v>0.33333333333333331</v>
      </c>
      <c r="C22" s="2">
        <v>8953.4</v>
      </c>
      <c r="D22" s="2">
        <v>9.5</v>
      </c>
      <c r="E22" s="3">
        <f t="shared" si="0"/>
        <v>4.380836366508653E-2</v>
      </c>
      <c r="F22" s="4">
        <f t="shared" si="1"/>
        <v>730.05845309383881</v>
      </c>
      <c r="H22" s="23"/>
    </row>
    <row r="23" spans="1:8">
      <c r="A23" s="7">
        <v>42896</v>
      </c>
      <c r="B23" s="9">
        <v>0.33333333333333331</v>
      </c>
      <c r="C23" s="2">
        <v>8956.7000000000007</v>
      </c>
      <c r="D23" s="2">
        <v>9.5</v>
      </c>
      <c r="E23" s="3">
        <f t="shared" si="0"/>
        <v>4.3211843118800192E-2</v>
      </c>
      <c r="F23" s="4">
        <f t="shared" si="1"/>
        <v>729.9976079981177</v>
      </c>
    </row>
    <row r="24" spans="1:8">
      <c r="A24" s="7">
        <v>42906</v>
      </c>
      <c r="B24" s="9">
        <v>0.33333333333333331</v>
      </c>
      <c r="C24" s="2">
        <v>8955.5</v>
      </c>
      <c r="D24" s="2">
        <v>9.5</v>
      </c>
      <c r="E24" s="3">
        <f t="shared" si="0"/>
        <v>4.3428759446647563E-2</v>
      </c>
      <c r="F24" s="4">
        <f t="shared" si="1"/>
        <v>730.01973346355805</v>
      </c>
    </row>
    <row r="25" spans="1:8">
      <c r="A25" s="7">
        <v>42916</v>
      </c>
      <c r="B25" s="9">
        <v>0.33333333333333331</v>
      </c>
      <c r="C25" s="2">
        <v>8947.2999999999993</v>
      </c>
      <c r="D25" s="2">
        <v>9.6</v>
      </c>
      <c r="E25" s="3">
        <f t="shared" si="0"/>
        <v>4.5253096391115577E-2</v>
      </c>
      <c r="F25" s="4">
        <f t="shared" si="1"/>
        <v>730.2058158318938</v>
      </c>
    </row>
    <row r="26" spans="1:8">
      <c r="A26" s="7">
        <v>42926</v>
      </c>
      <c r="B26" s="9">
        <v>0.33333333333333331</v>
      </c>
      <c r="C26" s="2">
        <v>8960.1</v>
      </c>
      <c r="D26" s="2">
        <v>9.6</v>
      </c>
      <c r="E26" s="3">
        <f t="shared" si="0"/>
        <v>4.2939316511574399E-2</v>
      </c>
      <c r="F26" s="4">
        <f t="shared" si="1"/>
        <v>729.96981028418065</v>
      </c>
    </row>
    <row r="27" spans="1:8">
      <c r="A27" s="7">
        <v>42936</v>
      </c>
      <c r="B27" s="9">
        <v>0.33333333333333331</v>
      </c>
      <c r="C27" s="2">
        <v>8957.7999999999993</v>
      </c>
      <c r="D27" s="2">
        <v>9.6</v>
      </c>
      <c r="E27" s="3">
        <f t="shared" si="0"/>
        <v>4.3355071586976213E-2</v>
      </c>
      <c r="F27" s="4">
        <f t="shared" si="1"/>
        <v>730.0122173018716</v>
      </c>
    </row>
    <row r="28" spans="1:8">
      <c r="A28" s="6">
        <v>42946</v>
      </c>
      <c r="B28" s="9">
        <v>0.33333333333333331</v>
      </c>
      <c r="C28" s="2">
        <v>8960.2999999999993</v>
      </c>
      <c r="D28" s="2">
        <v>9.6</v>
      </c>
      <c r="E28" s="3">
        <f t="shared" si="0"/>
        <v>4.2903163942837941E-2</v>
      </c>
      <c r="F28" s="4">
        <f t="shared" si="1"/>
        <v>729.96612272216953</v>
      </c>
    </row>
    <row r="29" spans="1:8">
      <c r="A29" s="7">
        <v>42957</v>
      </c>
      <c r="B29" s="9">
        <v>0.33333333333333331</v>
      </c>
      <c r="C29" s="2">
        <v>8957</v>
      </c>
      <c r="D29" s="2">
        <v>9.8000000000000007</v>
      </c>
      <c r="E29" s="3">
        <f t="shared" si="0"/>
        <v>4.4183818678702635E-2</v>
      </c>
      <c r="F29" s="4">
        <f t="shared" si="1"/>
        <v>730.09674950522765</v>
      </c>
    </row>
    <row r="30" spans="1:8">
      <c r="A30" s="7">
        <v>42967</v>
      </c>
      <c r="B30" s="9">
        <v>0.33333333333333331</v>
      </c>
      <c r="C30" s="2">
        <v>8954.1</v>
      </c>
      <c r="D30" s="2">
        <v>9.9</v>
      </c>
      <c r="E30" s="3">
        <f t="shared" si="0"/>
        <v>4.5050101634436041E-2</v>
      </c>
      <c r="F30" s="4">
        <f t="shared" si="1"/>
        <v>730.18511036671248</v>
      </c>
    </row>
    <row r="31" spans="1:8">
      <c r="A31" s="7">
        <v>42977</v>
      </c>
      <c r="B31" s="9">
        <v>0.33333333333333331</v>
      </c>
      <c r="C31" s="2">
        <v>8956.7999999999993</v>
      </c>
      <c r="D31" s="2">
        <v>10.5</v>
      </c>
      <c r="E31" s="3">
        <f t="shared" si="0"/>
        <v>4.6614448770240652E-2</v>
      </c>
      <c r="F31" s="4">
        <f t="shared" si="1"/>
        <v>730.34467377456463</v>
      </c>
    </row>
    <row r="32" spans="1:8">
      <c r="A32" s="7">
        <v>42988</v>
      </c>
      <c r="B32" s="9">
        <v>0.33333333333333331</v>
      </c>
      <c r="C32" s="2">
        <v>8955.9</v>
      </c>
      <c r="D32" s="2">
        <v>9.8000000000000007</v>
      </c>
      <c r="E32" s="3">
        <f t="shared" si="0"/>
        <v>4.438265857426188E-2</v>
      </c>
      <c r="F32" s="4">
        <f t="shared" si="1"/>
        <v>730.11703117457478</v>
      </c>
    </row>
    <row r="33" spans="1:6">
      <c r="A33" s="7">
        <v>42998</v>
      </c>
      <c r="B33" s="9">
        <v>0.33333333333333331</v>
      </c>
      <c r="C33" s="2">
        <v>8962.5</v>
      </c>
      <c r="D33" s="2">
        <v>9.6999999999999993</v>
      </c>
      <c r="E33" s="3">
        <f t="shared" si="0"/>
        <v>4.2847554377938857E-2</v>
      </c>
      <c r="F33" s="4">
        <f t="shared" si="1"/>
        <v>729.96045054654985</v>
      </c>
    </row>
    <row r="34" spans="1:6">
      <c r="A34" s="7">
        <v>43008</v>
      </c>
      <c r="B34" s="9">
        <v>0.33333333333333331</v>
      </c>
      <c r="C34" s="2">
        <v>8964.7000000000007</v>
      </c>
      <c r="D34" s="2">
        <v>10.3</v>
      </c>
      <c r="E34" s="3">
        <f t="shared" si="0"/>
        <v>4.450228671358164E-2</v>
      </c>
      <c r="F34" s="4">
        <f t="shared" si="1"/>
        <v>730.12923324478538</v>
      </c>
    </row>
    <row r="35" spans="1:6">
      <c r="A35" s="7">
        <v>43018</v>
      </c>
      <c r="B35" s="9">
        <v>0.33333333333333331</v>
      </c>
      <c r="C35" s="2">
        <v>8961.6</v>
      </c>
      <c r="D35" s="2">
        <v>9.8000000000000007</v>
      </c>
      <c r="E35" s="3">
        <f t="shared" si="0"/>
        <v>4.3352308827460051E-2</v>
      </c>
      <c r="F35" s="4">
        <f t="shared" si="1"/>
        <v>730.01193550040091</v>
      </c>
    </row>
    <row r="36" spans="1:6">
      <c r="A36" s="7">
        <v>43230</v>
      </c>
      <c r="B36" s="9">
        <v>0.33333333333333331</v>
      </c>
      <c r="C36" s="2">
        <v>8968.1</v>
      </c>
      <c r="D36" s="2">
        <v>9.8000000000000007</v>
      </c>
      <c r="E36" s="3">
        <f t="shared" si="0"/>
        <v>4.2177355967253305E-2</v>
      </c>
      <c r="F36" s="4">
        <f t="shared" si="1"/>
        <v>729.89209030865982</v>
      </c>
    </row>
    <row r="37" spans="1:6">
      <c r="A37" s="7">
        <v>43240</v>
      </c>
      <c r="B37" s="9">
        <v>0.33333333333333331</v>
      </c>
      <c r="C37" s="2">
        <v>8970</v>
      </c>
      <c r="D37" s="2">
        <v>9.8000000000000007</v>
      </c>
      <c r="E37" s="3">
        <f t="shared" ref="E37:E51" si="2">($B$2*C37^2+$B$3*C37+$B$4)-$B$5*D37-$E$7</f>
        <v>4.1833909692893856E-2</v>
      </c>
      <c r="F37" s="4">
        <f t="shared" si="1"/>
        <v>729.8570587886752</v>
      </c>
    </row>
    <row r="38" spans="1:6">
      <c r="A38" s="7">
        <v>43250</v>
      </c>
      <c r="B38" s="9">
        <v>0.33333333333333331</v>
      </c>
      <c r="C38" s="2">
        <v>8966.7999999999993</v>
      </c>
      <c r="D38" s="2">
        <v>9.8000000000000007</v>
      </c>
      <c r="E38" s="3">
        <f t="shared" si="2"/>
        <v>4.2412345910403715E-2</v>
      </c>
      <c r="F38" s="4">
        <f t="shared" si="1"/>
        <v>729.91605928286117</v>
      </c>
    </row>
    <row r="39" spans="1:6">
      <c r="A39" s="7">
        <v>43261</v>
      </c>
      <c r="B39" s="9">
        <v>0.33333333333333331</v>
      </c>
      <c r="C39" s="2">
        <v>8963.7000000000007</v>
      </c>
      <c r="D39" s="2">
        <v>9.6999999999999993</v>
      </c>
      <c r="E39" s="3">
        <f t="shared" si="2"/>
        <v>4.2630639613015719E-2</v>
      </c>
      <c r="F39" s="4">
        <f t="shared" si="1"/>
        <v>729.93832524052766</v>
      </c>
    </row>
    <row r="40" spans="1:6">
      <c r="A40" s="7">
        <v>43271</v>
      </c>
      <c r="B40" s="9">
        <v>0.33333333333333331</v>
      </c>
      <c r="C40" s="2">
        <v>8888.5</v>
      </c>
      <c r="D40" s="2">
        <v>9.6999999999999993</v>
      </c>
      <c r="E40" s="3">
        <f t="shared" si="2"/>
        <v>5.6224482581549995E-2</v>
      </c>
      <c r="F40" s="4">
        <f t="shared" si="1"/>
        <v>731.32489722331809</v>
      </c>
    </row>
    <row r="41" spans="1:6">
      <c r="A41" s="7">
        <v>43281</v>
      </c>
      <c r="B41" s="9">
        <v>0.33333333333333331</v>
      </c>
      <c r="C41" s="2">
        <v>8886.5</v>
      </c>
      <c r="D41" s="2">
        <v>9.6</v>
      </c>
      <c r="E41" s="3">
        <f t="shared" si="2"/>
        <v>5.6243967122390048E-2</v>
      </c>
      <c r="F41" s="4">
        <f t="shared" si="1"/>
        <v>731.32688464648379</v>
      </c>
    </row>
    <row r="42" spans="1:6">
      <c r="A42" s="7">
        <v>43291</v>
      </c>
      <c r="B42" s="9">
        <v>0.33333333333333331</v>
      </c>
      <c r="C42" s="2">
        <v>8903.5</v>
      </c>
      <c r="D42" s="2">
        <v>10.4</v>
      </c>
      <c r="E42" s="3">
        <f t="shared" si="2"/>
        <v>5.5907338148205921E-2</v>
      </c>
      <c r="F42" s="4">
        <f t="shared" si="1"/>
        <v>731.29254849111703</v>
      </c>
    </row>
    <row r="43" spans="1:6">
      <c r="A43" s="7">
        <v>43301</v>
      </c>
      <c r="B43" s="9">
        <v>0.33333333333333331</v>
      </c>
      <c r="C43" s="2">
        <v>8909.7999999999993</v>
      </c>
      <c r="D43" s="2">
        <v>9.6999999999999993</v>
      </c>
      <c r="E43" s="3">
        <f t="shared" si="2"/>
        <v>5.2373992062058394E-2</v>
      </c>
      <c r="F43" s="4">
        <f t="shared" si="1"/>
        <v>730.93214719032994</v>
      </c>
    </row>
    <row r="44" spans="1:6">
      <c r="A44" s="7">
        <v>43311</v>
      </c>
      <c r="B44" s="9">
        <v>0.33333333333333331</v>
      </c>
      <c r="C44" s="2">
        <v>8910.6</v>
      </c>
      <c r="D44" s="2">
        <v>9.6</v>
      </c>
      <c r="E44" s="3">
        <f t="shared" si="2"/>
        <v>5.1887306144615508E-2</v>
      </c>
      <c r="F44" s="4">
        <f t="shared" si="1"/>
        <v>730.88250522675082</v>
      </c>
    </row>
    <row r="45" spans="1:6">
      <c r="A45" s="7">
        <v>43322</v>
      </c>
      <c r="B45" s="9">
        <v>0.33333333333333331</v>
      </c>
      <c r="C45" s="2">
        <v>8898.7999999999993</v>
      </c>
      <c r="D45" s="2">
        <v>9.6</v>
      </c>
      <c r="E45" s="3">
        <f t="shared" si="2"/>
        <v>5.4020429552347038E-2</v>
      </c>
      <c r="F45" s="4">
        <f t="shared" si="1"/>
        <v>731.10008381433943</v>
      </c>
    </row>
    <row r="46" spans="1:6">
      <c r="A46" s="7">
        <v>43332</v>
      </c>
      <c r="B46" s="9">
        <v>0.33333333333333331</v>
      </c>
      <c r="C46" s="2">
        <v>8906.7000000000007</v>
      </c>
      <c r="D46" s="2">
        <v>9.8000000000000007</v>
      </c>
      <c r="E46" s="3">
        <f t="shared" si="2"/>
        <v>5.3276455041896209E-2</v>
      </c>
      <c r="F46" s="4">
        <f t="shared" si="1"/>
        <v>731.02419841427343</v>
      </c>
    </row>
    <row r="47" spans="1:6">
      <c r="A47" s="7">
        <v>43342</v>
      </c>
      <c r="B47" s="9">
        <v>0.33333333333333331</v>
      </c>
      <c r="C47" s="2">
        <v>8905.2999999999993</v>
      </c>
      <c r="D47" s="2">
        <v>9.6999999999999993</v>
      </c>
      <c r="E47" s="3">
        <f t="shared" si="2"/>
        <v>5.3187468941468308E-2</v>
      </c>
      <c r="F47" s="4">
        <f t="shared" si="1"/>
        <v>731.01512183202976</v>
      </c>
    </row>
    <row r="48" spans="1:6">
      <c r="A48" s="7">
        <v>43353</v>
      </c>
      <c r="B48" s="9">
        <v>0.33333333333333331</v>
      </c>
      <c r="C48" s="2">
        <v>8904.1</v>
      </c>
      <c r="D48" s="2">
        <v>9.5</v>
      </c>
      <c r="E48" s="3">
        <f t="shared" si="2"/>
        <v>5.2720260345644004E-2</v>
      </c>
      <c r="F48" s="4">
        <f t="shared" si="1"/>
        <v>730.96746655525567</v>
      </c>
    </row>
    <row r="49" spans="1:6">
      <c r="A49" s="7">
        <v>43363</v>
      </c>
      <c r="B49" s="9">
        <v>0.33333333333333331</v>
      </c>
      <c r="C49" s="2">
        <v>8881.2999999999993</v>
      </c>
      <c r="D49" s="2">
        <v>9.5</v>
      </c>
      <c r="E49" s="3">
        <f t="shared" si="2"/>
        <v>5.6841939531662361E-2</v>
      </c>
      <c r="F49" s="4">
        <f t="shared" si="1"/>
        <v>731.38787783222961</v>
      </c>
    </row>
    <row r="50" spans="1:6">
      <c r="A50" s="7">
        <v>43373</v>
      </c>
      <c r="B50" s="9">
        <v>0.33333333333333331</v>
      </c>
      <c r="C50" s="2">
        <v>8897.6</v>
      </c>
      <c r="D50" s="2">
        <v>9.4</v>
      </c>
      <c r="E50" s="3">
        <f t="shared" si="2"/>
        <v>5.3553222407809381E-2</v>
      </c>
      <c r="F50" s="4">
        <f t="shared" si="1"/>
        <v>731.05242868559662</v>
      </c>
    </row>
    <row r="51" spans="1:6">
      <c r="A51" s="7">
        <v>43383</v>
      </c>
      <c r="B51" s="9">
        <v>0.33333333333333331</v>
      </c>
      <c r="C51" s="2">
        <v>8898.2999999999993</v>
      </c>
      <c r="D51" s="2">
        <v>9.1999999999999993</v>
      </c>
      <c r="E51" s="3">
        <f t="shared" si="2"/>
        <v>5.2742543909562123E-2</v>
      </c>
      <c r="F51" s="4">
        <f t="shared" si="1"/>
        <v>730.96973947877541</v>
      </c>
    </row>
    <row r="52" spans="1:6">
      <c r="A52" s="7">
        <v>43393</v>
      </c>
      <c r="B52" s="9">
        <v>0.33333333333333331</v>
      </c>
      <c r="C52" s="2">
        <v>8899.7000000000007</v>
      </c>
      <c r="D52" s="2">
        <v>8.9</v>
      </c>
      <c r="E52" s="3">
        <f t="shared" ref="E52:E63" si="3">($B$2*C52^2+$B$3*C52+$B$4)-$B$5*D52-$E$7</f>
        <v>5.1463255386578394E-2</v>
      </c>
      <c r="F52" s="4">
        <f t="shared" ref="F52:F63" si="4">$D$1+102*E52</f>
        <v>730.83925204943102</v>
      </c>
    </row>
    <row r="53" spans="1:6">
      <c r="A53" s="7">
        <v>43605</v>
      </c>
      <c r="B53" s="1">
        <v>0.33333333333333331</v>
      </c>
      <c r="C53" s="2">
        <v>8957.6</v>
      </c>
      <c r="D53" s="2">
        <v>8.4</v>
      </c>
      <c r="E53" s="3">
        <f t="shared" si="3"/>
        <v>3.9286405848743794E-2</v>
      </c>
      <c r="F53" s="4">
        <f t="shared" si="4"/>
        <v>729.59721339657187</v>
      </c>
    </row>
    <row r="54" spans="1:6">
      <c r="A54" s="7">
        <v>43615</v>
      </c>
      <c r="B54" s="1">
        <v>0.33333333333333331</v>
      </c>
      <c r="C54" s="2">
        <v>8653.2999999999993</v>
      </c>
      <c r="D54" s="2">
        <v>8.5</v>
      </c>
      <c r="E54" s="3">
        <f t="shared" si="3"/>
        <v>9.4643369139131739E-2</v>
      </c>
      <c r="F54" s="4">
        <f t="shared" si="4"/>
        <v>735.24362365219145</v>
      </c>
    </row>
    <row r="55" spans="1:6">
      <c r="A55" s="7">
        <v>43626</v>
      </c>
      <c r="B55" s="1">
        <v>0.33333333333333331</v>
      </c>
      <c r="C55" s="2">
        <v>8955.6</v>
      </c>
      <c r="D55" s="2">
        <v>8.5</v>
      </c>
      <c r="E55" s="3">
        <f t="shared" si="3"/>
        <v>3.999000107576034E-2</v>
      </c>
      <c r="F55" s="4">
        <f t="shared" si="4"/>
        <v>729.66898010972761</v>
      </c>
    </row>
    <row r="56" spans="1:6">
      <c r="A56" s="7">
        <v>43636</v>
      </c>
      <c r="B56" s="1">
        <v>0.33333333333333331</v>
      </c>
      <c r="C56" s="2">
        <v>8950.2999999999993</v>
      </c>
      <c r="D56" s="2">
        <v>8.6999999999999993</v>
      </c>
      <c r="E56" s="3">
        <f t="shared" si="3"/>
        <v>4.1632187696730827E-2</v>
      </c>
      <c r="F56" s="4">
        <f t="shared" si="4"/>
        <v>729.83648314506661</v>
      </c>
    </row>
    <row r="57" spans="1:6">
      <c r="A57" s="7">
        <v>43646</v>
      </c>
      <c r="B57" s="1">
        <v>0.33333333333333331</v>
      </c>
      <c r="C57" s="2">
        <v>8937.1</v>
      </c>
      <c r="D57" s="2">
        <v>8.6</v>
      </c>
      <c r="E57" s="3">
        <f t="shared" si="3"/>
        <v>4.3676229557743806E-2</v>
      </c>
      <c r="F57" s="4">
        <f t="shared" si="4"/>
        <v>730.0449754148899</v>
      </c>
    </row>
    <row r="58" spans="1:6">
      <c r="A58" s="7">
        <v>43656</v>
      </c>
      <c r="B58" s="1">
        <v>0.33333333333333331</v>
      </c>
      <c r="C58" s="2">
        <v>8926.2000000000007</v>
      </c>
      <c r="D58" s="2">
        <v>8.6</v>
      </c>
      <c r="E58" s="3">
        <f t="shared" si="3"/>
        <v>4.5646602455582663E-2</v>
      </c>
      <c r="F58" s="4">
        <f t="shared" si="4"/>
        <v>730.24595345046941</v>
      </c>
    </row>
    <row r="59" spans="1:6">
      <c r="A59" s="7">
        <v>43666</v>
      </c>
      <c r="B59" s="1">
        <v>0.33333333333333331</v>
      </c>
      <c r="C59" s="2">
        <v>8917.2999999999993</v>
      </c>
      <c r="D59" s="2">
        <v>8.5</v>
      </c>
      <c r="E59" s="3">
        <f t="shared" si="3"/>
        <v>4.6913387235849813E-2</v>
      </c>
      <c r="F59" s="4">
        <f t="shared" si="4"/>
        <v>730.37516549805673</v>
      </c>
    </row>
    <row r="60" spans="1:6">
      <c r="A60" s="7">
        <v>43676</v>
      </c>
      <c r="B60" s="1">
        <v>0.33333333333333331</v>
      </c>
      <c r="C60" s="2">
        <v>8907</v>
      </c>
      <c r="D60" s="2">
        <v>8.5</v>
      </c>
      <c r="E60" s="3">
        <f t="shared" si="3"/>
        <v>4.877533661086253E-2</v>
      </c>
      <c r="F60" s="4">
        <f t="shared" si="4"/>
        <v>730.56508433430804</v>
      </c>
    </row>
    <row r="61" spans="1:6">
      <c r="A61" s="7">
        <v>43687</v>
      </c>
      <c r="B61" s="9">
        <v>0.33333333333333331</v>
      </c>
      <c r="C61" s="2">
        <v>8891.2999999999993</v>
      </c>
      <c r="D61" s="2">
        <v>8.5</v>
      </c>
      <c r="E61" s="3">
        <f t="shared" si="3"/>
        <v>5.1613491594713512E-2</v>
      </c>
      <c r="F61" s="4">
        <f t="shared" si="4"/>
        <v>730.85457614266079</v>
      </c>
    </row>
    <row r="62" spans="1:6">
      <c r="A62" s="7">
        <v>43697</v>
      </c>
      <c r="B62" s="1">
        <v>0.33333333333333331</v>
      </c>
      <c r="C62" s="2">
        <v>8879.2999999999993</v>
      </c>
      <c r="D62" s="2">
        <v>8.4</v>
      </c>
      <c r="E62" s="3">
        <f t="shared" si="3"/>
        <v>5.3440744751800745E-2</v>
      </c>
      <c r="F62" s="4">
        <f t="shared" si="4"/>
        <v>731.04095596468369</v>
      </c>
    </row>
    <row r="63" spans="1:6">
      <c r="A63" s="7">
        <v>43707</v>
      </c>
      <c r="B63" s="9">
        <v>0.33333333333333331</v>
      </c>
      <c r="C63" s="2">
        <v>8866.7999999999993</v>
      </c>
      <c r="D63" s="2">
        <v>8.5</v>
      </c>
      <c r="E63" s="3">
        <f t="shared" si="3"/>
        <v>5.604255118957191E-2</v>
      </c>
      <c r="F63" s="4">
        <f t="shared" si="4"/>
        <v>731.30634022133631</v>
      </c>
    </row>
    <row r="64" spans="1:6">
      <c r="B64" s="9"/>
    </row>
    <row r="65" spans="2:2">
      <c r="B65" s="9"/>
    </row>
    <row r="66" spans="2:2">
      <c r="B66" s="9"/>
    </row>
    <row r="67" spans="2:2">
      <c r="B67" s="9"/>
    </row>
    <row r="68" spans="2:2">
      <c r="B68" s="9"/>
    </row>
    <row r="69" spans="2:2">
      <c r="B69" s="9"/>
    </row>
    <row r="70" spans="2:2">
      <c r="B70" s="9"/>
    </row>
    <row r="71" spans="2:2">
      <c r="B71" s="9"/>
    </row>
    <row r="72" spans="2:2">
      <c r="B72" s="9"/>
    </row>
    <row r="73" spans="2:2">
      <c r="B73" s="9"/>
    </row>
    <row r="74" spans="2:2">
      <c r="B74" s="9"/>
    </row>
    <row r="75" spans="2:2">
      <c r="B75" s="9"/>
    </row>
    <row r="76" spans="2:2">
      <c r="B76" s="9"/>
    </row>
    <row r="77" spans="2:2">
      <c r="B77" s="9"/>
    </row>
    <row r="78" spans="2:2">
      <c r="B78" s="9"/>
    </row>
    <row r="79" spans="2:2">
      <c r="B79" s="9"/>
    </row>
    <row r="80" spans="2:2">
      <c r="B80" s="9"/>
    </row>
    <row r="81" spans="2:2">
      <c r="B81" s="9"/>
    </row>
    <row r="82" spans="2:2">
      <c r="B82" s="9"/>
    </row>
    <row r="83" spans="2:2">
      <c r="B83" s="9"/>
    </row>
    <row r="84" spans="2:2">
      <c r="B84" s="9"/>
    </row>
    <row r="85" spans="2:2">
      <c r="B85" s="9"/>
    </row>
    <row r="86" spans="2:2">
      <c r="B86" s="9"/>
    </row>
    <row r="87" spans="2:2">
      <c r="B87" s="9"/>
    </row>
    <row r="88" spans="2:2">
      <c r="B88" s="9"/>
    </row>
    <row r="89" spans="2:2">
      <c r="B89" s="9"/>
    </row>
    <row r="90" spans="2:2">
      <c r="B90" s="9"/>
    </row>
    <row r="91" spans="2:2">
      <c r="B91" s="9"/>
    </row>
    <row r="92" spans="2:2">
      <c r="B92" s="9"/>
    </row>
    <row r="93" spans="2:2">
      <c r="B93" s="9"/>
    </row>
    <row r="94" spans="2:2">
      <c r="B94" s="9"/>
    </row>
    <row r="95" spans="2:2">
      <c r="B95" s="9"/>
    </row>
    <row r="96" spans="2:2">
      <c r="B96" s="9"/>
    </row>
    <row r="97" spans="2:2">
      <c r="B97" s="9"/>
    </row>
    <row r="98" spans="2:2">
      <c r="B98" s="9"/>
    </row>
    <row r="99" spans="2:2">
      <c r="B99" s="9"/>
    </row>
    <row r="100" spans="2:2">
      <c r="B100" s="9"/>
    </row>
    <row r="101" spans="2:2">
      <c r="B101" s="9"/>
    </row>
    <row r="102" spans="2:2">
      <c r="B102" s="9"/>
    </row>
    <row r="103" spans="2:2">
      <c r="B103" s="9"/>
    </row>
    <row r="104" spans="2:2">
      <c r="B104" s="9"/>
    </row>
    <row r="105" spans="2:2">
      <c r="B105" s="9"/>
    </row>
    <row r="106" spans="2:2">
      <c r="B106" s="9"/>
    </row>
    <row r="107" spans="2:2">
      <c r="B107" s="9"/>
    </row>
    <row r="108" spans="2:2">
      <c r="B108" s="9"/>
    </row>
    <row r="109" spans="2:2">
      <c r="B109" s="9"/>
    </row>
    <row r="110" spans="2:2">
      <c r="B110" s="9"/>
    </row>
    <row r="111" spans="2:2">
      <c r="B111" s="9"/>
    </row>
    <row r="112" spans="2:2">
      <c r="B112" s="9"/>
    </row>
    <row r="113" spans="2:2">
      <c r="B113" s="9"/>
    </row>
    <row r="114" spans="2:2">
      <c r="B114" s="9"/>
    </row>
    <row r="115" spans="2:2">
      <c r="B115" s="9"/>
    </row>
    <row r="116" spans="2:2">
      <c r="B116" s="9"/>
    </row>
    <row r="117" spans="2:2">
      <c r="B117" s="9"/>
    </row>
    <row r="118" spans="2:2">
      <c r="B118" s="9"/>
    </row>
    <row r="119" spans="2:2">
      <c r="B119" s="9"/>
    </row>
    <row r="120" spans="2:2">
      <c r="B120" s="9"/>
    </row>
    <row r="121" spans="2:2">
      <c r="B121" s="9"/>
    </row>
    <row r="122" spans="2:2">
      <c r="B122" s="9"/>
    </row>
    <row r="123" spans="2:2">
      <c r="B123" s="9"/>
    </row>
    <row r="124" spans="2:2">
      <c r="B124" s="9"/>
    </row>
    <row r="125" spans="2:2">
      <c r="B125" s="9"/>
    </row>
    <row r="126" spans="2:2">
      <c r="B126" s="9"/>
    </row>
    <row r="127" spans="2:2">
      <c r="B127" s="9"/>
    </row>
    <row r="128" spans="2:2">
      <c r="B128" s="9"/>
    </row>
    <row r="129" spans="2:2">
      <c r="B129" s="9"/>
    </row>
    <row r="130" spans="2:2">
      <c r="B130" s="9"/>
    </row>
    <row r="131" spans="2:2">
      <c r="B131" s="9"/>
    </row>
    <row r="132" spans="2:2">
      <c r="B132" s="9"/>
    </row>
    <row r="133" spans="2:2">
      <c r="B133" s="9"/>
    </row>
    <row r="134" spans="2:2">
      <c r="B134" s="9"/>
    </row>
    <row r="135" spans="2:2">
      <c r="B135" s="9"/>
    </row>
    <row r="136" spans="2:2">
      <c r="B136" s="9"/>
    </row>
    <row r="137" spans="2:2">
      <c r="B137" s="9"/>
    </row>
    <row r="138" spans="2:2">
      <c r="B138" s="9"/>
    </row>
    <row r="139" spans="2:2">
      <c r="B139" s="9"/>
    </row>
    <row r="140" spans="2:2">
      <c r="B140" s="9"/>
    </row>
    <row r="141" spans="2:2">
      <c r="B141" s="9"/>
    </row>
    <row r="142" spans="2:2">
      <c r="B142" s="9"/>
    </row>
    <row r="143" spans="2:2">
      <c r="B143" s="9"/>
    </row>
    <row r="144" spans="2:2">
      <c r="B144" s="9"/>
    </row>
    <row r="145" spans="2:2">
      <c r="B145" s="9"/>
    </row>
    <row r="146" spans="2:2">
      <c r="B146" s="9"/>
    </row>
    <row r="147" spans="2:2">
      <c r="B147" s="9"/>
    </row>
    <row r="148" spans="2:2">
      <c r="B148" s="9"/>
    </row>
    <row r="149" spans="2:2">
      <c r="B149" s="9"/>
    </row>
    <row r="150" spans="2:2">
      <c r="B150" s="9"/>
    </row>
    <row r="151" spans="2:2">
      <c r="B151" s="9"/>
    </row>
    <row r="152" spans="2:2">
      <c r="B152" s="9"/>
    </row>
    <row r="153" spans="2:2">
      <c r="B153" s="9"/>
    </row>
    <row r="154" spans="2:2">
      <c r="B154" s="9"/>
    </row>
    <row r="155" spans="2:2">
      <c r="B155" s="9"/>
    </row>
    <row r="156" spans="2:2">
      <c r="B156" s="9"/>
    </row>
    <row r="157" spans="2:2">
      <c r="B157" s="9"/>
    </row>
    <row r="158" spans="2:2">
      <c r="B158" s="9"/>
    </row>
    <row r="159" spans="2:2">
      <c r="B159" s="9"/>
    </row>
    <row r="160" spans="2:2">
      <c r="B160" s="9"/>
    </row>
    <row r="161" spans="2:2">
      <c r="B161" s="9"/>
    </row>
    <row r="162" spans="2:2">
      <c r="B162" s="9"/>
    </row>
    <row r="163" spans="2:2">
      <c r="B163" s="9"/>
    </row>
    <row r="164" spans="2:2">
      <c r="B164" s="9"/>
    </row>
    <row r="165" spans="2:2">
      <c r="B165" s="9"/>
    </row>
    <row r="166" spans="2:2">
      <c r="B166" s="9"/>
    </row>
    <row r="167" spans="2:2">
      <c r="B167" s="9"/>
    </row>
    <row r="168" spans="2:2">
      <c r="B168" s="9"/>
    </row>
    <row r="169" spans="2:2">
      <c r="B169" s="9"/>
    </row>
    <row r="170" spans="2:2">
      <c r="B170" s="9"/>
    </row>
    <row r="171" spans="2:2">
      <c r="B171" s="9"/>
    </row>
    <row r="172" spans="2:2">
      <c r="B172" s="9"/>
    </row>
    <row r="173" spans="2:2">
      <c r="B173" s="9"/>
    </row>
    <row r="174" spans="2:2">
      <c r="B174" s="9"/>
    </row>
    <row r="175" spans="2:2">
      <c r="B175" s="9"/>
    </row>
    <row r="176" spans="2:2">
      <c r="B176" s="9"/>
    </row>
  </sheetData>
  <phoneticPr fontId="4" type="noConversion"/>
  <pageMargins left="0.69930555555555596" right="0.69930555555555596" top="0.75" bottom="0.75" header="0.3" footer="0.3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6"/>
  <sheetViews>
    <sheetView topLeftCell="A43" workbookViewId="0">
      <selection activeCell="A61" sqref="A61:B63"/>
    </sheetView>
  </sheetViews>
  <sheetFormatPr defaultColWidth="9" defaultRowHeight="13.5"/>
  <cols>
    <col min="1" max="1" width="11.25" customWidth="1"/>
    <col min="2" max="2" width="13.125" style="17" customWidth="1"/>
    <col min="5" max="5" width="10.875" customWidth="1"/>
    <col min="8" max="8" width="9.5" customWidth="1"/>
  </cols>
  <sheetData>
    <row r="1" spans="1:8">
      <c r="A1" t="s">
        <v>0</v>
      </c>
      <c r="B1" s="18">
        <v>11247</v>
      </c>
      <c r="C1" t="s">
        <v>1</v>
      </c>
      <c r="D1" s="11">
        <v>719.59</v>
      </c>
    </row>
    <row r="2" spans="1:8">
      <c r="A2" t="s">
        <v>2</v>
      </c>
      <c r="B2" s="24">
        <v>-4.0311199999999998E-10</v>
      </c>
    </row>
    <row r="3" spans="1:8">
      <c r="A3" t="s">
        <v>3</v>
      </c>
      <c r="B3" s="18">
        <v>-1.64895E-4</v>
      </c>
    </row>
    <row r="4" spans="1:8">
      <c r="A4" t="s">
        <v>4</v>
      </c>
      <c r="B4" s="18">
        <v>1.54625576</v>
      </c>
    </row>
    <row r="5" spans="1:8">
      <c r="A5" t="s">
        <v>5</v>
      </c>
      <c r="B5" s="18">
        <v>-3.8204879999999999E-3</v>
      </c>
    </row>
    <row r="6" spans="1:8">
      <c r="A6" t="s">
        <v>6</v>
      </c>
      <c r="B6" s="17" t="s">
        <v>7</v>
      </c>
      <c r="C6" t="s">
        <v>8</v>
      </c>
      <c r="D6" t="s">
        <v>9</v>
      </c>
      <c r="E6" t="s">
        <v>10</v>
      </c>
      <c r="F6" t="s">
        <v>11</v>
      </c>
      <c r="G6" t="s">
        <v>12</v>
      </c>
    </row>
    <row r="7" spans="1:8">
      <c r="A7" s="6">
        <v>42584</v>
      </c>
      <c r="B7" s="9">
        <v>0.67361111111111105</v>
      </c>
      <c r="C7" s="2">
        <v>9704.7999999999993</v>
      </c>
      <c r="D7" s="2">
        <v>18.8</v>
      </c>
      <c r="E7" s="3">
        <f>($B$2*C7^2+$B$3*C7+$B$4)-$B$5*D7</f>
        <v>-2.0158416757140502E-2</v>
      </c>
      <c r="G7" t="s">
        <v>13</v>
      </c>
    </row>
    <row r="8" spans="1:8">
      <c r="A8" s="6">
        <v>42586</v>
      </c>
      <c r="B8" s="9">
        <v>0.83333333333333304</v>
      </c>
      <c r="C8" s="2">
        <v>8767.2000000000007</v>
      </c>
      <c r="D8" s="2">
        <v>23</v>
      </c>
      <c r="E8" s="3">
        <f t="shared" ref="E8:E36" si="0">($B$2*C8^2+$B$3*C8+$B$4)-$B$5*D8-$E$7</f>
        <v>0.17763323828848632</v>
      </c>
      <c r="F8" s="4">
        <f>$D$1+102*E8</f>
        <v>737.70859030542567</v>
      </c>
      <c r="G8" s="5" t="s">
        <v>14</v>
      </c>
      <c r="H8" s="23"/>
    </row>
    <row r="9" spans="1:8">
      <c r="A9" s="6">
        <v>42587</v>
      </c>
      <c r="B9" s="9">
        <v>0.33333333333333298</v>
      </c>
      <c r="C9" s="2">
        <v>9089.1</v>
      </c>
      <c r="D9" s="2">
        <v>26.9</v>
      </c>
      <c r="E9" s="3">
        <f t="shared" si="0"/>
        <v>0.13713637620196373</v>
      </c>
      <c r="F9" s="4">
        <f t="shared" ref="F9:F47" si="1">$D$1+102*E9</f>
        <v>733.57791037260029</v>
      </c>
      <c r="H9" s="23"/>
    </row>
    <row r="10" spans="1:8">
      <c r="A10" s="6">
        <v>42588</v>
      </c>
      <c r="B10" s="9">
        <v>0.33333333333333298</v>
      </c>
      <c r="C10" s="2">
        <v>9078.7000000000007</v>
      </c>
      <c r="D10" s="2">
        <v>27.2</v>
      </c>
      <c r="E10" s="3">
        <f t="shared" si="0"/>
        <v>0.14007359664717711</v>
      </c>
      <c r="F10" s="4">
        <f t="shared" si="1"/>
        <v>733.87750685801211</v>
      </c>
      <c r="H10" s="23"/>
    </row>
    <row r="11" spans="1:8">
      <c r="A11" s="6">
        <v>42589</v>
      </c>
      <c r="B11" s="9">
        <v>0.33333333333333298</v>
      </c>
      <c r="C11" s="2">
        <v>9062.1</v>
      </c>
      <c r="D11" s="2">
        <v>27.5</v>
      </c>
      <c r="E11" s="3">
        <f t="shared" si="0"/>
        <v>0.14407839209839257</v>
      </c>
      <c r="F11" s="4">
        <f t="shared" si="1"/>
        <v>734.28599599403606</v>
      </c>
      <c r="H11" s="23"/>
    </row>
    <row r="12" spans="1:8">
      <c r="A12" s="6">
        <v>42590</v>
      </c>
      <c r="B12" s="9">
        <v>0.33333333333333298</v>
      </c>
      <c r="C12" s="2">
        <v>8994.6</v>
      </c>
      <c r="D12" s="2">
        <v>25</v>
      </c>
      <c r="E12" s="3">
        <f t="shared" si="0"/>
        <v>0.14614890848879467</v>
      </c>
      <c r="F12" s="4">
        <f t="shared" si="1"/>
        <v>734.49718866585704</v>
      </c>
      <c r="H12" s="23"/>
    </row>
    <row r="13" spans="1:8">
      <c r="A13" s="6">
        <v>42591</v>
      </c>
      <c r="B13" s="9">
        <v>0.33333333333333298</v>
      </c>
      <c r="C13" s="2">
        <v>8947.7999999999993</v>
      </c>
      <c r="D13" s="2">
        <v>23</v>
      </c>
      <c r="E13" s="3">
        <f t="shared" si="0"/>
        <v>0.14656351337663864</v>
      </c>
      <c r="F13" s="4">
        <f t="shared" si="1"/>
        <v>734.53947836441716</v>
      </c>
      <c r="H13" s="23"/>
    </row>
    <row r="14" spans="1:8">
      <c r="A14" s="6">
        <v>42592</v>
      </c>
      <c r="B14" s="9">
        <v>0.33333333333333298</v>
      </c>
      <c r="C14" s="2">
        <v>8888.1</v>
      </c>
      <c r="D14" s="2">
        <v>21.4</v>
      </c>
      <c r="E14" s="3">
        <f t="shared" si="0"/>
        <v>0.15072419903629017</v>
      </c>
      <c r="F14" s="4">
        <f t="shared" si="1"/>
        <v>734.96386830170161</v>
      </c>
      <c r="H14" s="23"/>
    </row>
    <row r="15" spans="1:8">
      <c r="A15" s="6">
        <v>42593</v>
      </c>
      <c r="B15" s="9">
        <v>0.33333333333333298</v>
      </c>
      <c r="C15" s="2">
        <v>8867.6</v>
      </c>
      <c r="D15" s="2">
        <v>19.5</v>
      </c>
      <c r="E15" s="3">
        <f t="shared" si="0"/>
        <v>0.14699234881892717</v>
      </c>
      <c r="F15" s="4">
        <f t="shared" si="1"/>
        <v>734.58321957953058</v>
      </c>
      <c r="H15" s="23"/>
    </row>
    <row r="16" spans="1:8">
      <c r="A16" s="6">
        <v>42602</v>
      </c>
      <c r="B16" s="9">
        <v>0.33333333333333298</v>
      </c>
      <c r="C16" s="2">
        <v>8729.9</v>
      </c>
      <c r="D16" s="2">
        <v>13.2</v>
      </c>
      <c r="E16" s="3">
        <f t="shared" si="0"/>
        <v>0.14660612714186141</v>
      </c>
      <c r="F16" s="4">
        <f t="shared" si="1"/>
        <v>734.54382496846995</v>
      </c>
      <c r="H16" s="23"/>
    </row>
    <row r="17" spans="1:8">
      <c r="A17" s="6">
        <v>42612</v>
      </c>
      <c r="B17" s="9">
        <v>0.33333333333333298</v>
      </c>
      <c r="C17" s="2">
        <v>8675.7000000000007</v>
      </c>
      <c r="D17" s="2">
        <v>10.7</v>
      </c>
      <c r="E17" s="3">
        <f t="shared" si="0"/>
        <v>0.1463725053593754</v>
      </c>
      <c r="F17" s="4">
        <f t="shared" si="1"/>
        <v>734.51999554665633</v>
      </c>
      <c r="H17" s="23"/>
    </row>
    <row r="18" spans="1:8">
      <c r="A18" s="6">
        <v>42623</v>
      </c>
      <c r="B18" s="9">
        <v>0.33333333333333298</v>
      </c>
      <c r="C18" s="2">
        <v>8635</v>
      </c>
      <c r="D18" s="2">
        <v>9.3000000000000007</v>
      </c>
      <c r="E18" s="3">
        <f t="shared" si="0"/>
        <v>0.14801905940094057</v>
      </c>
      <c r="F18" s="4">
        <f t="shared" si="1"/>
        <v>734.68794405889594</v>
      </c>
      <c r="H18" s="23"/>
    </row>
    <row r="19" spans="1:8">
      <c r="A19" s="7">
        <v>42633</v>
      </c>
      <c r="B19" s="9">
        <v>0.33333333333333331</v>
      </c>
      <c r="C19" s="2">
        <v>8603.6</v>
      </c>
      <c r="D19" s="2">
        <v>8.3000000000000007</v>
      </c>
      <c r="E19" s="3">
        <f t="shared" si="0"/>
        <v>0.1495944757177689</v>
      </c>
      <c r="F19" s="4">
        <f t="shared" si="1"/>
        <v>734.84863652321246</v>
      </c>
      <c r="H19" s="23"/>
    </row>
    <row r="20" spans="1:8">
      <c r="A20" s="7">
        <v>42643</v>
      </c>
      <c r="B20" s="9">
        <v>0.33333333333333331</v>
      </c>
      <c r="C20" s="2">
        <v>8601.2000000000007</v>
      </c>
      <c r="D20" s="2">
        <v>7.7</v>
      </c>
      <c r="E20" s="3">
        <f t="shared" si="0"/>
        <v>0.14771457602497912</v>
      </c>
      <c r="F20" s="4">
        <f t="shared" si="1"/>
        <v>734.65688675454794</v>
      </c>
      <c r="H20" s="23"/>
    </row>
    <row r="21" spans="1:8">
      <c r="A21" s="7">
        <v>42884</v>
      </c>
      <c r="B21" s="9">
        <v>0.33333333333333331</v>
      </c>
      <c r="C21" s="2">
        <v>8593.7999999999993</v>
      </c>
      <c r="D21" s="2">
        <v>6.3</v>
      </c>
      <c r="E21" s="3">
        <f t="shared" si="0"/>
        <v>0.14363740900519525</v>
      </c>
      <c r="F21" s="4">
        <f t="shared" si="1"/>
        <v>734.24101571852998</v>
      </c>
      <c r="H21" s="23"/>
    </row>
    <row r="22" spans="1:8">
      <c r="A22" s="7">
        <v>42885</v>
      </c>
      <c r="B22" s="9">
        <v>0.33333333333333331</v>
      </c>
      <c r="C22" s="2">
        <v>8594</v>
      </c>
      <c r="D22" s="2">
        <v>6.3</v>
      </c>
      <c r="E22" s="3">
        <f t="shared" si="0"/>
        <v>0.14360304428350831</v>
      </c>
      <c r="F22" s="4">
        <f t="shared" si="1"/>
        <v>734.23751051691784</v>
      </c>
      <c r="H22" s="23"/>
    </row>
    <row r="23" spans="1:8">
      <c r="A23" s="7">
        <v>42896</v>
      </c>
      <c r="B23" s="9">
        <v>0.33333333333333331</v>
      </c>
      <c r="C23" s="2">
        <v>8598.1</v>
      </c>
      <c r="D23" s="2">
        <v>6.4</v>
      </c>
      <c r="E23" s="3">
        <f t="shared" si="0"/>
        <v>0.14328060918206603</v>
      </c>
      <c r="F23" s="4">
        <f t="shared" si="1"/>
        <v>734.20462213657072</v>
      </c>
    </row>
    <row r="24" spans="1:8">
      <c r="A24" s="7">
        <v>42906</v>
      </c>
      <c r="B24" s="9">
        <v>0.33333333333333331</v>
      </c>
      <c r="C24" s="2">
        <v>8597.7999999999993</v>
      </c>
      <c r="D24" s="2">
        <v>6.4</v>
      </c>
      <c r="E24" s="3">
        <f t="shared" si="0"/>
        <v>0.14333215724415865</v>
      </c>
      <c r="F24" s="4">
        <f t="shared" si="1"/>
        <v>734.2098800389042</v>
      </c>
    </row>
    <row r="25" spans="1:8">
      <c r="A25" s="7">
        <v>42916</v>
      </c>
      <c r="B25" s="9">
        <v>0.33333333333333331</v>
      </c>
      <c r="C25" s="2">
        <v>8590.6</v>
      </c>
      <c r="D25" s="2">
        <v>6.5</v>
      </c>
      <c r="E25" s="3">
        <f t="shared" si="0"/>
        <v>0.14495133776632418</v>
      </c>
      <c r="F25" s="4">
        <f t="shared" si="1"/>
        <v>734.37503645216509</v>
      </c>
    </row>
    <row r="26" spans="1:8">
      <c r="A26" s="7">
        <v>42926</v>
      </c>
      <c r="B26" s="9">
        <v>0.33333333333333331</v>
      </c>
      <c r="C26" s="2">
        <v>8603.4</v>
      </c>
      <c r="D26" s="2">
        <v>6.5</v>
      </c>
      <c r="E26" s="3">
        <f t="shared" si="0"/>
        <v>0.14275196358740583</v>
      </c>
      <c r="F26" s="4">
        <f t="shared" si="1"/>
        <v>734.15070028591538</v>
      </c>
    </row>
    <row r="27" spans="1:8">
      <c r="A27" s="7">
        <v>42936</v>
      </c>
      <c r="B27" s="9">
        <v>0.33333333333333331</v>
      </c>
      <c r="C27" s="2">
        <v>8601.7000000000007</v>
      </c>
      <c r="D27" s="2">
        <v>6.6</v>
      </c>
      <c r="E27" s="3">
        <f t="shared" si="0"/>
        <v>0.14342612437726651</v>
      </c>
      <c r="F27" s="4">
        <f t="shared" si="1"/>
        <v>734.21946468648116</v>
      </c>
    </row>
    <row r="28" spans="1:8">
      <c r="A28" s="6">
        <v>42946</v>
      </c>
      <c r="B28" s="9">
        <v>0.33333333333333331</v>
      </c>
      <c r="C28" s="2">
        <v>8605.2999999999993</v>
      </c>
      <c r="D28" s="2">
        <v>6.6</v>
      </c>
      <c r="E28" s="3">
        <f t="shared" si="0"/>
        <v>0.1428075315238044</v>
      </c>
      <c r="F28" s="4">
        <f t="shared" si="1"/>
        <v>734.15636821542807</v>
      </c>
    </row>
    <row r="29" spans="1:8">
      <c r="A29" s="7">
        <v>42957</v>
      </c>
      <c r="B29" s="9">
        <v>0.33333333333333331</v>
      </c>
      <c r="C29" s="2">
        <v>8602.6</v>
      </c>
      <c r="D29" s="2">
        <v>6.7</v>
      </c>
      <c r="E29" s="3">
        <f t="shared" si="0"/>
        <v>0.14365352594346331</v>
      </c>
      <c r="F29" s="4">
        <f t="shared" si="1"/>
        <v>734.24265964623328</v>
      </c>
    </row>
    <row r="30" spans="1:8">
      <c r="A30" s="7">
        <v>42967</v>
      </c>
      <c r="B30" s="9">
        <v>0.33333333333333331</v>
      </c>
      <c r="C30" s="2">
        <v>8599.9</v>
      </c>
      <c r="D30" s="2">
        <v>6.7</v>
      </c>
      <c r="E30" s="3">
        <f t="shared" si="0"/>
        <v>0.14411746568574962</v>
      </c>
      <c r="F30" s="4">
        <f t="shared" si="1"/>
        <v>734.28998149994652</v>
      </c>
    </row>
    <row r="31" spans="1:8">
      <c r="A31" s="7">
        <v>42977</v>
      </c>
      <c r="B31" s="9">
        <v>0.33333333333333331</v>
      </c>
      <c r="C31" s="2">
        <v>8603</v>
      </c>
      <c r="D31" s="2">
        <v>6.8</v>
      </c>
      <c r="E31" s="3">
        <f t="shared" si="0"/>
        <v>0.14396684242993243</v>
      </c>
      <c r="F31" s="4">
        <f t="shared" si="1"/>
        <v>734.27461792785311</v>
      </c>
    </row>
    <row r="32" spans="1:8">
      <c r="A32" s="7">
        <v>42988</v>
      </c>
      <c r="B32" s="9">
        <v>0.33333333333333331</v>
      </c>
      <c r="C32" s="2">
        <v>8602.6</v>
      </c>
      <c r="D32" s="2">
        <v>6.8</v>
      </c>
      <c r="E32" s="3">
        <f t="shared" si="0"/>
        <v>0.14403557474346332</v>
      </c>
      <c r="F32" s="4">
        <f t="shared" si="1"/>
        <v>734.28162862383329</v>
      </c>
    </row>
    <row r="33" spans="1:6">
      <c r="A33" s="7">
        <v>42998</v>
      </c>
      <c r="B33" s="9">
        <v>0.33333333333333331</v>
      </c>
      <c r="C33" s="2">
        <v>8608.1</v>
      </c>
      <c r="D33" s="2">
        <v>6.8</v>
      </c>
      <c r="E33" s="3">
        <f t="shared" si="0"/>
        <v>0.14309049412512223</v>
      </c>
      <c r="F33" s="4">
        <f t="shared" si="1"/>
        <v>734.18523040076252</v>
      </c>
    </row>
    <row r="34" spans="1:6">
      <c r="A34" s="7">
        <v>43008</v>
      </c>
      <c r="B34" s="9">
        <v>0.33333333333333331</v>
      </c>
      <c r="C34" s="2">
        <v>8607.9</v>
      </c>
      <c r="D34" s="2">
        <v>6.5</v>
      </c>
      <c r="E34" s="3">
        <f t="shared" si="0"/>
        <v>0.1419787147203605</v>
      </c>
      <c r="F34" s="4">
        <f t="shared" si="1"/>
        <v>734.07182890147681</v>
      </c>
    </row>
    <row r="35" spans="1:6">
      <c r="A35" s="7">
        <v>43018</v>
      </c>
      <c r="B35" s="9">
        <v>0.33333333333333331</v>
      </c>
      <c r="C35" s="2">
        <v>8608.9</v>
      </c>
      <c r="D35" s="2">
        <v>6.8</v>
      </c>
      <c r="E35" s="3">
        <f t="shared" si="0"/>
        <v>0.14295302582167904</v>
      </c>
      <c r="F35" s="4">
        <f t="shared" si="1"/>
        <v>734.17120863381126</v>
      </c>
    </row>
    <row r="36" spans="1:6">
      <c r="A36" s="7">
        <v>43230</v>
      </c>
      <c r="B36" s="9">
        <v>0.33333333333333331</v>
      </c>
      <c r="C36" s="2">
        <v>8621.7000000000007</v>
      </c>
      <c r="D36" s="2">
        <v>7.2</v>
      </c>
      <c r="E36" s="3">
        <f t="shared" si="0"/>
        <v>0.14228165799285075</v>
      </c>
      <c r="F36" s="4">
        <f t="shared" si="1"/>
        <v>734.10272911527079</v>
      </c>
    </row>
    <row r="37" spans="1:6">
      <c r="A37" s="7">
        <v>43240</v>
      </c>
      <c r="B37" s="9">
        <v>0.33333333333333331</v>
      </c>
      <c r="C37" s="2">
        <v>8623.9</v>
      </c>
      <c r="D37" s="2">
        <v>7.3</v>
      </c>
      <c r="E37" s="3">
        <f t="shared" ref="E37:E47" si="2">($B$2*C37^2+$B$3*C37+$B$4)-$B$5*D37-$E$7</f>
        <v>0.14228564359457502</v>
      </c>
      <c r="F37" s="4">
        <f t="shared" si="1"/>
        <v>734.10313564664671</v>
      </c>
    </row>
    <row r="38" spans="1:6">
      <c r="A38" s="7">
        <v>43250</v>
      </c>
      <c r="B38" s="9">
        <v>0.33333333333333331</v>
      </c>
      <c r="C38" s="2">
        <v>8620.7999999999993</v>
      </c>
      <c r="D38" s="2">
        <v>7.3</v>
      </c>
      <c r="E38" s="3">
        <f t="shared" si="2"/>
        <v>0.142818367885645</v>
      </c>
      <c r="F38" s="4">
        <f t="shared" si="1"/>
        <v>734.15747352433584</v>
      </c>
    </row>
    <row r="39" spans="1:6">
      <c r="A39" s="7">
        <v>43261</v>
      </c>
      <c r="B39" s="9">
        <v>0.33333333333333331</v>
      </c>
      <c r="C39" s="2">
        <v>8618.6</v>
      </c>
      <c r="D39" s="2">
        <v>6.8</v>
      </c>
      <c r="E39" s="3">
        <f t="shared" si="2"/>
        <v>0.14128618158547304</v>
      </c>
      <c r="F39" s="4">
        <f t="shared" si="1"/>
        <v>734.00119052171829</v>
      </c>
    </row>
    <row r="40" spans="1:6">
      <c r="A40" s="7">
        <v>43271</v>
      </c>
      <c r="B40" s="9">
        <v>0.33333333333333331</v>
      </c>
      <c r="C40" s="2">
        <v>8549.4</v>
      </c>
      <c r="D40" s="2">
        <v>7.3</v>
      </c>
      <c r="E40" s="3">
        <f t="shared" si="2"/>
        <v>0.15508606696114033</v>
      </c>
      <c r="F40" s="4">
        <f t="shared" si="1"/>
        <v>735.40877883003634</v>
      </c>
    </row>
    <row r="41" spans="1:6">
      <c r="A41" s="7">
        <v>43281</v>
      </c>
      <c r="B41" s="9">
        <v>0.33333333333333331</v>
      </c>
      <c r="C41" s="2">
        <v>8548.6</v>
      </c>
      <c r="D41" s="2">
        <v>7.2</v>
      </c>
      <c r="E41" s="3">
        <f t="shared" si="2"/>
        <v>0.1548414480883209</v>
      </c>
      <c r="F41" s="4">
        <f t="shared" si="1"/>
        <v>735.3838277050088</v>
      </c>
    </row>
    <row r="42" spans="1:6">
      <c r="A42" s="7">
        <v>43291</v>
      </c>
      <c r="B42" s="9">
        <v>0.33333333333333331</v>
      </c>
      <c r="C42" s="2">
        <v>8565.2000000000007</v>
      </c>
      <c r="D42" s="2">
        <v>8</v>
      </c>
      <c r="E42" s="3">
        <f t="shared" si="2"/>
        <v>0.15504606177110375</v>
      </c>
      <c r="F42" s="4">
        <f t="shared" si="1"/>
        <v>735.40469830065263</v>
      </c>
    </row>
    <row r="43" spans="1:6">
      <c r="A43" s="7">
        <v>43301</v>
      </c>
      <c r="B43" s="9">
        <v>0.33333333333333331</v>
      </c>
      <c r="C43" s="2">
        <v>8571.4</v>
      </c>
      <c r="D43" s="2">
        <v>7.4</v>
      </c>
      <c r="E43" s="3">
        <f t="shared" si="2"/>
        <v>0.15168859056268894</v>
      </c>
      <c r="F43" s="4">
        <f t="shared" si="1"/>
        <v>735.06223623739436</v>
      </c>
    </row>
    <row r="44" spans="1:6">
      <c r="A44" s="7">
        <v>43311</v>
      </c>
      <c r="B44" s="9">
        <v>0.33333333333333331</v>
      </c>
      <c r="C44" s="2">
        <v>8571.9</v>
      </c>
      <c r="D44" s="2">
        <v>7.3</v>
      </c>
      <c r="E44" s="3">
        <f t="shared" si="2"/>
        <v>0.15122063892771428</v>
      </c>
      <c r="F44" s="4">
        <f t="shared" si="1"/>
        <v>735.01450517062688</v>
      </c>
    </row>
    <row r="45" spans="1:6">
      <c r="A45" s="7">
        <v>43322</v>
      </c>
      <c r="B45" s="9">
        <v>0.33333333333333331</v>
      </c>
      <c r="C45" s="2">
        <v>8560.9</v>
      </c>
      <c r="D45" s="2">
        <v>7.3</v>
      </c>
      <c r="E45" s="3">
        <f t="shared" si="2"/>
        <v>0.15311045473772386</v>
      </c>
      <c r="F45" s="4">
        <f t="shared" si="1"/>
        <v>735.20726638324788</v>
      </c>
    </row>
    <row r="46" spans="1:6">
      <c r="A46" s="7">
        <v>43332</v>
      </c>
      <c r="B46" s="9">
        <v>0.33333333333333331</v>
      </c>
      <c r="C46" s="2">
        <v>8568.7999999999993</v>
      </c>
      <c r="D46" s="2">
        <v>7.5</v>
      </c>
      <c r="E46" s="3">
        <f t="shared" si="2"/>
        <v>0.15251733085547525</v>
      </c>
      <c r="F46" s="4">
        <f t="shared" si="1"/>
        <v>735.14676774725854</v>
      </c>
    </row>
    <row r="47" spans="1:6">
      <c r="A47" s="7">
        <v>43342</v>
      </c>
      <c r="B47" s="9">
        <v>0.33333333333333331</v>
      </c>
      <c r="C47" s="2">
        <v>8567.1</v>
      </c>
      <c r="D47" s="2">
        <v>7.3</v>
      </c>
      <c r="E47" s="3">
        <f t="shared" si="2"/>
        <v>0.15204529782324036</v>
      </c>
      <c r="F47" s="4">
        <f t="shared" si="1"/>
        <v>735.09862037797052</v>
      </c>
    </row>
    <row r="48" spans="1:6">
      <c r="A48" s="7">
        <v>43353</v>
      </c>
      <c r="B48" s="9">
        <v>0.33333333333333331</v>
      </c>
      <c r="C48" s="2">
        <v>8566.6</v>
      </c>
      <c r="D48" s="2">
        <v>7.2</v>
      </c>
      <c r="E48" s="3">
        <f t="shared" ref="E48:E63" si="3">($B$2*C48^2+$B$3*C48+$B$4)-$B$5*D48-$E$7</f>
        <v>0.1517491499232777</v>
      </c>
      <c r="F48" s="4">
        <f t="shared" ref="F48:F63" si="4">$D$1+102*E48</f>
        <v>735.06841329217434</v>
      </c>
    </row>
    <row r="49" spans="1:6">
      <c r="A49" s="7">
        <v>43363</v>
      </c>
      <c r="B49" s="9">
        <v>0.33333333333333331</v>
      </c>
      <c r="C49" s="2">
        <v>8545.9</v>
      </c>
      <c r="D49" s="2">
        <v>7.2</v>
      </c>
      <c r="E49" s="3">
        <f t="shared" si="3"/>
        <v>0.15530527028314767</v>
      </c>
      <c r="F49" s="4">
        <f t="shared" si="4"/>
        <v>735.43113756888113</v>
      </c>
    </row>
    <row r="50" spans="1:6">
      <c r="A50" s="7">
        <v>43373</v>
      </c>
      <c r="B50" s="9">
        <v>0.33333333333333331</v>
      </c>
      <c r="C50" s="2">
        <v>8559</v>
      </c>
      <c r="D50" s="2">
        <v>7.5</v>
      </c>
      <c r="E50" s="3">
        <f t="shared" si="3"/>
        <v>0.15420096518826831</v>
      </c>
      <c r="F50" s="4">
        <f t="shared" si="4"/>
        <v>735.31849844920339</v>
      </c>
    </row>
    <row r="51" spans="1:6">
      <c r="A51" s="7">
        <v>43383</v>
      </c>
      <c r="B51" s="9">
        <v>0.33333333333333331</v>
      </c>
      <c r="C51" s="2">
        <v>8560.2999999999993</v>
      </c>
      <c r="D51" s="2">
        <v>7.2</v>
      </c>
      <c r="E51" s="3">
        <f t="shared" si="3"/>
        <v>0.15283148399442847</v>
      </c>
      <c r="F51" s="4">
        <f t="shared" si="4"/>
        <v>735.17881136743176</v>
      </c>
    </row>
    <row r="52" spans="1:6">
      <c r="A52" s="7">
        <v>43393</v>
      </c>
      <c r="B52" s="9">
        <v>0.33333333333333331</v>
      </c>
      <c r="C52" s="2">
        <v>8561.7000000000007</v>
      </c>
      <c r="D52" s="2">
        <v>7</v>
      </c>
      <c r="E52" s="3">
        <f t="shared" si="3"/>
        <v>0.15182687047729876</v>
      </c>
      <c r="F52" s="4">
        <f t="shared" si="4"/>
        <v>735.07634078868455</v>
      </c>
    </row>
    <row r="53" spans="1:6">
      <c r="A53" s="7">
        <v>43605</v>
      </c>
      <c r="B53" s="1">
        <v>0.33333333333333331</v>
      </c>
      <c r="C53" s="2">
        <v>8623.4</v>
      </c>
      <c r="D53" s="2">
        <v>6.8</v>
      </c>
      <c r="E53" s="3">
        <f t="shared" si="3"/>
        <v>0.14046132339137377</v>
      </c>
      <c r="F53" s="4">
        <f t="shared" si="4"/>
        <v>733.91705498592012</v>
      </c>
    </row>
    <row r="54" spans="1:6">
      <c r="A54" s="7">
        <v>43615</v>
      </c>
      <c r="B54" s="1">
        <v>0.33333333333333331</v>
      </c>
      <c r="C54" s="2">
        <v>8627.2000000000007</v>
      </c>
      <c r="D54" s="2">
        <v>7</v>
      </c>
      <c r="E54" s="3">
        <f t="shared" si="3"/>
        <v>0.14057239508067815</v>
      </c>
      <c r="F54" s="4">
        <f t="shared" si="4"/>
        <v>733.92838429822916</v>
      </c>
    </row>
    <row r="55" spans="1:6">
      <c r="A55" s="7">
        <v>43626</v>
      </c>
      <c r="B55" s="1">
        <v>0.33333333333333331</v>
      </c>
      <c r="C55" s="2">
        <v>8625.6</v>
      </c>
      <c r="D55" s="2">
        <v>7.2</v>
      </c>
      <c r="E55" s="3">
        <f t="shared" si="3"/>
        <v>0.14161145237782025</v>
      </c>
      <c r="F55" s="4">
        <f t="shared" si="4"/>
        <v>734.03436814253769</v>
      </c>
    </row>
    <row r="56" spans="1:6">
      <c r="A56" s="7">
        <v>43636</v>
      </c>
      <c r="B56" s="1">
        <v>0.33333333333333331</v>
      </c>
      <c r="C56" s="2">
        <v>8621.2999999999993</v>
      </c>
      <c r="D56" s="2">
        <v>7.4</v>
      </c>
      <c r="E56" s="3">
        <f t="shared" si="3"/>
        <v>0.14311449393693726</v>
      </c>
      <c r="F56" s="4">
        <f t="shared" si="4"/>
        <v>734.18767838156759</v>
      </c>
    </row>
    <row r="57" spans="1:6">
      <c r="A57" s="7">
        <v>43646</v>
      </c>
      <c r="B57" s="1">
        <v>0.33333333333333331</v>
      </c>
      <c r="C57" s="2">
        <v>8617.5</v>
      </c>
      <c r="D57" s="2">
        <v>7.3</v>
      </c>
      <c r="E57" s="3">
        <f t="shared" si="3"/>
        <v>0.14338545297209043</v>
      </c>
      <c r="F57" s="4">
        <f t="shared" si="4"/>
        <v>734.21531620315329</v>
      </c>
    </row>
    <row r="58" spans="1:6">
      <c r="A58" s="7">
        <v>43656</v>
      </c>
      <c r="B58" s="1">
        <v>0.33333333333333331</v>
      </c>
      <c r="C58" s="2">
        <v>8612.2999999999993</v>
      </c>
      <c r="D58" s="2">
        <v>7.3</v>
      </c>
      <c r="E58" s="3">
        <f t="shared" si="3"/>
        <v>0.14427902377560625</v>
      </c>
      <c r="F58" s="4">
        <f t="shared" si="4"/>
        <v>734.30646042511182</v>
      </c>
    </row>
    <row r="59" spans="1:6">
      <c r="A59" s="7">
        <v>43666</v>
      </c>
      <c r="B59" s="1">
        <v>0.33333333333333331</v>
      </c>
      <c r="C59" s="2">
        <v>8597.2999999999993</v>
      </c>
      <c r="D59" s="2">
        <v>7.1</v>
      </c>
      <c r="E59" s="3">
        <f t="shared" si="3"/>
        <v>0.14609241211973392</v>
      </c>
      <c r="F59" s="4">
        <f t="shared" si="4"/>
        <v>734.49142603621294</v>
      </c>
    </row>
    <row r="60" spans="1:6">
      <c r="A60" s="7">
        <v>43676</v>
      </c>
      <c r="B60" s="1">
        <v>0.33333333333333331</v>
      </c>
      <c r="C60" s="2">
        <v>8578</v>
      </c>
      <c r="D60" s="2">
        <v>7</v>
      </c>
      <c r="E60" s="3">
        <f t="shared" si="3"/>
        <v>0.14902646171173234</v>
      </c>
      <c r="F60" s="4">
        <f t="shared" si="4"/>
        <v>734.79069909459668</v>
      </c>
    </row>
    <row r="61" spans="1:6">
      <c r="A61" s="7">
        <v>43687</v>
      </c>
      <c r="B61" s="9">
        <v>0.33333333333333331</v>
      </c>
      <c r="C61" s="2">
        <v>8570.1</v>
      </c>
      <c r="D61" s="2">
        <v>6.9</v>
      </c>
      <c r="E61" s="3">
        <f t="shared" si="3"/>
        <v>0.15000169299034136</v>
      </c>
      <c r="F61" s="4">
        <f t="shared" si="4"/>
        <v>734.89017268501482</v>
      </c>
    </row>
    <row r="62" spans="1:6">
      <c r="A62" s="7">
        <v>43697</v>
      </c>
      <c r="B62" s="1">
        <v>0.33333333333333331</v>
      </c>
      <c r="C62" s="2">
        <v>8557.2000000000007</v>
      </c>
      <c r="D62" s="2">
        <v>7</v>
      </c>
      <c r="E62" s="3">
        <f t="shared" si="3"/>
        <v>0.15259995173037427</v>
      </c>
      <c r="F62" s="4">
        <f t="shared" si="4"/>
        <v>735.15519507649822</v>
      </c>
    </row>
    <row r="63" spans="1:6">
      <c r="A63" s="7">
        <v>43707</v>
      </c>
      <c r="B63" s="9">
        <v>0.33333333333333331</v>
      </c>
      <c r="C63" s="2">
        <v>8539.4</v>
      </c>
      <c r="D63" s="2">
        <v>7</v>
      </c>
      <c r="E63" s="3">
        <f t="shared" si="3"/>
        <v>0.15565775756459638</v>
      </c>
      <c r="F63" s="4">
        <f t="shared" si="4"/>
        <v>735.46709127158886</v>
      </c>
    </row>
    <row r="64" spans="1:6">
      <c r="B64" s="9"/>
    </row>
    <row r="65" spans="2:2">
      <c r="B65" s="9"/>
    </row>
    <row r="66" spans="2:2">
      <c r="B66" s="9"/>
    </row>
    <row r="67" spans="2:2">
      <c r="B67" s="9"/>
    </row>
    <row r="68" spans="2:2">
      <c r="B68" s="9"/>
    </row>
    <row r="69" spans="2:2">
      <c r="B69" s="9"/>
    </row>
    <row r="70" spans="2:2">
      <c r="B70" s="9"/>
    </row>
    <row r="71" spans="2:2">
      <c r="B71" s="9"/>
    </row>
    <row r="72" spans="2:2">
      <c r="B72" s="9"/>
    </row>
    <row r="73" spans="2:2">
      <c r="B73" s="9"/>
    </row>
    <row r="74" spans="2:2">
      <c r="B74" s="9"/>
    </row>
    <row r="75" spans="2:2">
      <c r="B75" s="9"/>
    </row>
    <row r="76" spans="2:2">
      <c r="B76" s="9"/>
    </row>
    <row r="77" spans="2:2">
      <c r="B77" s="9"/>
    </row>
    <row r="78" spans="2:2">
      <c r="B78" s="9"/>
    </row>
    <row r="79" spans="2:2">
      <c r="B79" s="9"/>
    </row>
    <row r="80" spans="2:2">
      <c r="B80" s="9"/>
    </row>
    <row r="81" spans="2:2">
      <c r="B81" s="9"/>
    </row>
    <row r="82" spans="2:2">
      <c r="B82" s="9"/>
    </row>
    <row r="83" spans="2:2">
      <c r="B83" s="9"/>
    </row>
    <row r="84" spans="2:2">
      <c r="B84" s="9"/>
    </row>
    <row r="85" spans="2:2">
      <c r="B85" s="9"/>
    </row>
    <row r="86" spans="2:2">
      <c r="B86" s="9"/>
    </row>
    <row r="87" spans="2:2">
      <c r="B87" s="9"/>
    </row>
    <row r="88" spans="2:2">
      <c r="B88" s="9"/>
    </row>
    <row r="89" spans="2:2">
      <c r="B89" s="9"/>
    </row>
    <row r="90" spans="2:2">
      <c r="B90" s="9"/>
    </row>
    <row r="91" spans="2:2">
      <c r="B91" s="9"/>
    </row>
    <row r="92" spans="2:2">
      <c r="B92" s="9"/>
    </row>
    <row r="93" spans="2:2">
      <c r="B93" s="9"/>
    </row>
    <row r="94" spans="2:2">
      <c r="B94" s="9"/>
    </row>
    <row r="95" spans="2:2">
      <c r="B95" s="9"/>
    </row>
    <row r="96" spans="2:2">
      <c r="B96" s="9"/>
    </row>
    <row r="97" spans="2:2">
      <c r="B97" s="9"/>
    </row>
    <row r="98" spans="2:2">
      <c r="B98" s="9"/>
    </row>
    <row r="99" spans="2:2">
      <c r="B99" s="9"/>
    </row>
    <row r="100" spans="2:2">
      <c r="B100" s="9"/>
    </row>
    <row r="101" spans="2:2">
      <c r="B101" s="9"/>
    </row>
    <row r="102" spans="2:2">
      <c r="B102" s="9"/>
    </row>
    <row r="103" spans="2:2">
      <c r="B103" s="9"/>
    </row>
    <row r="104" spans="2:2">
      <c r="B104" s="9"/>
    </row>
    <row r="105" spans="2:2">
      <c r="B105" s="9"/>
    </row>
    <row r="106" spans="2:2">
      <c r="B106" s="9"/>
    </row>
    <row r="107" spans="2:2">
      <c r="B107" s="9"/>
    </row>
    <row r="108" spans="2:2">
      <c r="B108" s="9"/>
    </row>
    <row r="109" spans="2:2">
      <c r="B109" s="9"/>
    </row>
    <row r="110" spans="2:2">
      <c r="B110" s="9"/>
    </row>
    <row r="111" spans="2:2">
      <c r="B111" s="9"/>
    </row>
    <row r="112" spans="2:2">
      <c r="B112" s="9"/>
    </row>
    <row r="113" spans="2:2">
      <c r="B113" s="9"/>
    </row>
    <row r="114" spans="2:2">
      <c r="B114" s="9"/>
    </row>
    <row r="115" spans="2:2">
      <c r="B115" s="9"/>
    </row>
    <row r="116" spans="2:2">
      <c r="B116" s="9"/>
    </row>
    <row r="117" spans="2:2">
      <c r="B117" s="9"/>
    </row>
    <row r="118" spans="2:2">
      <c r="B118" s="9"/>
    </row>
    <row r="119" spans="2:2">
      <c r="B119" s="9"/>
    </row>
    <row r="120" spans="2:2">
      <c r="B120" s="9"/>
    </row>
    <row r="121" spans="2:2">
      <c r="B121" s="9"/>
    </row>
    <row r="122" spans="2:2">
      <c r="B122" s="9"/>
    </row>
    <row r="123" spans="2:2">
      <c r="B123" s="9"/>
    </row>
    <row r="124" spans="2:2">
      <c r="B124" s="9"/>
    </row>
    <row r="125" spans="2:2">
      <c r="B125" s="9"/>
    </row>
    <row r="126" spans="2:2">
      <c r="B126" s="9"/>
    </row>
    <row r="127" spans="2:2">
      <c r="B127" s="9"/>
    </row>
    <row r="128" spans="2:2">
      <c r="B128" s="9"/>
    </row>
    <row r="129" spans="2:2">
      <c r="B129" s="9"/>
    </row>
    <row r="130" spans="2:2">
      <c r="B130" s="9"/>
    </row>
    <row r="131" spans="2:2">
      <c r="B131" s="9"/>
    </row>
    <row r="132" spans="2:2">
      <c r="B132" s="9"/>
    </row>
    <row r="133" spans="2:2">
      <c r="B133" s="9"/>
    </row>
    <row r="134" spans="2:2">
      <c r="B134" s="9"/>
    </row>
    <row r="135" spans="2:2">
      <c r="B135" s="9"/>
    </row>
    <row r="136" spans="2:2">
      <c r="B136" s="9"/>
    </row>
    <row r="137" spans="2:2">
      <c r="B137" s="9"/>
    </row>
    <row r="138" spans="2:2">
      <c r="B138" s="9"/>
    </row>
    <row r="139" spans="2:2">
      <c r="B139" s="9"/>
    </row>
    <row r="140" spans="2:2">
      <c r="B140" s="9"/>
    </row>
    <row r="141" spans="2:2">
      <c r="B141" s="9"/>
    </row>
    <row r="142" spans="2:2">
      <c r="B142" s="9"/>
    </row>
    <row r="143" spans="2:2">
      <c r="B143" s="9"/>
    </row>
    <row r="144" spans="2:2">
      <c r="B144" s="9"/>
    </row>
    <row r="145" spans="2:2">
      <c r="B145" s="9"/>
    </row>
    <row r="146" spans="2:2">
      <c r="B146" s="9"/>
    </row>
    <row r="147" spans="2:2">
      <c r="B147" s="9"/>
    </row>
    <row r="148" spans="2:2">
      <c r="B148" s="9"/>
    </row>
    <row r="149" spans="2:2">
      <c r="B149" s="9"/>
    </row>
    <row r="150" spans="2:2">
      <c r="B150" s="9"/>
    </row>
    <row r="151" spans="2:2">
      <c r="B151" s="9"/>
    </row>
    <row r="152" spans="2:2">
      <c r="B152" s="9"/>
    </row>
    <row r="153" spans="2:2">
      <c r="B153" s="9"/>
    </row>
    <row r="154" spans="2:2">
      <c r="B154" s="9"/>
    </row>
    <row r="155" spans="2:2">
      <c r="B155" s="9"/>
    </row>
    <row r="156" spans="2:2">
      <c r="B156" s="9"/>
    </row>
    <row r="157" spans="2:2">
      <c r="B157" s="9"/>
    </row>
    <row r="158" spans="2:2">
      <c r="B158" s="9"/>
    </row>
    <row r="159" spans="2:2">
      <c r="B159" s="9"/>
    </row>
    <row r="160" spans="2:2">
      <c r="B160" s="9"/>
    </row>
    <row r="161" spans="2:2">
      <c r="B161" s="9"/>
    </row>
    <row r="162" spans="2:2">
      <c r="B162" s="9"/>
    </row>
    <row r="163" spans="2:2">
      <c r="B163" s="9"/>
    </row>
    <row r="164" spans="2:2">
      <c r="B164" s="9"/>
    </row>
    <row r="165" spans="2:2">
      <c r="B165" s="9"/>
    </row>
    <row r="166" spans="2:2">
      <c r="B166" s="9"/>
    </row>
    <row r="167" spans="2:2">
      <c r="B167" s="9"/>
    </row>
    <row r="168" spans="2:2">
      <c r="B168" s="9"/>
    </row>
    <row r="169" spans="2:2">
      <c r="B169" s="9"/>
    </row>
    <row r="170" spans="2:2">
      <c r="B170" s="9"/>
    </row>
    <row r="171" spans="2:2">
      <c r="B171" s="9"/>
    </row>
    <row r="172" spans="2:2">
      <c r="B172" s="9"/>
    </row>
    <row r="173" spans="2:2">
      <c r="B173" s="9"/>
    </row>
    <row r="174" spans="2:2">
      <c r="B174" s="9"/>
    </row>
    <row r="175" spans="2:2">
      <c r="B175" s="9"/>
    </row>
    <row r="176" spans="2:2">
      <c r="B176" s="9"/>
    </row>
  </sheetData>
  <phoneticPr fontId="4" type="noConversion"/>
  <pageMargins left="0.69930555555555596" right="0.69930555555555596" top="0.75" bottom="0.75" header="0.3" footer="0.3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6"/>
  <sheetViews>
    <sheetView topLeftCell="A43" workbookViewId="0">
      <selection activeCell="A59" sqref="A59:B61"/>
    </sheetView>
  </sheetViews>
  <sheetFormatPr defaultColWidth="9" defaultRowHeight="13.5"/>
  <cols>
    <col min="1" max="1" width="11.125" customWidth="1"/>
    <col min="2" max="2" width="13.125" style="17" customWidth="1"/>
    <col min="5" max="5" width="10.875" customWidth="1"/>
    <col min="8" max="8" width="9.5" customWidth="1"/>
  </cols>
  <sheetData>
    <row r="1" spans="1:8">
      <c r="A1" t="s">
        <v>0</v>
      </c>
      <c r="B1" s="18">
        <v>11269</v>
      </c>
      <c r="C1" t="s">
        <v>1</v>
      </c>
      <c r="D1" s="11">
        <v>733.5</v>
      </c>
    </row>
    <row r="2" spans="1:8">
      <c r="A2" t="s">
        <v>2</v>
      </c>
      <c r="B2" s="24">
        <v>6.5299399999999997E-10</v>
      </c>
    </row>
    <row r="3" spans="1:8">
      <c r="A3" t="s">
        <v>3</v>
      </c>
      <c r="B3" s="18">
        <v>-1.7942699999999999E-4</v>
      </c>
    </row>
    <row r="4" spans="1:8">
      <c r="A4" t="s">
        <v>4</v>
      </c>
      <c r="B4" s="18">
        <v>1.62782585</v>
      </c>
    </row>
    <row r="5" spans="1:8">
      <c r="A5" t="s">
        <v>5</v>
      </c>
      <c r="B5" s="18">
        <v>-2.9103839999999998E-3</v>
      </c>
    </row>
    <row r="6" spans="1:8">
      <c r="A6" t="s">
        <v>6</v>
      </c>
      <c r="B6" s="17" t="s">
        <v>7</v>
      </c>
      <c r="C6" t="s">
        <v>8</v>
      </c>
      <c r="D6" t="s">
        <v>9</v>
      </c>
      <c r="E6" t="s">
        <v>10</v>
      </c>
      <c r="F6" t="s">
        <v>11</v>
      </c>
      <c r="G6" t="s">
        <v>12</v>
      </c>
    </row>
    <row r="7" spans="1:8">
      <c r="A7" s="6">
        <v>42604</v>
      </c>
      <c r="B7" s="9">
        <v>0.60416666666666696</v>
      </c>
      <c r="C7" s="2">
        <v>9260</v>
      </c>
      <c r="D7" s="2">
        <v>17.2</v>
      </c>
      <c r="E7" s="3">
        <f>($B$2*C7^2+$B$3*C7+$B$4)-$B$5*D7</f>
        <v>7.2383103114400188E-2</v>
      </c>
      <c r="G7" t="s">
        <v>13</v>
      </c>
    </row>
    <row r="8" spans="1:8">
      <c r="A8" s="6">
        <v>42604</v>
      </c>
      <c r="B8" s="9">
        <v>0.69444444444444398</v>
      </c>
      <c r="C8" s="2">
        <v>9051.7999999999993</v>
      </c>
      <c r="D8" s="2">
        <v>17.600000000000001</v>
      </c>
      <c r="E8" s="3">
        <f t="shared" ref="E8:E34" si="0">($B$2*C8^2+$B$3*C8+$B$4)-$B$5*D8-$E$7</f>
        <v>3.6031304430820713E-2</v>
      </c>
      <c r="F8" s="4">
        <f>$D$1+102*E8</f>
        <v>737.17519305194367</v>
      </c>
      <c r="G8" s="5" t="s">
        <v>14</v>
      </c>
      <c r="H8" s="23"/>
    </row>
    <row r="9" spans="1:8">
      <c r="A9" s="6">
        <v>42605</v>
      </c>
      <c r="B9" s="9">
        <v>0.33333333333333298</v>
      </c>
      <c r="C9" s="2">
        <v>9038.2999999999993</v>
      </c>
      <c r="D9" s="2">
        <v>13.3</v>
      </c>
      <c r="E9" s="3">
        <f t="shared" si="0"/>
        <v>2.5779445919568683E-2</v>
      </c>
      <c r="F9" s="4">
        <f t="shared" ref="F9:F49" si="1">$D$1+102*E9</f>
        <v>736.12950348379604</v>
      </c>
      <c r="H9" s="23"/>
    </row>
    <row r="10" spans="1:8">
      <c r="A10" s="6">
        <v>42606</v>
      </c>
      <c r="B10" s="9">
        <v>0.33333333333333298</v>
      </c>
      <c r="C10" s="2">
        <v>9029</v>
      </c>
      <c r="D10" s="2">
        <v>12.7</v>
      </c>
      <c r="E10" s="3">
        <f t="shared" si="0"/>
        <v>2.5592166721554011E-2</v>
      </c>
      <c r="F10" s="4">
        <f t="shared" si="1"/>
        <v>736.11040100559853</v>
      </c>
      <c r="H10" s="23"/>
    </row>
    <row r="11" spans="1:8">
      <c r="A11" s="6">
        <v>42607</v>
      </c>
      <c r="B11" s="9">
        <v>0.33333333333333298</v>
      </c>
      <c r="C11" s="2">
        <v>9025.6</v>
      </c>
      <c r="D11" s="2">
        <v>12.7</v>
      </c>
      <c r="E11" s="3">
        <f t="shared" si="0"/>
        <v>2.6162134066947618E-2</v>
      </c>
      <c r="F11" s="4">
        <f t="shared" si="1"/>
        <v>736.16853767482871</v>
      </c>
      <c r="H11" s="23"/>
    </row>
    <row r="12" spans="1:8">
      <c r="A12" s="6">
        <v>42608</v>
      </c>
      <c r="B12" s="9">
        <v>0.33333333333333298</v>
      </c>
      <c r="C12" s="2">
        <v>9017.5</v>
      </c>
      <c r="D12" s="2">
        <v>12.5</v>
      </c>
      <c r="E12" s="3">
        <f t="shared" si="0"/>
        <v>2.6937981475012418E-2</v>
      </c>
      <c r="F12" s="4">
        <f t="shared" si="1"/>
        <v>736.24767411045127</v>
      </c>
      <c r="H12" s="23"/>
    </row>
    <row r="13" spans="1:8">
      <c r="A13" s="6">
        <v>42609</v>
      </c>
      <c r="B13" s="9">
        <v>0.33333333333333298</v>
      </c>
      <c r="C13" s="2">
        <v>9018.5</v>
      </c>
      <c r="D13" s="2">
        <v>12.4</v>
      </c>
      <c r="E13" s="3">
        <f t="shared" si="0"/>
        <v>2.647929347479655E-2</v>
      </c>
      <c r="F13" s="4">
        <f t="shared" si="1"/>
        <v>736.20088793442926</v>
      </c>
      <c r="H13" s="23"/>
    </row>
    <row r="14" spans="1:8">
      <c r="A14" s="6">
        <v>42610</v>
      </c>
      <c r="B14" s="9">
        <v>0.33333333333333298</v>
      </c>
      <c r="C14" s="2">
        <v>9017.7999999999993</v>
      </c>
      <c r="D14" s="2">
        <v>12.4</v>
      </c>
      <c r="E14" s="3">
        <f t="shared" si="0"/>
        <v>2.6596648057819194E-2</v>
      </c>
      <c r="F14" s="4">
        <f t="shared" si="1"/>
        <v>736.21285810189761</v>
      </c>
      <c r="H14" s="23"/>
    </row>
    <row r="15" spans="1:8">
      <c r="A15" s="6">
        <v>42611</v>
      </c>
      <c r="B15" s="9">
        <v>0.33333333333333298</v>
      </c>
      <c r="C15" s="2">
        <v>9016.4</v>
      </c>
      <c r="D15" s="2">
        <v>12.3</v>
      </c>
      <c r="E15" s="3">
        <f t="shared" si="0"/>
        <v>2.6540320743666357E-2</v>
      </c>
      <c r="F15" s="4">
        <f t="shared" si="1"/>
        <v>736.20711271585401</v>
      </c>
      <c r="H15" s="23"/>
    </row>
    <row r="16" spans="1:8">
      <c r="A16" s="6">
        <v>42623</v>
      </c>
      <c r="B16" s="9">
        <v>0.33333333333333298</v>
      </c>
      <c r="C16" s="2">
        <v>9009</v>
      </c>
      <c r="D16" s="2">
        <v>12.4</v>
      </c>
      <c r="E16" s="3">
        <f t="shared" si="0"/>
        <v>2.8072017406113925E-2</v>
      </c>
      <c r="F16" s="4">
        <f t="shared" si="1"/>
        <v>736.36334577542357</v>
      </c>
      <c r="H16" s="23"/>
    </row>
    <row r="17" spans="1:8">
      <c r="A17" s="6">
        <v>42633</v>
      </c>
      <c r="B17" s="9">
        <v>0.33333333333333331</v>
      </c>
      <c r="C17" s="2">
        <v>8996.9</v>
      </c>
      <c r="D17" s="2">
        <v>12.4</v>
      </c>
      <c r="E17" s="3">
        <f t="shared" si="0"/>
        <v>3.0100815395672498E-2</v>
      </c>
      <c r="F17" s="4">
        <f t="shared" si="1"/>
        <v>736.57028317035861</v>
      </c>
      <c r="H17" s="23"/>
    </row>
    <row r="18" spans="1:8">
      <c r="A18" s="6">
        <v>42643</v>
      </c>
      <c r="B18" s="9">
        <v>0.33333333333333331</v>
      </c>
      <c r="C18" s="2">
        <v>9016.5</v>
      </c>
      <c r="D18" s="2">
        <v>12.6</v>
      </c>
      <c r="E18" s="3">
        <f t="shared" si="0"/>
        <v>2.739667078121627E-2</v>
      </c>
      <c r="F18" s="4">
        <f t="shared" si="1"/>
        <v>736.29446041968401</v>
      </c>
      <c r="H18" s="23"/>
    </row>
    <row r="19" spans="1:8">
      <c r="A19" s="7">
        <v>42884</v>
      </c>
      <c r="B19" s="9">
        <v>0.33333333333333331</v>
      </c>
      <c r="C19" s="2">
        <v>8996.7999999999993</v>
      </c>
      <c r="D19" s="2">
        <v>9.6</v>
      </c>
      <c r="E19" s="3">
        <f t="shared" si="0"/>
        <v>2.1968507917858565E-2</v>
      </c>
      <c r="F19" s="4">
        <f t="shared" si="1"/>
        <v>735.74078780762159</v>
      </c>
      <c r="H19" s="23"/>
    </row>
    <row r="20" spans="1:8">
      <c r="A20" s="7">
        <v>42885</v>
      </c>
      <c r="B20" s="9">
        <v>0.33333333333333331</v>
      </c>
      <c r="C20" s="2">
        <v>8997.2000000000007</v>
      </c>
      <c r="D20" s="2">
        <v>9.6</v>
      </c>
      <c r="E20" s="3">
        <f t="shared" si="0"/>
        <v>2.1901437107472749E-2</v>
      </c>
      <c r="F20" s="4">
        <f t="shared" si="1"/>
        <v>735.73394658496227</v>
      </c>
      <c r="H20" s="23"/>
    </row>
    <row r="21" spans="1:8">
      <c r="A21" s="7">
        <v>42896</v>
      </c>
      <c r="B21" s="9">
        <v>0.33333333333333331</v>
      </c>
      <c r="C21" s="2">
        <v>8998</v>
      </c>
      <c r="D21" s="2">
        <v>9.8000000000000007</v>
      </c>
      <c r="E21" s="3">
        <f t="shared" si="0"/>
        <v>2.2349372913575888E-2</v>
      </c>
      <c r="F21" s="4">
        <f t="shared" si="1"/>
        <v>735.77963603718479</v>
      </c>
      <c r="H21" s="23"/>
    </row>
    <row r="22" spans="1:8">
      <c r="A22" s="7">
        <v>42906</v>
      </c>
      <c r="B22" s="9">
        <v>0.33333333333333331</v>
      </c>
      <c r="C22" s="2">
        <v>8995.2999999999993</v>
      </c>
      <c r="D22" s="2">
        <v>9.5</v>
      </c>
      <c r="E22" s="3">
        <f t="shared" si="0"/>
        <v>2.1928986917837429E-2</v>
      </c>
      <c r="F22" s="4">
        <f t="shared" si="1"/>
        <v>735.7367566656194</v>
      </c>
      <c r="H22" s="23"/>
    </row>
    <row r="23" spans="1:8">
      <c r="A23" s="7">
        <v>42916</v>
      </c>
      <c r="B23" s="9">
        <v>0.33333333333333331</v>
      </c>
      <c r="C23" s="2">
        <v>8985.2999999999993</v>
      </c>
      <c r="D23" s="2">
        <v>9.4</v>
      </c>
      <c r="E23" s="3">
        <f t="shared" si="0"/>
        <v>2.3314806278673578E-2</v>
      </c>
      <c r="F23" s="4">
        <f t="shared" si="1"/>
        <v>735.87811024042469</v>
      </c>
    </row>
    <row r="24" spans="1:8">
      <c r="A24" s="7">
        <v>42926</v>
      </c>
      <c r="B24" s="9">
        <v>0.33333333333333331</v>
      </c>
      <c r="C24" s="2">
        <v>9000.1</v>
      </c>
      <c r="D24" s="2">
        <v>9.4</v>
      </c>
      <c r="E24" s="3">
        <f t="shared" si="0"/>
        <v>2.0833103181329721E-2</v>
      </c>
      <c r="F24" s="4">
        <f t="shared" si="1"/>
        <v>735.62497652449565</v>
      </c>
    </row>
    <row r="25" spans="1:8">
      <c r="A25" s="7">
        <v>42936</v>
      </c>
      <c r="B25" s="9">
        <v>0.33333333333333331</v>
      </c>
      <c r="C25" s="2">
        <v>8996.1</v>
      </c>
      <c r="D25" s="2">
        <v>9.4</v>
      </c>
      <c r="E25" s="3">
        <f t="shared" si="0"/>
        <v>2.1503805538838489E-2</v>
      </c>
      <c r="F25" s="4">
        <f t="shared" si="1"/>
        <v>735.69338816496156</v>
      </c>
    </row>
    <row r="26" spans="1:8">
      <c r="A26" s="7">
        <v>42946</v>
      </c>
      <c r="B26" s="9">
        <v>0.33333333333333331</v>
      </c>
      <c r="C26" s="2">
        <v>9000.7000000000007</v>
      </c>
      <c r="D26" s="2">
        <v>9.3000000000000007</v>
      </c>
      <c r="E26" s="3">
        <f t="shared" si="0"/>
        <v>2.0441461229966845E-2</v>
      </c>
      <c r="F26" s="4">
        <f t="shared" si="1"/>
        <v>735.58502904545662</v>
      </c>
    </row>
    <row r="27" spans="1:8">
      <c r="A27" s="7">
        <v>42957</v>
      </c>
      <c r="B27" s="9">
        <v>0.33333333333333331</v>
      </c>
      <c r="C27" s="2">
        <v>8994</v>
      </c>
      <c r="D27" s="2">
        <v>9.3000000000000007</v>
      </c>
      <c r="E27" s="3">
        <f t="shared" si="0"/>
        <v>2.1564894241383997E-2</v>
      </c>
      <c r="F27" s="4">
        <f t="shared" si="1"/>
        <v>735.6996192126212</v>
      </c>
    </row>
    <row r="28" spans="1:8">
      <c r="A28" s="6">
        <v>42967</v>
      </c>
      <c r="B28" s="9">
        <v>0.33333333333333331</v>
      </c>
      <c r="C28" s="2">
        <v>8990.2999999999993</v>
      </c>
      <c r="D28" s="2">
        <v>9.3000000000000007</v>
      </c>
      <c r="E28" s="3">
        <f t="shared" si="0"/>
        <v>2.2185322673405478E-2</v>
      </c>
      <c r="F28" s="4">
        <f t="shared" si="1"/>
        <v>735.76290291268731</v>
      </c>
    </row>
    <row r="29" spans="1:8">
      <c r="A29" s="7">
        <v>42977</v>
      </c>
      <c r="B29" s="9">
        <v>0.33333333333333331</v>
      </c>
      <c r="C29" s="2">
        <v>8991.5</v>
      </c>
      <c r="D29" s="2">
        <v>10</v>
      </c>
      <c r="E29" s="3">
        <f t="shared" si="0"/>
        <v>2.4021369482416427E-2</v>
      </c>
      <c r="F29" s="4">
        <f t="shared" si="1"/>
        <v>735.95017968720651</v>
      </c>
    </row>
    <row r="30" spans="1:8">
      <c r="A30" s="7">
        <v>42988</v>
      </c>
      <c r="B30" s="9">
        <v>0.33333333333333331</v>
      </c>
      <c r="C30" s="2">
        <v>8990.2999999999993</v>
      </c>
      <c r="D30" s="2">
        <v>9.1</v>
      </c>
      <c r="E30" s="3">
        <f t="shared" si="0"/>
        <v>2.160324587340548E-2</v>
      </c>
      <c r="F30" s="4">
        <f t="shared" si="1"/>
        <v>735.70353107908738</v>
      </c>
    </row>
    <row r="31" spans="1:8">
      <c r="A31" s="7">
        <v>42998</v>
      </c>
      <c r="B31" s="9">
        <v>0.33333333333333331</v>
      </c>
      <c r="C31" s="2">
        <v>8996.1</v>
      </c>
      <c r="D31" s="2">
        <v>9.1999999999999993</v>
      </c>
      <c r="E31" s="3">
        <f t="shared" si="0"/>
        <v>2.0921728738838491E-2</v>
      </c>
      <c r="F31" s="4">
        <f t="shared" si="1"/>
        <v>735.63401633136152</v>
      </c>
    </row>
    <row r="32" spans="1:8">
      <c r="A32" s="7">
        <v>43008</v>
      </c>
      <c r="B32" s="9">
        <v>0.33333333333333331</v>
      </c>
      <c r="C32" s="2">
        <v>8998.2999999999993</v>
      </c>
      <c r="D32" s="2">
        <v>9.4</v>
      </c>
      <c r="E32" s="3">
        <f t="shared" si="0"/>
        <v>2.1134916656352726E-2</v>
      </c>
      <c r="F32" s="4">
        <f t="shared" si="1"/>
        <v>735.65576149894798</v>
      </c>
    </row>
    <row r="33" spans="1:6">
      <c r="A33" s="7">
        <v>43018</v>
      </c>
      <c r="B33" s="9">
        <v>0.33333333333333331</v>
      </c>
      <c r="C33" s="2">
        <v>8994.6</v>
      </c>
      <c r="D33" s="2">
        <v>9.1999999999999993</v>
      </c>
      <c r="E33" s="3">
        <f t="shared" si="0"/>
        <v>2.1173247510104881E-2</v>
      </c>
      <c r="F33" s="4">
        <f t="shared" si="1"/>
        <v>735.65967124603071</v>
      </c>
    </row>
    <row r="34" spans="1:6">
      <c r="A34" s="7">
        <v>43230</v>
      </c>
      <c r="B34" s="9">
        <v>0.33333333333333331</v>
      </c>
      <c r="C34" s="2">
        <v>8990.2999999999993</v>
      </c>
      <c r="D34" s="2">
        <v>8.3000000000000007</v>
      </c>
      <c r="E34" s="3">
        <f t="shared" si="0"/>
        <v>1.9274938673405476E-2</v>
      </c>
      <c r="F34" s="4">
        <f t="shared" si="1"/>
        <v>735.46604374468734</v>
      </c>
    </row>
    <row r="35" spans="1:6">
      <c r="A35" s="7">
        <v>43240</v>
      </c>
      <c r="B35" s="9">
        <v>0.33333333333333331</v>
      </c>
      <c r="C35" s="2">
        <v>9002</v>
      </c>
      <c r="D35" s="2">
        <v>9.3000000000000007</v>
      </c>
      <c r="E35" s="3">
        <f t="shared" ref="E35:E49" si="2">($B$2*C35^2+$B$3*C35+$B$4)-$B$5*D35-$E$7</f>
        <v>2.0223488481575985E-2</v>
      </c>
      <c r="F35" s="4">
        <f t="shared" si="1"/>
        <v>735.5627958251207</v>
      </c>
    </row>
    <row r="36" spans="1:6">
      <c r="A36" s="7">
        <v>43250</v>
      </c>
      <c r="B36" s="9">
        <v>0.33333333333333331</v>
      </c>
      <c r="C36" s="2">
        <v>8998.7000000000007</v>
      </c>
      <c r="D36" s="2">
        <v>9.3000000000000007</v>
      </c>
      <c r="E36" s="3">
        <f t="shared" si="2"/>
        <v>2.0776808229559657E-2</v>
      </c>
      <c r="F36" s="4">
        <f t="shared" si="1"/>
        <v>735.6192344394151</v>
      </c>
    </row>
    <row r="37" spans="1:6">
      <c r="A37" s="7">
        <v>43261</v>
      </c>
      <c r="B37" s="9">
        <v>0.33333333333333331</v>
      </c>
      <c r="C37" s="2">
        <v>8994.4</v>
      </c>
      <c r="D37" s="2">
        <v>9.1999999999999993</v>
      </c>
      <c r="E37" s="3">
        <f t="shared" si="2"/>
        <v>2.1206783568291782E-2</v>
      </c>
      <c r="F37" s="4">
        <f t="shared" si="1"/>
        <v>735.66309192396579</v>
      </c>
    </row>
    <row r="38" spans="1:6">
      <c r="A38" s="7">
        <v>43271</v>
      </c>
      <c r="B38" s="9">
        <v>0.33333333333333331</v>
      </c>
      <c r="C38" s="2">
        <v>8929.4</v>
      </c>
      <c r="D38" s="2">
        <v>9.1999999999999993</v>
      </c>
      <c r="E38" s="3">
        <f t="shared" si="2"/>
        <v>3.2108769867573855E-2</v>
      </c>
      <c r="F38" s="4">
        <f t="shared" si="1"/>
        <v>736.77509452649258</v>
      </c>
    </row>
    <row r="39" spans="1:6">
      <c r="A39" s="7">
        <v>43281</v>
      </c>
      <c r="B39" s="9">
        <v>0.33333333333333331</v>
      </c>
      <c r="C39" s="2">
        <v>8942.7999999999993</v>
      </c>
      <c r="D39" s="2">
        <v>9</v>
      </c>
      <c r="E39" s="3">
        <f t="shared" si="2"/>
        <v>2.9278755155088959E-2</v>
      </c>
      <c r="F39" s="4">
        <f t="shared" si="1"/>
        <v>736.48643302581911</v>
      </c>
    </row>
    <row r="40" spans="1:6">
      <c r="A40" s="7">
        <v>43291</v>
      </c>
      <c r="B40" s="9">
        <v>0.33333333333333331</v>
      </c>
      <c r="C40" s="2">
        <v>8961.6</v>
      </c>
      <c r="D40" s="2">
        <v>9.6999999999999993</v>
      </c>
      <c r="E40" s="3">
        <f t="shared" si="2"/>
        <v>2.8162595911632532E-2</v>
      </c>
      <c r="F40" s="4">
        <f t="shared" si="1"/>
        <v>736.37258478298656</v>
      </c>
    </row>
    <row r="41" spans="1:6">
      <c r="A41" s="7">
        <v>43301</v>
      </c>
      <c r="B41" s="9">
        <v>0.33333333333333331</v>
      </c>
      <c r="C41" s="2">
        <v>8965.1</v>
      </c>
      <c r="D41" s="2">
        <v>9.1</v>
      </c>
      <c r="E41" s="3">
        <f t="shared" si="2"/>
        <v>2.5829342108021597E-2</v>
      </c>
      <c r="F41" s="4">
        <f t="shared" si="1"/>
        <v>736.13459289501816</v>
      </c>
    </row>
    <row r="42" spans="1:6">
      <c r="A42" s="7">
        <v>43311</v>
      </c>
      <c r="B42" s="9">
        <v>0.33333333333333331</v>
      </c>
      <c r="C42" s="2">
        <v>8962.2999999999993</v>
      </c>
      <c r="D42" s="2">
        <v>9</v>
      </c>
      <c r="E42" s="3">
        <f t="shared" si="2"/>
        <v>2.6007921151042362E-2</v>
      </c>
      <c r="F42" s="4">
        <f t="shared" si="1"/>
        <v>736.15280795740637</v>
      </c>
    </row>
    <row r="43" spans="1:6">
      <c r="A43" s="7">
        <v>43322</v>
      </c>
      <c r="B43" s="9">
        <v>0.33333333333333331</v>
      </c>
      <c r="C43" s="2">
        <v>8942.4</v>
      </c>
      <c r="D43" s="2">
        <v>8.9</v>
      </c>
      <c r="E43" s="3">
        <f t="shared" si="2"/>
        <v>2.9054815983773602E-2</v>
      </c>
      <c r="F43" s="4">
        <f t="shared" si="1"/>
        <v>736.46359123034495</v>
      </c>
    </row>
    <row r="44" spans="1:6">
      <c r="A44" s="7">
        <v>43332</v>
      </c>
      <c r="B44" s="9">
        <v>0.33333333333333331</v>
      </c>
      <c r="C44" s="2">
        <v>8953.4</v>
      </c>
      <c r="D44" s="2">
        <v>9.1999999999999993</v>
      </c>
      <c r="E44" s="3">
        <f t="shared" si="2"/>
        <v>2.8082778534050418E-2</v>
      </c>
      <c r="F44" s="4">
        <f t="shared" si="1"/>
        <v>736.36444341047309</v>
      </c>
    </row>
    <row r="45" spans="1:6">
      <c r="A45" s="7">
        <v>43342</v>
      </c>
      <c r="B45" s="9">
        <v>0.33333333333333331</v>
      </c>
      <c r="C45" s="2">
        <v>8950.2999999999993</v>
      </c>
      <c r="D45" s="2">
        <v>9</v>
      </c>
      <c r="E45" s="3">
        <f t="shared" si="2"/>
        <v>2.802068330714938E-2</v>
      </c>
      <c r="F45" s="4">
        <f t="shared" si="1"/>
        <v>736.35810969732927</v>
      </c>
    </row>
    <row r="46" spans="1:6">
      <c r="A46" s="7">
        <v>43353</v>
      </c>
      <c r="B46" s="9">
        <v>0.33333333333333331</v>
      </c>
      <c r="C46" s="2">
        <v>8943.2000000000007</v>
      </c>
      <c r="D46" s="2">
        <v>8.8000000000000007</v>
      </c>
      <c r="E46" s="3">
        <f t="shared" si="2"/>
        <v>2.8629579335362504E-2</v>
      </c>
      <c r="F46" s="4">
        <f t="shared" si="1"/>
        <v>736.42021709220694</v>
      </c>
    </row>
    <row r="47" spans="1:6">
      <c r="A47" s="7">
        <v>43363</v>
      </c>
      <c r="B47" s="9">
        <v>0.33333333333333331</v>
      </c>
      <c r="C47" s="2">
        <v>8929.7999999999993</v>
      </c>
      <c r="D47" s="2">
        <v>8.9</v>
      </c>
      <c r="E47" s="3">
        <f t="shared" si="2"/>
        <v>3.1168548647752009E-2</v>
      </c>
      <c r="F47" s="4">
        <f t="shared" si="1"/>
        <v>736.67919196207072</v>
      </c>
    </row>
    <row r="48" spans="1:6">
      <c r="A48" s="7">
        <v>43373</v>
      </c>
      <c r="B48" s="9">
        <v>0.33333333333333331</v>
      </c>
      <c r="C48" s="2">
        <v>8950.2999999999993</v>
      </c>
      <c r="D48" s="2">
        <v>8.6</v>
      </c>
      <c r="E48" s="3">
        <f t="shared" si="2"/>
        <v>2.6856529707149371E-2</v>
      </c>
      <c r="F48" s="4">
        <f t="shared" si="1"/>
        <v>736.23936603012919</v>
      </c>
    </row>
    <row r="49" spans="1:6">
      <c r="A49" s="7">
        <v>43383</v>
      </c>
      <c r="B49" s="9">
        <v>0.33333333333333331</v>
      </c>
      <c r="C49" s="2">
        <v>8950.7000000000007</v>
      </c>
      <c r="D49" s="2">
        <v>8.4</v>
      </c>
      <c r="E49" s="3">
        <f t="shared" si="2"/>
        <v>2.6207357805386869E-2</v>
      </c>
      <c r="F49" s="4">
        <f t="shared" si="1"/>
        <v>736.17315049614945</v>
      </c>
    </row>
    <row r="50" spans="1:6">
      <c r="A50" s="7">
        <v>43393</v>
      </c>
      <c r="B50" s="9">
        <v>0.33333333333333331</v>
      </c>
      <c r="C50" s="2">
        <v>8951.2999999999993</v>
      </c>
      <c r="D50" s="2">
        <v>8</v>
      </c>
      <c r="E50" s="3">
        <f t="shared" ref="E50:E61" si="3">($B$2*C50^2+$B$3*C50+$B$4)-$B$5*D50-$E$7</f>
        <v>2.4942561944539934E-2</v>
      </c>
      <c r="F50" s="4">
        <f t="shared" ref="F50:F61" si="4">$D$1+102*E50</f>
        <v>736.04414131834312</v>
      </c>
    </row>
    <row r="51" spans="1:6">
      <c r="A51" s="7">
        <v>43605</v>
      </c>
      <c r="B51" s="1">
        <v>0.33333333333333331</v>
      </c>
      <c r="C51" s="2">
        <v>8991.2999999999993</v>
      </c>
      <c r="D51" s="2">
        <v>8.5</v>
      </c>
      <c r="E51" s="3">
        <f t="shared" si="3"/>
        <v>1.9689330350315851E-2</v>
      </c>
      <c r="F51" s="4">
        <f t="shared" si="4"/>
        <v>735.50831169573223</v>
      </c>
    </row>
    <row r="52" spans="1:6">
      <c r="A52" s="7">
        <v>43615</v>
      </c>
      <c r="B52" s="1">
        <v>0.33333333333333331</v>
      </c>
      <c r="C52" s="2">
        <v>8971.7000000000007</v>
      </c>
      <c r="D52" s="2">
        <v>8.3000000000000007</v>
      </c>
      <c r="E52" s="3">
        <f t="shared" si="3"/>
        <v>2.2394120018364397E-2</v>
      </c>
      <c r="F52" s="4">
        <f t="shared" si="4"/>
        <v>735.78420024187312</v>
      </c>
    </row>
    <row r="53" spans="1:6">
      <c r="A53" s="7">
        <v>43626</v>
      </c>
      <c r="B53" s="1">
        <v>0.33333333333333331</v>
      </c>
      <c r="C53" s="2">
        <v>8973.5</v>
      </c>
      <c r="D53" s="2">
        <v>8.5</v>
      </c>
      <c r="E53" s="3">
        <f t="shared" si="3"/>
        <v>2.2674320812636331E-2</v>
      </c>
      <c r="F53" s="4">
        <f t="shared" si="4"/>
        <v>735.81278072288887</v>
      </c>
    </row>
    <row r="54" spans="1:6">
      <c r="A54" s="7">
        <v>43636</v>
      </c>
      <c r="B54" s="1">
        <v>0.33333333333333331</v>
      </c>
      <c r="C54" s="2">
        <v>8979.2000000000007</v>
      </c>
      <c r="D54" s="2">
        <v>8.5</v>
      </c>
      <c r="E54" s="3">
        <f t="shared" si="3"/>
        <v>2.1718408043323936E-2</v>
      </c>
      <c r="F54" s="4">
        <f t="shared" si="4"/>
        <v>735.71527762041899</v>
      </c>
    </row>
    <row r="55" spans="1:6">
      <c r="A55" s="7">
        <v>43646</v>
      </c>
      <c r="B55" s="1">
        <v>0.33333333333333331</v>
      </c>
      <c r="C55" s="2">
        <v>8967.2999999999993</v>
      </c>
      <c r="D55" s="2">
        <v>8.4</v>
      </c>
      <c r="E55" s="3">
        <f t="shared" si="3"/>
        <v>2.3423095357154269E-2</v>
      </c>
      <c r="F55" s="4">
        <f t="shared" si="4"/>
        <v>735.88915572642975</v>
      </c>
    </row>
    <row r="56" spans="1:6">
      <c r="A56" s="7">
        <v>43656</v>
      </c>
      <c r="B56" s="1">
        <v>0.33333333333333331</v>
      </c>
      <c r="C56" s="2">
        <v>8956.2000000000007</v>
      </c>
      <c r="D56" s="2">
        <v>8.4</v>
      </c>
      <c r="E56" s="3">
        <f t="shared" si="3"/>
        <v>2.528482134580913E-2</v>
      </c>
      <c r="F56" s="4">
        <f t="shared" si="4"/>
        <v>736.07905177727253</v>
      </c>
    </row>
    <row r="57" spans="1:6">
      <c r="A57" s="7">
        <v>43666</v>
      </c>
      <c r="B57" s="1">
        <v>0.33333333333333331</v>
      </c>
      <c r="C57" s="2">
        <v>8949.2999999999993</v>
      </c>
      <c r="D57" s="2">
        <v>8.1999999999999993</v>
      </c>
      <c r="E57" s="3">
        <f t="shared" si="3"/>
        <v>2.5860114775747248E-2</v>
      </c>
      <c r="F57" s="4">
        <f t="shared" si="4"/>
        <v>736.13773170712625</v>
      </c>
    </row>
    <row r="58" spans="1:6">
      <c r="A58" s="7">
        <v>43676</v>
      </c>
      <c r="B58" s="1">
        <v>0.33333333333333331</v>
      </c>
      <c r="C58" s="2">
        <v>8944.5</v>
      </c>
      <c r="D58" s="2">
        <v>8.1999999999999993</v>
      </c>
      <c r="E58" s="3">
        <f t="shared" si="3"/>
        <v>2.6665278564368525E-2</v>
      </c>
      <c r="F58" s="4">
        <f t="shared" si="4"/>
        <v>736.21985841356559</v>
      </c>
    </row>
    <row r="59" spans="1:6">
      <c r="A59" s="7">
        <v>43687</v>
      </c>
      <c r="B59" s="9">
        <v>0.33333333333333331</v>
      </c>
      <c r="C59" s="2">
        <v>8919.2999999999993</v>
      </c>
      <c r="D59" s="2">
        <v>8.1999999999999993</v>
      </c>
      <c r="E59" s="3">
        <f t="shared" si="3"/>
        <v>3.0892882118095058E-2</v>
      </c>
      <c r="F59" s="4">
        <f t="shared" si="4"/>
        <v>736.65107397604572</v>
      </c>
    </row>
    <row r="60" spans="1:6">
      <c r="A60" s="7">
        <v>43697</v>
      </c>
      <c r="B60" s="1">
        <v>0.33333333333333331</v>
      </c>
      <c r="C60" s="2">
        <v>8898.1</v>
      </c>
      <c r="D60" s="2">
        <v>8.1</v>
      </c>
      <c r="E60" s="3">
        <f t="shared" si="3"/>
        <v>3.4159041425828165E-2</v>
      </c>
      <c r="F60" s="4">
        <f t="shared" si="4"/>
        <v>736.98422222543445</v>
      </c>
    </row>
    <row r="61" spans="1:6">
      <c r="A61" s="7">
        <v>43707</v>
      </c>
      <c r="B61" s="9">
        <v>0.33333333333333331</v>
      </c>
      <c r="C61" s="2">
        <v>8887.2999999999993</v>
      </c>
      <c r="D61" s="2">
        <v>8.1</v>
      </c>
      <c r="E61" s="3">
        <f t="shared" si="3"/>
        <v>3.5971424423362222E-2</v>
      </c>
      <c r="F61" s="4">
        <f t="shared" si="4"/>
        <v>737.16908529118291</v>
      </c>
    </row>
    <row r="62" spans="1:6">
      <c r="B62" s="9"/>
    </row>
    <row r="63" spans="1:6">
      <c r="B63" s="9"/>
    </row>
    <row r="64" spans="1:6">
      <c r="B64" s="9"/>
    </row>
    <row r="65" spans="2:2">
      <c r="B65" s="9"/>
    </row>
    <row r="66" spans="2:2">
      <c r="B66" s="9"/>
    </row>
    <row r="67" spans="2:2">
      <c r="B67" s="9"/>
    </row>
    <row r="68" spans="2:2">
      <c r="B68" s="9"/>
    </row>
    <row r="69" spans="2:2">
      <c r="B69" s="9"/>
    </row>
    <row r="70" spans="2:2">
      <c r="B70" s="9"/>
    </row>
    <row r="71" spans="2:2">
      <c r="B71" s="9"/>
    </row>
    <row r="72" spans="2:2">
      <c r="B72" s="9"/>
    </row>
    <row r="73" spans="2:2">
      <c r="B73" s="9"/>
    </row>
    <row r="74" spans="2:2">
      <c r="B74" s="9"/>
    </row>
    <row r="75" spans="2:2">
      <c r="B75" s="9"/>
    </row>
    <row r="76" spans="2:2">
      <c r="B76" s="9"/>
    </row>
    <row r="77" spans="2:2">
      <c r="B77" s="9"/>
    </row>
    <row r="78" spans="2:2">
      <c r="B78" s="9"/>
    </row>
    <row r="79" spans="2:2">
      <c r="B79" s="9"/>
    </row>
    <row r="80" spans="2:2">
      <c r="B80" s="9"/>
    </row>
    <row r="81" spans="2:2">
      <c r="B81" s="9"/>
    </row>
    <row r="82" spans="2:2">
      <c r="B82" s="9"/>
    </row>
    <row r="83" spans="2:2">
      <c r="B83" s="9"/>
    </row>
    <row r="84" spans="2:2">
      <c r="B84" s="9"/>
    </row>
    <row r="85" spans="2:2">
      <c r="B85" s="9"/>
    </row>
    <row r="86" spans="2:2">
      <c r="B86" s="9"/>
    </row>
    <row r="87" spans="2:2">
      <c r="B87" s="9"/>
    </row>
    <row r="88" spans="2:2">
      <c r="B88" s="9"/>
    </row>
    <row r="89" spans="2:2">
      <c r="B89" s="9"/>
    </row>
    <row r="90" spans="2:2">
      <c r="B90" s="9"/>
    </row>
    <row r="91" spans="2:2">
      <c r="B91" s="9"/>
    </row>
    <row r="92" spans="2:2">
      <c r="B92" s="9"/>
    </row>
    <row r="93" spans="2:2">
      <c r="B93" s="9"/>
    </row>
    <row r="94" spans="2:2">
      <c r="B94" s="9"/>
    </row>
    <row r="95" spans="2:2">
      <c r="B95" s="9"/>
    </row>
    <row r="96" spans="2:2">
      <c r="B96" s="9"/>
    </row>
    <row r="97" spans="2:2">
      <c r="B97" s="9"/>
    </row>
    <row r="98" spans="2:2">
      <c r="B98" s="9"/>
    </row>
    <row r="99" spans="2:2">
      <c r="B99" s="9"/>
    </row>
    <row r="100" spans="2:2">
      <c r="B100" s="9"/>
    </row>
    <row r="101" spans="2:2">
      <c r="B101" s="9"/>
    </row>
    <row r="102" spans="2:2">
      <c r="B102" s="9"/>
    </row>
    <row r="103" spans="2:2">
      <c r="B103" s="9"/>
    </row>
    <row r="104" spans="2:2">
      <c r="B104" s="9"/>
    </row>
    <row r="105" spans="2:2">
      <c r="B105" s="9"/>
    </row>
    <row r="106" spans="2:2">
      <c r="B106" s="9"/>
    </row>
    <row r="107" spans="2:2">
      <c r="B107" s="9"/>
    </row>
    <row r="108" spans="2:2">
      <c r="B108" s="9"/>
    </row>
    <row r="109" spans="2:2">
      <c r="B109" s="9"/>
    </row>
    <row r="110" spans="2:2">
      <c r="B110" s="9"/>
    </row>
    <row r="111" spans="2:2">
      <c r="B111" s="9"/>
    </row>
    <row r="112" spans="2:2">
      <c r="B112" s="9"/>
    </row>
    <row r="113" spans="2:2">
      <c r="B113" s="9"/>
    </row>
    <row r="114" spans="2:2">
      <c r="B114" s="9"/>
    </row>
    <row r="115" spans="2:2">
      <c r="B115" s="9"/>
    </row>
    <row r="116" spans="2:2">
      <c r="B116" s="9"/>
    </row>
    <row r="117" spans="2:2">
      <c r="B117" s="9"/>
    </row>
    <row r="118" spans="2:2">
      <c r="B118" s="9"/>
    </row>
    <row r="119" spans="2:2">
      <c r="B119" s="9"/>
    </row>
    <row r="120" spans="2:2">
      <c r="B120" s="9"/>
    </row>
    <row r="121" spans="2:2">
      <c r="B121" s="9"/>
    </row>
    <row r="122" spans="2:2">
      <c r="B122" s="9"/>
    </row>
    <row r="123" spans="2:2">
      <c r="B123" s="9"/>
    </row>
    <row r="124" spans="2:2">
      <c r="B124" s="9"/>
    </row>
    <row r="125" spans="2:2">
      <c r="B125" s="9"/>
    </row>
    <row r="126" spans="2:2">
      <c r="B126" s="9"/>
    </row>
    <row r="127" spans="2:2">
      <c r="B127" s="9"/>
    </row>
    <row r="128" spans="2:2">
      <c r="B128" s="9"/>
    </row>
    <row r="129" spans="2:2">
      <c r="B129" s="9"/>
    </row>
    <row r="130" spans="2:2">
      <c r="B130" s="9"/>
    </row>
    <row r="131" spans="2:2">
      <c r="B131" s="9"/>
    </row>
    <row r="132" spans="2:2">
      <c r="B132" s="9"/>
    </row>
    <row r="133" spans="2:2">
      <c r="B133" s="9"/>
    </row>
    <row r="134" spans="2:2">
      <c r="B134" s="9"/>
    </row>
    <row r="135" spans="2:2">
      <c r="B135" s="9"/>
    </row>
    <row r="136" spans="2:2">
      <c r="B136" s="9"/>
    </row>
    <row r="137" spans="2:2">
      <c r="B137" s="9"/>
    </row>
    <row r="138" spans="2:2">
      <c r="B138" s="9"/>
    </row>
    <row r="139" spans="2:2">
      <c r="B139" s="9"/>
    </row>
    <row r="140" spans="2:2">
      <c r="B140" s="9"/>
    </row>
    <row r="141" spans="2:2">
      <c r="B141" s="9"/>
    </row>
    <row r="142" spans="2:2">
      <c r="B142" s="9"/>
    </row>
    <row r="143" spans="2:2">
      <c r="B143" s="9"/>
    </row>
    <row r="144" spans="2:2">
      <c r="B144" s="9"/>
    </row>
    <row r="145" spans="2:2">
      <c r="B145" s="9"/>
    </row>
    <row r="146" spans="2:2">
      <c r="B146" s="9"/>
    </row>
    <row r="147" spans="2:2">
      <c r="B147" s="9"/>
    </row>
    <row r="148" spans="2:2">
      <c r="B148" s="9"/>
    </row>
    <row r="149" spans="2:2">
      <c r="B149" s="9"/>
    </row>
    <row r="150" spans="2:2">
      <c r="B150" s="9"/>
    </row>
    <row r="151" spans="2:2">
      <c r="B151" s="9"/>
    </row>
    <row r="152" spans="2:2">
      <c r="B152" s="9"/>
    </row>
    <row r="153" spans="2:2">
      <c r="B153" s="9"/>
    </row>
    <row r="154" spans="2:2">
      <c r="B154" s="9"/>
    </row>
    <row r="155" spans="2:2">
      <c r="B155" s="9"/>
    </row>
    <row r="156" spans="2:2">
      <c r="B156" s="9"/>
    </row>
    <row r="157" spans="2:2">
      <c r="B157" s="9"/>
    </row>
    <row r="158" spans="2:2">
      <c r="B158" s="9"/>
    </row>
    <row r="159" spans="2:2">
      <c r="B159" s="9"/>
    </row>
    <row r="160" spans="2:2">
      <c r="B160" s="9"/>
    </row>
    <row r="161" spans="2:2">
      <c r="B161" s="9"/>
    </row>
    <row r="162" spans="2:2">
      <c r="B162" s="9"/>
    </row>
    <row r="163" spans="2:2">
      <c r="B163" s="9"/>
    </row>
    <row r="164" spans="2:2">
      <c r="B164" s="9"/>
    </row>
    <row r="165" spans="2:2">
      <c r="B165" s="9"/>
    </row>
    <row r="166" spans="2:2">
      <c r="B166" s="9"/>
    </row>
    <row r="167" spans="2:2">
      <c r="B167" s="9"/>
    </row>
    <row r="168" spans="2:2">
      <c r="B168" s="9"/>
    </row>
    <row r="169" spans="2:2">
      <c r="B169" s="9"/>
    </row>
    <row r="170" spans="2:2">
      <c r="B170" s="9"/>
    </row>
    <row r="171" spans="2:2">
      <c r="B171" s="9"/>
    </row>
    <row r="172" spans="2:2">
      <c r="B172" s="9"/>
    </row>
    <row r="173" spans="2:2">
      <c r="B173" s="9"/>
    </row>
    <row r="174" spans="2:2">
      <c r="B174" s="9"/>
    </row>
    <row r="175" spans="2:2">
      <c r="B175" s="9"/>
    </row>
    <row r="176" spans="2:2">
      <c r="B176" s="9"/>
    </row>
  </sheetData>
  <phoneticPr fontId="4" type="noConversion"/>
  <pageMargins left="0.69930555555555596" right="0.69930555555555596" top="0.75" bottom="0.75" header="0.3" footer="0.3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6"/>
  <sheetViews>
    <sheetView topLeftCell="A46" workbookViewId="0">
      <selection activeCell="A59" sqref="A59:B61"/>
    </sheetView>
  </sheetViews>
  <sheetFormatPr defaultColWidth="9" defaultRowHeight="13.5"/>
  <cols>
    <col min="1" max="1" width="11.25" customWidth="1"/>
    <col min="2" max="2" width="13.125" style="17" customWidth="1"/>
    <col min="5" max="5" width="10.875" customWidth="1"/>
    <col min="8" max="8" width="9.5" customWidth="1"/>
  </cols>
  <sheetData>
    <row r="1" spans="1:8">
      <c r="A1" t="s">
        <v>0</v>
      </c>
      <c r="B1" s="18">
        <v>11238</v>
      </c>
      <c r="C1" t="s">
        <v>1</v>
      </c>
      <c r="D1" s="11">
        <v>733.5</v>
      </c>
    </row>
    <row r="2" spans="1:8">
      <c r="A2" t="s">
        <v>2</v>
      </c>
      <c r="B2" s="24">
        <v>7.2514100000000005E-11</v>
      </c>
    </row>
    <row r="3" spans="1:8">
      <c r="A3" t="s">
        <v>3</v>
      </c>
      <c r="B3" s="18">
        <v>-2.0002299999999999E-4</v>
      </c>
    </row>
    <row r="4" spans="1:8">
      <c r="A4" t="s">
        <v>4</v>
      </c>
      <c r="B4" s="18">
        <v>1.89620882</v>
      </c>
    </row>
    <row r="5" spans="1:8">
      <c r="A5" t="s">
        <v>5</v>
      </c>
      <c r="B5" s="18">
        <v>-3.4444739999999999E-3</v>
      </c>
    </row>
    <row r="6" spans="1:8">
      <c r="A6" t="s">
        <v>6</v>
      </c>
      <c r="B6" s="17" t="s">
        <v>7</v>
      </c>
      <c r="C6" t="s">
        <v>8</v>
      </c>
      <c r="D6" t="s">
        <v>9</v>
      </c>
      <c r="E6" t="s">
        <v>10</v>
      </c>
      <c r="F6" t="s">
        <v>11</v>
      </c>
      <c r="G6" t="s">
        <v>12</v>
      </c>
    </row>
    <row r="7" spans="1:8">
      <c r="A7" s="6">
        <v>42607</v>
      </c>
      <c r="B7" s="9">
        <v>0.5</v>
      </c>
      <c r="C7" s="2">
        <v>9355.9</v>
      </c>
      <c r="D7" s="2">
        <v>15.1</v>
      </c>
      <c r="E7" s="3">
        <f>($B$2*C7^2+$B$3*C7+$B$4)-$B$5*D7</f>
        <v>8.3172558612118835E-2</v>
      </c>
      <c r="G7" t="s">
        <v>13</v>
      </c>
    </row>
    <row r="8" spans="1:8">
      <c r="A8" s="6">
        <v>42607</v>
      </c>
      <c r="B8" s="9">
        <v>0.5625</v>
      </c>
      <c r="C8" s="2">
        <v>9202.1</v>
      </c>
      <c r="D8" s="2">
        <v>16.600000000000001</v>
      </c>
      <c r="E8" s="3">
        <f t="shared" ref="E8:E34" si="0">($B$2*C8^2+$B$3*C8+$B$4)-$B$5*D8-$E$7</f>
        <v>3.5723277176492402E-2</v>
      </c>
      <c r="F8" s="4">
        <f>$D$1+102*E8</f>
        <v>737.14377427200225</v>
      </c>
      <c r="G8" s="5" t="s">
        <v>14</v>
      </c>
      <c r="H8" s="23"/>
    </row>
    <row r="9" spans="1:8">
      <c r="A9" s="6">
        <v>42608</v>
      </c>
      <c r="B9" s="9">
        <v>0.33333333333333298</v>
      </c>
      <c r="C9" s="2">
        <v>9159</v>
      </c>
      <c r="D9" s="2">
        <v>11.5</v>
      </c>
      <c r="E9" s="3">
        <f t="shared" si="0"/>
        <v>2.6720066071043491E-2</v>
      </c>
      <c r="F9" s="4">
        <f t="shared" ref="F9:F49" si="1">$D$1+102*E9</f>
        <v>736.22544673924642</v>
      </c>
      <c r="H9" s="23"/>
    </row>
    <row r="10" spans="1:8">
      <c r="A10" s="6">
        <v>42609</v>
      </c>
      <c r="B10" s="9">
        <v>0.33333333333333298</v>
      </c>
      <c r="C10" s="2">
        <v>9154.4</v>
      </c>
      <c r="D10" s="2">
        <v>11.2</v>
      </c>
      <c r="E10" s="3">
        <f t="shared" si="0"/>
        <v>2.660072096433648E-2</v>
      </c>
      <c r="F10" s="4">
        <f t="shared" si="1"/>
        <v>736.21327353836227</v>
      </c>
      <c r="H10" s="23"/>
    </row>
    <row r="11" spans="1:8">
      <c r="A11" s="6">
        <v>42610</v>
      </c>
      <c r="B11" s="9">
        <v>0.33333333333333298</v>
      </c>
      <c r="C11" s="2">
        <v>9152</v>
      </c>
      <c r="D11" s="2">
        <v>11</v>
      </c>
      <c r="E11" s="3">
        <f t="shared" si="0"/>
        <v>2.6388695431247527E-2</v>
      </c>
      <c r="F11" s="4">
        <f t="shared" si="1"/>
        <v>736.19164693398727</v>
      </c>
      <c r="H11" s="23"/>
    </row>
    <row r="12" spans="1:8">
      <c r="A12" s="6">
        <v>42611</v>
      </c>
      <c r="B12" s="9">
        <v>0.33333333333333298</v>
      </c>
      <c r="C12" s="2">
        <v>9149.2000000000007</v>
      </c>
      <c r="D12" s="2">
        <v>10.8</v>
      </c>
      <c r="E12" s="3">
        <f t="shared" si="0"/>
        <v>2.6256149165116177E-2</v>
      </c>
      <c r="F12" s="4">
        <f t="shared" si="1"/>
        <v>736.17812721484188</v>
      </c>
      <c r="H12" s="23"/>
    </row>
    <row r="13" spans="1:8">
      <c r="A13" s="6">
        <v>42612</v>
      </c>
      <c r="B13" s="9">
        <v>0.33333333333333298</v>
      </c>
      <c r="C13" s="2">
        <v>9148.4</v>
      </c>
      <c r="D13" s="2">
        <v>10.7</v>
      </c>
      <c r="E13" s="3">
        <f t="shared" si="0"/>
        <v>2.6070658697919497E-2</v>
      </c>
      <c r="F13" s="4">
        <f t="shared" si="1"/>
        <v>736.1592071871878</v>
      </c>
      <c r="H13" s="23"/>
    </row>
    <row r="14" spans="1:8">
      <c r="A14" s="6">
        <v>42614</v>
      </c>
      <c r="B14" s="9">
        <v>0.33333333333333298</v>
      </c>
      <c r="C14" s="2">
        <v>9148</v>
      </c>
      <c r="D14" s="2">
        <v>10.8</v>
      </c>
      <c r="E14" s="3">
        <f t="shared" si="0"/>
        <v>2.6494584599127652E-2</v>
      </c>
      <c r="F14" s="4">
        <f t="shared" si="1"/>
        <v>736.20244762911102</v>
      </c>
      <c r="H14" s="23"/>
    </row>
    <row r="15" spans="1:8">
      <c r="A15" s="6">
        <v>42615</v>
      </c>
      <c r="B15" s="9">
        <v>0.33333333333333298</v>
      </c>
      <c r="C15" s="2">
        <v>9147.7999999999993</v>
      </c>
      <c r="D15" s="2">
        <v>10.9</v>
      </c>
      <c r="E15" s="3">
        <f t="shared" si="0"/>
        <v>2.6878771258433548E-2</v>
      </c>
      <c r="F15" s="4">
        <f t="shared" si="1"/>
        <v>736.24163466836023</v>
      </c>
      <c r="H15" s="23"/>
    </row>
    <row r="16" spans="1:8">
      <c r="A16" s="6">
        <v>42623</v>
      </c>
      <c r="B16" s="9">
        <v>0.33333333333333298</v>
      </c>
      <c r="C16" s="2">
        <v>9142.6</v>
      </c>
      <c r="D16" s="2">
        <v>10.8</v>
      </c>
      <c r="E16" s="3">
        <f t="shared" si="0"/>
        <v>2.7567546636581314E-2</v>
      </c>
      <c r="F16" s="4">
        <f t="shared" si="1"/>
        <v>736.31188975693135</v>
      </c>
      <c r="H16" s="23"/>
    </row>
    <row r="17" spans="1:8">
      <c r="A17" s="6">
        <v>42633</v>
      </c>
      <c r="B17" s="9">
        <v>0.33333333333333331</v>
      </c>
      <c r="C17" s="2">
        <v>9132.2999999999993</v>
      </c>
      <c r="D17" s="2">
        <v>10.9</v>
      </c>
      <c r="E17" s="3">
        <f t="shared" si="0"/>
        <v>2.9958581500942688E-2</v>
      </c>
      <c r="F17" s="4">
        <f t="shared" si="1"/>
        <v>736.55577531309621</v>
      </c>
      <c r="H17" s="23"/>
    </row>
    <row r="18" spans="1:8">
      <c r="A18" s="6">
        <v>42643</v>
      </c>
      <c r="B18" s="9">
        <v>0.33333333333333331</v>
      </c>
      <c r="C18" s="2">
        <v>9147.7999999999993</v>
      </c>
      <c r="D18" s="2">
        <v>10.9</v>
      </c>
      <c r="E18" s="3">
        <f t="shared" si="0"/>
        <v>2.6878771258433548E-2</v>
      </c>
      <c r="F18" s="4">
        <f t="shared" si="1"/>
        <v>736.24163466836023</v>
      </c>
      <c r="H18" s="23"/>
    </row>
    <row r="19" spans="1:8">
      <c r="A19" s="7">
        <v>42884</v>
      </c>
      <c r="B19" s="9">
        <v>0.33333333333333331</v>
      </c>
      <c r="C19" s="2">
        <v>9110.2999999999993</v>
      </c>
      <c r="D19" s="2">
        <v>7.1</v>
      </c>
      <c r="E19" s="3">
        <f t="shared" si="0"/>
        <v>2.1240983695088228E-2</v>
      </c>
      <c r="F19" s="4">
        <f t="shared" si="1"/>
        <v>735.66658033689896</v>
      </c>
      <c r="H19" s="23"/>
    </row>
    <row r="20" spans="1:8">
      <c r="A20" s="7">
        <v>42885</v>
      </c>
      <c r="B20" s="9">
        <v>0.33333333333333331</v>
      </c>
      <c r="C20" s="2">
        <v>9110.5</v>
      </c>
      <c r="D20" s="2">
        <v>7.1</v>
      </c>
      <c r="E20" s="3">
        <f t="shared" si="0"/>
        <v>2.1201243348070858E-2</v>
      </c>
      <c r="F20" s="4">
        <f t="shared" si="1"/>
        <v>735.66252682150321</v>
      </c>
      <c r="H20" s="23"/>
    </row>
    <row r="21" spans="1:8">
      <c r="A21" s="7">
        <v>42896</v>
      </c>
      <c r="B21" s="9">
        <v>0.33333333333333331</v>
      </c>
      <c r="C21" s="2">
        <v>9111.2999999999993</v>
      </c>
      <c r="D21" s="2">
        <v>7</v>
      </c>
      <c r="E21" s="3">
        <f t="shared" si="0"/>
        <v>2.069783461801275E-2</v>
      </c>
      <c r="F21" s="4">
        <f t="shared" si="1"/>
        <v>735.61117913103726</v>
      </c>
      <c r="H21" s="23"/>
    </row>
    <row r="22" spans="1:8">
      <c r="A22" s="7">
        <v>42906</v>
      </c>
      <c r="B22" s="9">
        <v>0.33333333333333331</v>
      </c>
      <c r="C22" s="2">
        <v>9109.2999999999993</v>
      </c>
      <c r="D22" s="2">
        <v>7</v>
      </c>
      <c r="E22" s="3">
        <f t="shared" si="0"/>
        <v>2.1095238117191911E-2</v>
      </c>
      <c r="F22" s="4">
        <f t="shared" si="1"/>
        <v>735.65171428795361</v>
      </c>
      <c r="H22" s="23"/>
    </row>
    <row r="23" spans="1:8">
      <c r="A23" s="7">
        <v>42916</v>
      </c>
      <c r="B23" s="9">
        <v>0.33333333333333331</v>
      </c>
      <c r="C23" s="2">
        <v>9100.5</v>
      </c>
      <c r="D23" s="2">
        <v>6.9</v>
      </c>
      <c r="E23" s="3">
        <f t="shared" si="0"/>
        <v>2.249937300531972E-2</v>
      </c>
      <c r="F23" s="4">
        <f t="shared" si="1"/>
        <v>735.7949360465426</v>
      </c>
    </row>
    <row r="24" spans="1:8">
      <c r="A24" s="7">
        <v>42926</v>
      </c>
      <c r="B24" s="9">
        <v>0.33333333333333331</v>
      </c>
      <c r="C24" s="2">
        <v>9113.4</v>
      </c>
      <c r="D24" s="2">
        <v>6.9</v>
      </c>
      <c r="E24" s="3">
        <f t="shared" si="0"/>
        <v>1.9936114168220984E-2</v>
      </c>
      <c r="F24" s="4">
        <f t="shared" si="1"/>
        <v>735.53348364515853</v>
      </c>
    </row>
    <row r="25" spans="1:8">
      <c r="A25" s="7">
        <v>42936</v>
      </c>
      <c r="B25" s="9">
        <v>0.33333333333333331</v>
      </c>
      <c r="C25" s="2">
        <v>9110.2999999999993</v>
      </c>
      <c r="D25" s="2">
        <v>6.9</v>
      </c>
      <c r="E25" s="3">
        <f t="shared" si="0"/>
        <v>2.0552088895088236E-2</v>
      </c>
      <c r="F25" s="4">
        <f t="shared" si="1"/>
        <v>735.59631306729898</v>
      </c>
    </row>
    <row r="26" spans="1:8">
      <c r="A26" s="7">
        <v>42946</v>
      </c>
      <c r="B26" s="9">
        <v>0.33333333333333331</v>
      </c>
      <c r="C26" s="2">
        <v>9113.7999999999993</v>
      </c>
      <c r="D26" s="2">
        <v>6.9</v>
      </c>
      <c r="E26" s="3">
        <f t="shared" si="0"/>
        <v>1.985663365982264E-2</v>
      </c>
      <c r="F26" s="4">
        <f t="shared" si="1"/>
        <v>735.5253766333019</v>
      </c>
    </row>
    <row r="27" spans="1:8">
      <c r="A27" s="7">
        <v>42957</v>
      </c>
      <c r="B27" s="9">
        <v>0.33333333333333331</v>
      </c>
      <c r="C27" s="2">
        <v>9108.7000000000007</v>
      </c>
      <c r="D27" s="2">
        <v>6.8</v>
      </c>
      <c r="E27" s="3">
        <f t="shared" si="0"/>
        <v>2.0525564480067246E-2</v>
      </c>
      <c r="F27" s="4">
        <f t="shared" si="1"/>
        <v>735.59360757696686</v>
      </c>
    </row>
    <row r="28" spans="1:8">
      <c r="A28" s="6">
        <v>42967</v>
      </c>
      <c r="B28" s="9">
        <v>0.33333333333333331</v>
      </c>
      <c r="C28" s="2">
        <v>9105.7999999999993</v>
      </c>
      <c r="D28" s="2">
        <v>6.8</v>
      </c>
      <c r="E28" s="3">
        <f t="shared" si="0"/>
        <v>2.1101800836651904E-2</v>
      </c>
      <c r="F28" s="4">
        <f t="shared" si="1"/>
        <v>735.65238368533846</v>
      </c>
    </row>
    <row r="29" spans="1:8">
      <c r="A29" s="7">
        <v>42977</v>
      </c>
      <c r="B29" s="9">
        <v>0.33333333333333331</v>
      </c>
      <c r="C29" s="2">
        <v>9107.6</v>
      </c>
      <c r="D29" s="2">
        <v>7.7</v>
      </c>
      <c r="E29" s="3">
        <f t="shared" si="0"/>
        <v>2.3844163347607764E-2</v>
      </c>
      <c r="F29" s="4">
        <f t="shared" si="1"/>
        <v>735.93210466145604</v>
      </c>
    </row>
    <row r="30" spans="1:8">
      <c r="A30" s="7">
        <v>42988</v>
      </c>
      <c r="B30" s="9">
        <v>0.33333333333333331</v>
      </c>
      <c r="C30" s="2">
        <v>9107.5</v>
      </c>
      <c r="D30" s="2">
        <v>6.9</v>
      </c>
      <c r="E30" s="3">
        <f t="shared" si="0"/>
        <v>2.1108454362449278E-2</v>
      </c>
      <c r="F30" s="4">
        <f t="shared" si="1"/>
        <v>735.65306234496984</v>
      </c>
    </row>
    <row r="31" spans="1:8">
      <c r="A31" s="7">
        <v>42998</v>
      </c>
      <c r="B31" s="9">
        <v>0.33333333333333331</v>
      </c>
      <c r="C31" s="2">
        <v>9112.4</v>
      </c>
      <c r="D31" s="2">
        <v>6.9</v>
      </c>
      <c r="E31" s="3">
        <f t="shared" si="0"/>
        <v>2.0134815540737414E-2</v>
      </c>
      <c r="F31" s="4">
        <f t="shared" si="1"/>
        <v>735.55375118515519</v>
      </c>
    </row>
    <row r="32" spans="1:8">
      <c r="A32" s="7">
        <v>43008</v>
      </c>
      <c r="B32" s="9">
        <v>0.33333333333333331</v>
      </c>
      <c r="C32" s="2">
        <v>9123.6</v>
      </c>
      <c r="D32" s="2">
        <v>6.8</v>
      </c>
      <c r="E32" s="3">
        <f t="shared" si="0"/>
        <v>1.7564921052566337E-2</v>
      </c>
      <c r="F32" s="4">
        <f t="shared" si="1"/>
        <v>735.29162194736182</v>
      </c>
    </row>
    <row r="33" spans="1:6">
      <c r="A33" s="7">
        <v>43018</v>
      </c>
      <c r="B33" s="9">
        <v>0.33333333333333331</v>
      </c>
      <c r="C33" s="2">
        <v>9112.7999999999993</v>
      </c>
      <c r="D33" s="2">
        <v>6.9</v>
      </c>
      <c r="E33" s="3">
        <f t="shared" si="0"/>
        <v>2.0055334974327474E-2</v>
      </c>
      <c r="F33" s="4">
        <f t="shared" si="1"/>
        <v>735.5456441673814</v>
      </c>
    </row>
    <row r="34" spans="1:6">
      <c r="A34" s="7">
        <v>43230</v>
      </c>
      <c r="B34" s="9">
        <v>0.33333333333333331</v>
      </c>
      <c r="C34" s="2">
        <v>9114.5</v>
      </c>
      <c r="D34" s="2">
        <v>6.8</v>
      </c>
      <c r="E34" s="3">
        <f t="shared" si="0"/>
        <v>1.937309542596076E-2</v>
      </c>
      <c r="F34" s="4">
        <f t="shared" si="1"/>
        <v>735.47605573344799</v>
      </c>
    </row>
    <row r="35" spans="1:6">
      <c r="A35" s="7">
        <v>43240</v>
      </c>
      <c r="B35" s="9">
        <v>0.33333333333333331</v>
      </c>
      <c r="C35" s="2">
        <v>9117</v>
      </c>
      <c r="D35" s="2">
        <v>6.9</v>
      </c>
      <c r="E35" s="3">
        <f t="shared" ref="E35:E49" si="2">($B$2*C35^2+$B$3*C35+$B$4)-$B$5*D35-$E$7</f>
        <v>1.9220790427996112E-2</v>
      </c>
      <c r="F35" s="4">
        <f t="shared" si="1"/>
        <v>735.46052062365561</v>
      </c>
    </row>
    <row r="36" spans="1:6">
      <c r="A36" s="7">
        <v>43250</v>
      </c>
      <c r="B36" s="9">
        <v>0.33333333333333331</v>
      </c>
      <c r="C36" s="2">
        <v>9114</v>
      </c>
      <c r="D36" s="2">
        <v>6.5</v>
      </c>
      <c r="E36" s="3">
        <f t="shared" si="2"/>
        <v>1.8439103814324953E-2</v>
      </c>
      <c r="F36" s="4">
        <f t="shared" si="1"/>
        <v>735.38078858906113</v>
      </c>
    </row>
    <row r="37" spans="1:6">
      <c r="A37" s="7">
        <v>43261</v>
      </c>
      <c r="B37" s="9">
        <v>0.33333333333333331</v>
      </c>
      <c r="C37" s="2">
        <v>9109.6</v>
      </c>
      <c r="D37" s="2">
        <v>6.7</v>
      </c>
      <c r="E37" s="3">
        <f t="shared" si="2"/>
        <v>2.0002285355332813E-2</v>
      </c>
      <c r="F37" s="4">
        <f t="shared" si="1"/>
        <v>735.54023310624393</v>
      </c>
    </row>
    <row r="38" spans="1:6">
      <c r="A38" s="7">
        <v>43271</v>
      </c>
      <c r="B38" s="9">
        <v>0.33333333333333331</v>
      </c>
      <c r="C38" s="2">
        <v>9055.1</v>
      </c>
      <c r="D38" s="2">
        <v>6.8</v>
      </c>
      <c r="E38" s="3">
        <f t="shared" si="2"/>
        <v>3.1176199025793924E-2</v>
      </c>
      <c r="F38" s="4">
        <f t="shared" si="1"/>
        <v>736.67997230063099</v>
      </c>
    </row>
    <row r="39" spans="1:6">
      <c r="A39" s="7">
        <v>43281</v>
      </c>
      <c r="B39" s="9">
        <v>0.33333333333333331</v>
      </c>
      <c r="C39" s="2">
        <v>9066.9</v>
      </c>
      <c r="D39" s="2">
        <v>6.6</v>
      </c>
      <c r="E39" s="3">
        <f t="shared" si="2"/>
        <v>2.8142539211932424E-2</v>
      </c>
      <c r="F39" s="4">
        <f t="shared" si="1"/>
        <v>736.37053899961711</v>
      </c>
    </row>
    <row r="40" spans="1:6">
      <c r="A40" s="7">
        <v>43291</v>
      </c>
      <c r="B40" s="9">
        <v>0.33333333333333331</v>
      </c>
      <c r="C40" s="2">
        <v>9085.4</v>
      </c>
      <c r="D40" s="2">
        <v>7.5</v>
      </c>
      <c r="E40" s="3">
        <f t="shared" si="2"/>
        <v>2.7566491819334807E-2</v>
      </c>
      <c r="F40" s="4">
        <f t="shared" si="1"/>
        <v>736.31178216557214</v>
      </c>
    </row>
    <row r="41" spans="1:6">
      <c r="A41" s="7">
        <v>43301</v>
      </c>
      <c r="B41" s="9">
        <v>0.33333333333333331</v>
      </c>
      <c r="C41" s="2">
        <v>9087.7999999999993</v>
      </c>
      <c r="D41" s="2">
        <v>6.7</v>
      </c>
      <c r="E41" s="3">
        <f t="shared" si="2"/>
        <v>2.4334020171116008E-2</v>
      </c>
      <c r="F41" s="4">
        <f t="shared" si="1"/>
        <v>735.98207005745383</v>
      </c>
    </row>
    <row r="42" spans="1:6">
      <c r="A42" s="7">
        <v>43311</v>
      </c>
      <c r="B42" s="9">
        <v>0.33333333333333331</v>
      </c>
      <c r="C42" s="2">
        <v>9085.5</v>
      </c>
      <c r="D42" s="2">
        <v>6.7</v>
      </c>
      <c r="E42" s="3">
        <f t="shared" si="2"/>
        <v>2.4791042083980794E-2</v>
      </c>
      <c r="F42" s="4">
        <f t="shared" si="1"/>
        <v>736.02868629256602</v>
      </c>
    </row>
    <row r="43" spans="1:6">
      <c r="A43" s="7">
        <v>43322</v>
      </c>
      <c r="B43" s="9">
        <v>0.33333333333333331</v>
      </c>
      <c r="C43" s="2">
        <v>9069.7000000000007</v>
      </c>
      <c r="D43" s="2">
        <v>6.7</v>
      </c>
      <c r="E43" s="3">
        <f t="shared" si="2"/>
        <v>2.7930604657765243E-2</v>
      </c>
      <c r="F43" s="4">
        <f t="shared" si="1"/>
        <v>736.34892167509201</v>
      </c>
    </row>
    <row r="44" spans="1:6">
      <c r="A44" s="7">
        <v>43332</v>
      </c>
      <c r="B44" s="9">
        <v>0.33333333333333331</v>
      </c>
      <c r="C44" s="2">
        <v>9078.9</v>
      </c>
      <c r="D44" s="2">
        <v>7.1</v>
      </c>
      <c r="E44" s="3">
        <f t="shared" si="2"/>
        <v>2.7480290128201884E-2</v>
      </c>
      <c r="F44" s="4">
        <f t="shared" si="1"/>
        <v>736.30298959307663</v>
      </c>
    </row>
    <row r="45" spans="1:6">
      <c r="A45" s="7">
        <v>43342</v>
      </c>
      <c r="B45" s="9">
        <v>0.33333333333333331</v>
      </c>
      <c r="C45" s="2">
        <v>9076.2000000000007</v>
      </c>
      <c r="D45" s="2">
        <v>7</v>
      </c>
      <c r="E45" s="3">
        <f t="shared" si="2"/>
        <v>2.7672350276212038E-2</v>
      </c>
      <c r="F45" s="4">
        <f t="shared" si="1"/>
        <v>736.32257972817365</v>
      </c>
    </row>
    <row r="46" spans="1:6">
      <c r="A46" s="7">
        <v>43353</v>
      </c>
      <c r="B46" s="9">
        <v>0.33333333333333331</v>
      </c>
      <c r="C46" s="2">
        <v>9071.6</v>
      </c>
      <c r="D46" s="2">
        <v>6.7</v>
      </c>
      <c r="E46" s="3">
        <f t="shared" si="2"/>
        <v>2.7553060407845817E-2</v>
      </c>
      <c r="F46" s="4">
        <f t="shared" si="1"/>
        <v>736.31041216160031</v>
      </c>
    </row>
    <row r="47" spans="1:6">
      <c r="A47" s="7">
        <v>43363</v>
      </c>
      <c r="B47" s="9">
        <v>0.33333333333333331</v>
      </c>
      <c r="C47" s="2">
        <v>9060.9</v>
      </c>
      <c r="D47" s="2">
        <v>6.8</v>
      </c>
      <c r="E47" s="3">
        <f t="shared" si="2"/>
        <v>3.0023684885320354E-2</v>
      </c>
      <c r="F47" s="4">
        <f t="shared" si="1"/>
        <v>736.56241585830264</v>
      </c>
    </row>
    <row r="48" spans="1:6">
      <c r="A48" s="7">
        <v>43373</v>
      </c>
      <c r="B48" s="9">
        <v>0.33333333333333331</v>
      </c>
      <c r="C48" s="2">
        <v>9075.4</v>
      </c>
      <c r="D48" s="2">
        <v>6.6</v>
      </c>
      <c r="E48" s="3">
        <f t="shared" si="2"/>
        <v>2.6453526078661901E-2</v>
      </c>
      <c r="F48" s="4">
        <f t="shared" si="1"/>
        <v>736.1982596600235</v>
      </c>
    </row>
    <row r="49" spans="1:6">
      <c r="A49" s="7">
        <v>43383</v>
      </c>
      <c r="B49" s="9">
        <v>0.33333333333333331</v>
      </c>
      <c r="C49" s="2">
        <v>9076.7000000000007</v>
      </c>
      <c r="D49" s="2">
        <v>6.6</v>
      </c>
      <c r="E49" s="3">
        <f t="shared" si="2"/>
        <v>2.6195207346814894E-2</v>
      </c>
      <c r="F49" s="4">
        <f t="shared" si="1"/>
        <v>736.17191114937509</v>
      </c>
    </row>
    <row r="50" spans="1:6">
      <c r="A50" s="7">
        <v>43393</v>
      </c>
      <c r="B50" s="9">
        <v>0.33333333333333331</v>
      </c>
      <c r="C50" s="2">
        <v>9079.2999999999993</v>
      </c>
      <c r="D50" s="2">
        <v>6.4</v>
      </c>
      <c r="E50" s="3">
        <f t="shared" ref="E50:E61" si="3">($B$2*C50^2+$B$3*C50+$B$4)-$B$5*D50-$E$7</f>
        <v>2.4989675818414048E-2</v>
      </c>
      <c r="F50" s="4">
        <f t="shared" ref="F50:F61" si="4">$D$1+102*E50</f>
        <v>736.04894693347819</v>
      </c>
    </row>
    <row r="51" spans="1:6">
      <c r="A51" s="7">
        <v>43605</v>
      </c>
      <c r="B51" s="1">
        <v>0.33333333333333331</v>
      </c>
      <c r="C51" s="2">
        <v>9114.2999999999993</v>
      </c>
      <c r="D51" s="2">
        <v>6.5</v>
      </c>
      <c r="E51" s="3">
        <f t="shared" si="3"/>
        <v>1.8379493456955831E-2</v>
      </c>
      <c r="F51" s="4">
        <f t="shared" si="4"/>
        <v>735.37470833260954</v>
      </c>
    </row>
    <row r="52" spans="1:6">
      <c r="A52" s="7">
        <v>43615</v>
      </c>
      <c r="B52" s="1">
        <v>0.33333333333333331</v>
      </c>
      <c r="C52" s="2">
        <v>9096</v>
      </c>
      <c r="D52" s="2">
        <v>6.3</v>
      </c>
      <c r="E52" s="3">
        <f t="shared" si="3"/>
        <v>2.1326854342626878E-2</v>
      </c>
      <c r="F52" s="4">
        <f t="shared" si="4"/>
        <v>735.67533914294791</v>
      </c>
    </row>
    <row r="53" spans="1:6">
      <c r="A53" s="7">
        <v>43626</v>
      </c>
      <c r="B53" s="1">
        <v>0.33333333333333331</v>
      </c>
      <c r="C53" s="2">
        <v>9098.2999999999993</v>
      </c>
      <c r="D53" s="2">
        <v>6.5</v>
      </c>
      <c r="E53" s="3">
        <f t="shared" si="3"/>
        <v>2.155873073219311E-2</v>
      </c>
      <c r="F53" s="4">
        <f t="shared" si="4"/>
        <v>735.69899053468373</v>
      </c>
    </row>
    <row r="54" spans="1:6">
      <c r="A54" s="7">
        <v>43636</v>
      </c>
      <c r="B54" s="1">
        <v>0.33333333333333331</v>
      </c>
      <c r="C54" s="2">
        <v>9101.7000000000007</v>
      </c>
      <c r="D54" s="2">
        <v>6.7</v>
      </c>
      <c r="E54" s="3">
        <f t="shared" si="3"/>
        <v>2.157203450470084E-2</v>
      </c>
      <c r="F54" s="4">
        <f t="shared" si="4"/>
        <v>735.70034751947946</v>
      </c>
    </row>
    <row r="55" spans="1:6">
      <c r="A55" s="7">
        <v>43646</v>
      </c>
      <c r="B55" s="1">
        <v>0.33333333333333331</v>
      </c>
      <c r="C55" s="2">
        <v>9095.2999999999993</v>
      </c>
      <c r="D55" s="2">
        <v>6.4</v>
      </c>
      <c r="E55" s="3">
        <f t="shared" si="3"/>
        <v>2.1810394454603976E-2</v>
      </c>
      <c r="F55" s="4">
        <f t="shared" si="4"/>
        <v>735.72466023436959</v>
      </c>
    </row>
    <row r="56" spans="1:6">
      <c r="A56" s="7">
        <v>43656</v>
      </c>
      <c r="B56" s="1">
        <v>0.33333333333333331</v>
      </c>
      <c r="C56" s="2">
        <v>9087.2999999999993</v>
      </c>
      <c r="D56" s="2">
        <v>6.4</v>
      </c>
      <c r="E56" s="3">
        <f t="shared" si="3"/>
        <v>2.3400030495606572E-2</v>
      </c>
      <c r="F56" s="4">
        <f t="shared" si="4"/>
        <v>735.88680311055191</v>
      </c>
    </row>
    <row r="57" spans="1:6">
      <c r="A57" s="7">
        <v>43666</v>
      </c>
      <c r="B57" s="1">
        <v>0.33333333333333331</v>
      </c>
      <c r="C57" s="2">
        <v>9082.5</v>
      </c>
      <c r="D57" s="2">
        <v>6.2</v>
      </c>
      <c r="E57" s="3">
        <f t="shared" si="3"/>
        <v>2.3664921775474412E-2</v>
      </c>
      <c r="F57" s="4">
        <f t="shared" si="4"/>
        <v>735.91382202109844</v>
      </c>
    </row>
    <row r="58" spans="1:6">
      <c r="A58" s="7">
        <v>43676</v>
      </c>
      <c r="B58" s="1">
        <v>0.33333333333333331</v>
      </c>
      <c r="C58" s="2">
        <v>9073.1</v>
      </c>
      <c r="D58" s="2">
        <v>6.1</v>
      </c>
      <c r="E58" s="3">
        <f t="shared" si="3"/>
        <v>2.5188315127730954E-2</v>
      </c>
      <c r="F58" s="4">
        <f t="shared" si="4"/>
        <v>736.0692081430285</v>
      </c>
    </row>
    <row r="59" spans="1:6">
      <c r="A59" s="7">
        <v>43687</v>
      </c>
      <c r="B59" s="9">
        <v>0.33333333333333331</v>
      </c>
      <c r="C59" s="2">
        <v>9061.7000000000007</v>
      </c>
      <c r="D59" s="2">
        <v>6.1</v>
      </c>
      <c r="E59" s="3">
        <f t="shared" si="3"/>
        <v>2.7453586000543317E-2</v>
      </c>
      <c r="F59" s="4">
        <f t="shared" si="4"/>
        <v>736.30026577205547</v>
      </c>
    </row>
    <row r="60" spans="1:6">
      <c r="A60" s="7">
        <v>43697</v>
      </c>
      <c r="B60" s="1">
        <v>0.33333333333333331</v>
      </c>
      <c r="C60" s="2">
        <v>9046.2999999999993</v>
      </c>
      <c r="D60" s="2">
        <v>6.2</v>
      </c>
      <c r="E60" s="3">
        <f t="shared" si="3"/>
        <v>3.0858166086572214E-2</v>
      </c>
      <c r="F60" s="4">
        <f t="shared" si="4"/>
        <v>736.64753294083039</v>
      </c>
    </row>
    <row r="61" spans="1:6">
      <c r="A61" s="7">
        <v>43707</v>
      </c>
      <c r="B61" s="9">
        <v>0.33333333333333331</v>
      </c>
      <c r="C61" s="2">
        <v>9025.9</v>
      </c>
      <c r="D61" s="2">
        <v>6.2</v>
      </c>
      <c r="E61" s="3">
        <f t="shared" si="3"/>
        <v>3.4911901304484849E-2</v>
      </c>
      <c r="F61" s="4">
        <f t="shared" si="4"/>
        <v>737.06101393305744</v>
      </c>
    </row>
    <row r="62" spans="1:6">
      <c r="B62" s="9"/>
    </row>
    <row r="63" spans="1:6">
      <c r="B63" s="9"/>
    </row>
    <row r="64" spans="1:6">
      <c r="B64" s="9"/>
    </row>
    <row r="65" spans="2:2">
      <c r="B65" s="9"/>
    </row>
    <row r="66" spans="2:2">
      <c r="B66" s="9"/>
    </row>
    <row r="67" spans="2:2">
      <c r="B67" s="9"/>
    </row>
    <row r="68" spans="2:2">
      <c r="B68" s="9"/>
    </row>
    <row r="69" spans="2:2">
      <c r="B69" s="9"/>
    </row>
    <row r="70" spans="2:2">
      <c r="B70" s="9"/>
    </row>
    <row r="71" spans="2:2">
      <c r="B71" s="9"/>
    </row>
    <row r="72" spans="2:2">
      <c r="B72" s="9"/>
    </row>
    <row r="73" spans="2:2">
      <c r="B73" s="9"/>
    </row>
    <row r="74" spans="2:2">
      <c r="B74" s="9"/>
    </row>
    <row r="75" spans="2:2">
      <c r="B75" s="9"/>
    </row>
    <row r="76" spans="2:2">
      <c r="B76" s="9"/>
    </row>
    <row r="77" spans="2:2">
      <c r="B77" s="9"/>
    </row>
    <row r="78" spans="2:2">
      <c r="B78" s="9"/>
    </row>
    <row r="79" spans="2:2">
      <c r="B79" s="9"/>
    </row>
    <row r="80" spans="2:2">
      <c r="B80" s="9"/>
    </row>
    <row r="81" spans="2:2">
      <c r="B81" s="9"/>
    </row>
    <row r="82" spans="2:2">
      <c r="B82" s="9"/>
    </row>
    <row r="83" spans="2:2">
      <c r="B83" s="9"/>
    </row>
    <row r="84" spans="2:2">
      <c r="B84" s="9"/>
    </row>
    <row r="85" spans="2:2">
      <c r="B85" s="9"/>
    </row>
    <row r="86" spans="2:2">
      <c r="B86" s="9"/>
    </row>
    <row r="87" spans="2:2">
      <c r="B87" s="9"/>
    </row>
    <row r="88" spans="2:2">
      <c r="B88" s="9"/>
    </row>
    <row r="89" spans="2:2">
      <c r="B89" s="9"/>
    </row>
    <row r="90" spans="2:2">
      <c r="B90" s="9"/>
    </row>
    <row r="91" spans="2:2">
      <c r="B91" s="9"/>
    </row>
    <row r="92" spans="2:2">
      <c r="B92" s="9"/>
    </row>
    <row r="93" spans="2:2">
      <c r="B93" s="9"/>
    </row>
    <row r="94" spans="2:2">
      <c r="B94" s="9"/>
    </row>
    <row r="95" spans="2:2">
      <c r="B95" s="9"/>
    </row>
    <row r="96" spans="2:2">
      <c r="B96" s="9"/>
    </row>
    <row r="97" spans="2:2">
      <c r="B97" s="9"/>
    </row>
    <row r="98" spans="2:2">
      <c r="B98" s="9"/>
    </row>
    <row r="99" spans="2:2">
      <c r="B99" s="9"/>
    </row>
    <row r="100" spans="2:2">
      <c r="B100" s="9"/>
    </row>
    <row r="101" spans="2:2">
      <c r="B101" s="9"/>
    </row>
    <row r="102" spans="2:2">
      <c r="B102" s="9"/>
    </row>
    <row r="103" spans="2:2">
      <c r="B103" s="9"/>
    </row>
    <row r="104" spans="2:2">
      <c r="B104" s="9"/>
    </row>
    <row r="105" spans="2:2">
      <c r="B105" s="9"/>
    </row>
    <row r="106" spans="2:2">
      <c r="B106" s="9"/>
    </row>
    <row r="107" spans="2:2">
      <c r="B107" s="9"/>
    </row>
    <row r="108" spans="2:2">
      <c r="B108" s="9"/>
    </row>
    <row r="109" spans="2:2">
      <c r="B109" s="9"/>
    </row>
    <row r="110" spans="2:2">
      <c r="B110" s="9"/>
    </row>
    <row r="111" spans="2:2">
      <c r="B111" s="9"/>
    </row>
    <row r="112" spans="2:2">
      <c r="B112" s="9"/>
    </row>
    <row r="113" spans="2:2">
      <c r="B113" s="9"/>
    </row>
    <row r="114" spans="2:2">
      <c r="B114" s="9"/>
    </row>
    <row r="115" spans="2:2">
      <c r="B115" s="9"/>
    </row>
    <row r="116" spans="2:2">
      <c r="B116" s="9"/>
    </row>
    <row r="117" spans="2:2">
      <c r="B117" s="9"/>
    </row>
    <row r="118" spans="2:2">
      <c r="B118" s="9"/>
    </row>
    <row r="119" spans="2:2">
      <c r="B119" s="9"/>
    </row>
    <row r="120" spans="2:2">
      <c r="B120" s="9"/>
    </row>
    <row r="121" spans="2:2">
      <c r="B121" s="9"/>
    </row>
    <row r="122" spans="2:2">
      <c r="B122" s="9"/>
    </row>
    <row r="123" spans="2:2">
      <c r="B123" s="9"/>
    </row>
    <row r="124" spans="2:2">
      <c r="B124" s="9"/>
    </row>
    <row r="125" spans="2:2">
      <c r="B125" s="9"/>
    </row>
    <row r="126" spans="2:2">
      <c r="B126" s="9"/>
    </row>
    <row r="127" spans="2:2">
      <c r="B127" s="9"/>
    </row>
    <row r="128" spans="2:2">
      <c r="B128" s="9"/>
    </row>
    <row r="129" spans="2:2">
      <c r="B129" s="9"/>
    </row>
    <row r="130" spans="2:2">
      <c r="B130" s="9"/>
    </row>
    <row r="131" spans="2:2">
      <c r="B131" s="9"/>
    </row>
    <row r="132" spans="2:2">
      <c r="B132" s="9"/>
    </row>
    <row r="133" spans="2:2">
      <c r="B133" s="9"/>
    </row>
    <row r="134" spans="2:2">
      <c r="B134" s="9"/>
    </row>
    <row r="135" spans="2:2">
      <c r="B135" s="9"/>
    </row>
    <row r="136" spans="2:2">
      <c r="B136" s="9"/>
    </row>
    <row r="137" spans="2:2">
      <c r="B137" s="9"/>
    </row>
    <row r="138" spans="2:2">
      <c r="B138" s="9"/>
    </row>
    <row r="139" spans="2:2">
      <c r="B139" s="9"/>
    </row>
    <row r="140" spans="2:2">
      <c r="B140" s="9"/>
    </row>
    <row r="141" spans="2:2">
      <c r="B141" s="9"/>
    </row>
    <row r="142" spans="2:2">
      <c r="B142" s="9"/>
    </row>
    <row r="143" spans="2:2">
      <c r="B143" s="9"/>
    </row>
    <row r="144" spans="2:2">
      <c r="B144" s="9"/>
    </row>
    <row r="145" spans="2:2">
      <c r="B145" s="9"/>
    </row>
    <row r="146" spans="2:2">
      <c r="B146" s="9"/>
    </row>
    <row r="147" spans="2:2">
      <c r="B147" s="9"/>
    </row>
    <row r="148" spans="2:2">
      <c r="B148" s="9"/>
    </row>
    <row r="149" spans="2:2">
      <c r="B149" s="9"/>
    </row>
    <row r="150" spans="2:2">
      <c r="B150" s="9"/>
    </row>
    <row r="151" spans="2:2">
      <c r="B151" s="9"/>
    </row>
    <row r="152" spans="2:2">
      <c r="B152" s="9"/>
    </row>
    <row r="153" spans="2:2">
      <c r="B153" s="9"/>
    </row>
    <row r="154" spans="2:2">
      <c r="B154" s="9"/>
    </row>
    <row r="155" spans="2:2">
      <c r="B155" s="9"/>
    </row>
    <row r="156" spans="2:2">
      <c r="B156" s="9"/>
    </row>
    <row r="157" spans="2:2">
      <c r="B157" s="9"/>
    </row>
    <row r="158" spans="2:2">
      <c r="B158" s="9"/>
    </row>
    <row r="159" spans="2:2">
      <c r="B159" s="9"/>
    </row>
    <row r="160" spans="2:2">
      <c r="B160" s="9"/>
    </row>
    <row r="161" spans="2:2">
      <c r="B161" s="9"/>
    </row>
    <row r="162" spans="2:2">
      <c r="B162" s="9"/>
    </row>
    <row r="163" spans="2:2">
      <c r="B163" s="9"/>
    </row>
    <row r="164" spans="2:2">
      <c r="B164" s="9"/>
    </row>
    <row r="165" spans="2:2">
      <c r="B165" s="9"/>
    </row>
    <row r="166" spans="2:2">
      <c r="B166" s="9"/>
    </row>
    <row r="167" spans="2:2">
      <c r="B167" s="9"/>
    </row>
    <row r="168" spans="2:2">
      <c r="B168" s="9"/>
    </row>
    <row r="169" spans="2:2">
      <c r="B169" s="9"/>
    </row>
    <row r="170" spans="2:2">
      <c r="B170" s="9"/>
    </row>
    <row r="171" spans="2:2">
      <c r="B171" s="9"/>
    </row>
    <row r="172" spans="2:2">
      <c r="B172" s="9"/>
    </row>
    <row r="173" spans="2:2">
      <c r="B173" s="9"/>
    </row>
    <row r="174" spans="2:2">
      <c r="B174" s="9"/>
    </row>
    <row r="175" spans="2:2">
      <c r="B175" s="9"/>
    </row>
    <row r="176" spans="2:2">
      <c r="B176" s="9"/>
    </row>
  </sheetData>
  <phoneticPr fontId="4" type="noConversion"/>
  <pageMargins left="0.69930555555555596" right="0.69930555555555596" top="0.75" bottom="0.75" header="0.3" footer="0.3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"/>
  <sheetViews>
    <sheetView topLeftCell="A34" workbookViewId="0">
      <selection activeCell="A53" sqref="A53:B55"/>
    </sheetView>
  </sheetViews>
  <sheetFormatPr defaultColWidth="9" defaultRowHeight="13.5"/>
  <cols>
    <col min="1" max="1" width="11.125" customWidth="1"/>
    <col min="2" max="2" width="13.875" customWidth="1"/>
  </cols>
  <sheetData>
    <row r="1" spans="1:7">
      <c r="A1" t="s">
        <v>0</v>
      </c>
      <c r="B1">
        <v>50376</v>
      </c>
      <c r="C1" t="s">
        <v>1</v>
      </c>
      <c r="D1">
        <v>750</v>
      </c>
    </row>
    <row r="2" spans="1:7">
      <c r="A2" t="s">
        <v>2</v>
      </c>
      <c r="B2" s="10">
        <v>5.9939599999999998E-10</v>
      </c>
    </row>
    <row r="3" spans="1:7">
      <c r="A3" t="s">
        <v>3</v>
      </c>
      <c r="B3">
        <v>-8.5122000000000003E-5</v>
      </c>
    </row>
    <row r="4" spans="1:7">
      <c r="A4" t="s">
        <v>4</v>
      </c>
      <c r="B4">
        <v>0.69826615000000003</v>
      </c>
    </row>
    <row r="5" spans="1:7">
      <c r="A5" t="s">
        <v>5</v>
      </c>
      <c r="B5">
        <v>-1.045652E-3</v>
      </c>
    </row>
    <row r="6" spans="1:7">
      <c r="A6" t="s">
        <v>6</v>
      </c>
      <c r="B6" t="s">
        <v>7</v>
      </c>
      <c r="C6" t="s">
        <v>8</v>
      </c>
      <c r="D6" t="s">
        <v>9</v>
      </c>
      <c r="E6" t="s">
        <v>10</v>
      </c>
      <c r="F6" t="s">
        <v>11</v>
      </c>
      <c r="G6" t="s">
        <v>12</v>
      </c>
    </row>
    <row r="7" spans="1:7">
      <c r="A7" s="6">
        <v>42888</v>
      </c>
      <c r="B7" s="1">
        <v>0.5625</v>
      </c>
      <c r="C7" s="2">
        <v>8739.4</v>
      </c>
      <c r="D7" s="2">
        <v>16.8</v>
      </c>
      <c r="E7" s="3">
        <f>($B$2*C7^2+$B$3*C7+$B$4)-$B$5*D7</f>
        <v>1.7698032440134525E-2</v>
      </c>
      <c r="G7" t="s">
        <v>13</v>
      </c>
    </row>
    <row r="8" spans="1:7">
      <c r="A8" s="7">
        <v>42888</v>
      </c>
      <c r="B8" s="16">
        <v>0.60416666666666663</v>
      </c>
      <c r="C8" s="2">
        <v>8646.7000000000007</v>
      </c>
      <c r="D8" s="2">
        <v>16</v>
      </c>
      <c r="E8" s="3">
        <f t="shared" ref="E8:E37" si="0">($B$2*C8^2+$B$3*C8+$B$4)-$B$5*D8-$E$7</f>
        <v>6.0882463796479158E-3</v>
      </c>
      <c r="F8" s="4">
        <f>$D$1+102*E8</f>
        <v>750.62100113072404</v>
      </c>
      <c r="G8" s="5" t="s">
        <v>14</v>
      </c>
    </row>
    <row r="9" spans="1:7">
      <c r="A9" s="7">
        <v>42889</v>
      </c>
      <c r="B9" s="16">
        <v>0.33333333333333331</v>
      </c>
      <c r="C9" s="2">
        <v>8494.7999999999993</v>
      </c>
      <c r="D9" s="2">
        <v>11.8</v>
      </c>
      <c r="E9" s="3">
        <f t="shared" si="0"/>
        <v>1.306583616113342E-2</v>
      </c>
      <c r="F9" s="4">
        <f t="shared" ref="F9:F37" si="1">$D$1+102*E9</f>
        <v>751.33271528843557</v>
      </c>
    </row>
    <row r="10" spans="1:7">
      <c r="A10" s="7">
        <v>42890</v>
      </c>
      <c r="B10" s="16">
        <v>0.33333333333333331</v>
      </c>
      <c r="C10" s="2">
        <v>8595.6</v>
      </c>
      <c r="D10" s="2">
        <v>12.4</v>
      </c>
      <c r="E10" s="3">
        <f t="shared" si="0"/>
        <v>6.145516634892035E-3</v>
      </c>
      <c r="F10" s="4">
        <f t="shared" si="1"/>
        <v>750.62684269675901</v>
      </c>
    </row>
    <row r="11" spans="1:7">
      <c r="A11" s="7">
        <v>42891</v>
      </c>
      <c r="B11" s="16">
        <v>0.33333333333333331</v>
      </c>
      <c r="C11" s="2">
        <v>8598.2999999999993</v>
      </c>
      <c r="D11" s="2">
        <v>12.9</v>
      </c>
      <c r="E11" s="3">
        <f t="shared" si="0"/>
        <v>6.4663393130799524E-3</v>
      </c>
      <c r="F11" s="4">
        <f t="shared" si="1"/>
        <v>750.65956660993413</v>
      </c>
    </row>
    <row r="12" spans="1:7">
      <c r="A12" s="7">
        <v>42892</v>
      </c>
      <c r="B12" s="16">
        <v>0.33333333333333331</v>
      </c>
      <c r="C12" s="2">
        <v>8605.6</v>
      </c>
      <c r="D12" s="2">
        <v>13.5</v>
      </c>
      <c r="E12" s="3">
        <f t="shared" si="0"/>
        <v>6.547617139644045E-3</v>
      </c>
      <c r="F12" s="4">
        <f t="shared" si="1"/>
        <v>750.66785694824364</v>
      </c>
    </row>
    <row r="13" spans="1:7">
      <c r="A13" s="7">
        <v>42893</v>
      </c>
      <c r="B13" s="16">
        <v>0.33333333333333331</v>
      </c>
      <c r="C13" s="2">
        <v>8614.7999999999993</v>
      </c>
      <c r="D13" s="2">
        <v>14.2</v>
      </c>
      <c r="E13" s="3">
        <f t="shared" si="0"/>
        <v>6.5914120573252848E-3</v>
      </c>
      <c r="F13" s="4">
        <f t="shared" si="1"/>
        <v>750.67232402984723</v>
      </c>
    </row>
    <row r="14" spans="1:7">
      <c r="A14" s="7">
        <v>42894</v>
      </c>
      <c r="B14" s="16">
        <v>0.33333333333333331</v>
      </c>
      <c r="C14" s="2">
        <v>8621.4</v>
      </c>
      <c r="D14" s="2">
        <v>15</v>
      </c>
      <c r="E14" s="3">
        <f t="shared" si="0"/>
        <v>6.9343150989376948E-3</v>
      </c>
      <c r="F14" s="4">
        <f t="shared" si="1"/>
        <v>750.70730014009166</v>
      </c>
    </row>
    <row r="15" spans="1:7">
      <c r="A15" s="7">
        <v>42896</v>
      </c>
      <c r="B15" s="9">
        <v>0.33333333333333331</v>
      </c>
      <c r="C15" s="2">
        <v>8636</v>
      </c>
      <c r="D15" s="2">
        <v>15.9</v>
      </c>
      <c r="E15" s="3">
        <f t="shared" si="0"/>
        <v>6.7836433402814096E-3</v>
      </c>
      <c r="F15" s="4">
        <f t="shared" si="1"/>
        <v>750.69193162070871</v>
      </c>
    </row>
    <row r="16" spans="1:7">
      <c r="A16" s="7">
        <v>42906</v>
      </c>
      <c r="B16" s="9">
        <v>0.33333333333333331</v>
      </c>
      <c r="C16" s="2">
        <v>8648.7000000000007</v>
      </c>
      <c r="D16" s="2">
        <v>16.899999999999999</v>
      </c>
      <c r="E16" s="3">
        <f t="shared" si="0"/>
        <v>6.8798227668046344E-3</v>
      </c>
      <c r="F16" s="4">
        <f t="shared" si="1"/>
        <v>750.70174192221407</v>
      </c>
    </row>
    <row r="17" spans="1:7">
      <c r="A17" s="7">
        <v>42916</v>
      </c>
      <c r="B17" s="1">
        <v>0.33333333333333331</v>
      </c>
      <c r="C17" s="2">
        <v>8656.7000000000007</v>
      </c>
      <c r="D17" s="2">
        <v>17.399999999999999</v>
      </c>
      <c r="E17" s="3">
        <f t="shared" si="0"/>
        <v>6.8046550671119234E-3</v>
      </c>
      <c r="F17" s="4">
        <f t="shared" si="1"/>
        <v>750.69407481684539</v>
      </c>
    </row>
    <row r="18" spans="1:7">
      <c r="A18" s="7">
        <v>42926</v>
      </c>
      <c r="B18" s="9">
        <v>0.33333333333333331</v>
      </c>
      <c r="C18" s="2">
        <v>8673.7999999999993</v>
      </c>
      <c r="D18" s="2">
        <v>17.2</v>
      </c>
      <c r="E18" s="3">
        <f t="shared" si="0"/>
        <v>5.3175704007757778E-3</v>
      </c>
      <c r="F18" s="4">
        <f t="shared" si="1"/>
        <v>750.54239218087912</v>
      </c>
    </row>
    <row r="19" spans="1:7">
      <c r="A19" s="7">
        <v>42936</v>
      </c>
      <c r="B19" s="1">
        <v>0.33333333333333331</v>
      </c>
      <c r="C19" s="2">
        <v>8656.7000000000007</v>
      </c>
      <c r="D19" s="2">
        <v>17.100000000000001</v>
      </c>
      <c r="E19" s="3">
        <f t="shared" si="0"/>
        <v>6.4909594671119265E-3</v>
      </c>
      <c r="F19" s="4">
        <f t="shared" si="1"/>
        <v>750.66207786564541</v>
      </c>
    </row>
    <row r="20" spans="1:7">
      <c r="A20" s="7">
        <v>42946</v>
      </c>
      <c r="B20" s="1">
        <v>0.33333333333333331</v>
      </c>
      <c r="C20" s="2">
        <v>8659.4</v>
      </c>
      <c r="D20" s="2">
        <v>17</v>
      </c>
      <c r="E20" s="3">
        <f t="shared" si="0"/>
        <v>6.1845887100160021E-3</v>
      </c>
      <c r="F20" s="4">
        <f t="shared" si="1"/>
        <v>750.63082804842168</v>
      </c>
    </row>
    <row r="21" spans="1:7">
      <c r="A21" s="7">
        <v>42957</v>
      </c>
      <c r="B21" s="1">
        <v>0.33333333333333331</v>
      </c>
      <c r="C21" s="2">
        <v>8651.1</v>
      </c>
      <c r="D21" s="2">
        <v>17</v>
      </c>
      <c r="E21" s="3">
        <f t="shared" si="0"/>
        <v>6.8049818010145965E-3</v>
      </c>
      <c r="F21" s="4">
        <f t="shared" si="1"/>
        <v>750.69410814370349</v>
      </c>
    </row>
    <row r="22" spans="1:7">
      <c r="A22" s="7">
        <v>42967</v>
      </c>
      <c r="B22" s="1">
        <v>0.33333333333333331</v>
      </c>
      <c r="C22" s="2">
        <v>8662.1</v>
      </c>
      <c r="D22" s="2">
        <v>17.100000000000001</v>
      </c>
      <c r="E22" s="3">
        <f t="shared" si="0"/>
        <v>6.08735709211378E-3</v>
      </c>
      <c r="F22" s="4">
        <f t="shared" si="1"/>
        <v>750.62091042339557</v>
      </c>
    </row>
    <row r="23" spans="1:7">
      <c r="A23" s="7">
        <v>42977</v>
      </c>
      <c r="B23" s="1">
        <v>0.33333333333333331</v>
      </c>
      <c r="C23" s="2">
        <v>8668.1</v>
      </c>
      <c r="D23" s="2">
        <v>19.100000000000001</v>
      </c>
      <c r="E23" s="3">
        <f t="shared" si="0"/>
        <v>7.7302550074690862E-3</v>
      </c>
      <c r="F23" s="4">
        <f t="shared" si="1"/>
        <v>750.78848601076186</v>
      </c>
    </row>
    <row r="24" spans="1:7">
      <c r="A24" s="7">
        <v>42988</v>
      </c>
      <c r="B24" s="1">
        <v>0.33333333333333331</v>
      </c>
      <c r="C24" s="2">
        <v>8652.7999999999993</v>
      </c>
      <c r="D24" s="2">
        <v>18.100000000000001</v>
      </c>
      <c r="E24" s="3">
        <f t="shared" si="0"/>
        <v>7.8281238113702099E-3</v>
      </c>
      <c r="F24" s="4">
        <f t="shared" si="1"/>
        <v>750.79846862875979</v>
      </c>
      <c r="G24" s="2"/>
    </row>
    <row r="25" spans="1:7">
      <c r="A25" s="7">
        <v>42998</v>
      </c>
      <c r="B25" s="1">
        <v>0.33333333333333331</v>
      </c>
      <c r="C25" s="2">
        <v>8662.2000000000007</v>
      </c>
      <c r="D25" s="2">
        <v>17.5</v>
      </c>
      <c r="E25" s="3">
        <f t="shared" si="0"/>
        <v>6.4981441037261674E-3</v>
      </c>
      <c r="F25" s="4">
        <f t="shared" si="1"/>
        <v>750.66281069858007</v>
      </c>
      <c r="G25" s="2"/>
    </row>
    <row r="26" spans="1:7">
      <c r="A26" s="7">
        <v>43008</v>
      </c>
      <c r="B26" s="1">
        <v>0.33333333333333331</v>
      </c>
      <c r="C26" s="2">
        <v>8667.4</v>
      </c>
      <c r="D26" s="2">
        <v>17.2</v>
      </c>
      <c r="E26" s="3">
        <f t="shared" si="0"/>
        <v>5.7958280269185085E-3</v>
      </c>
      <c r="F26" s="4">
        <f t="shared" si="1"/>
        <v>750.59117445874574</v>
      </c>
      <c r="G26" s="2"/>
    </row>
    <row r="27" spans="1:7">
      <c r="A27" s="6">
        <v>43018</v>
      </c>
      <c r="B27" s="1">
        <v>0.33333333333333331</v>
      </c>
      <c r="C27" s="2">
        <v>8649.7000000000007</v>
      </c>
      <c r="D27" s="2">
        <v>16.7</v>
      </c>
      <c r="E27" s="3">
        <f t="shared" si="0"/>
        <v>6.5959389585710411E-3</v>
      </c>
      <c r="F27" s="4">
        <f t="shared" si="1"/>
        <v>750.67278577377419</v>
      </c>
      <c r="G27" s="2"/>
    </row>
    <row r="28" spans="1:7">
      <c r="A28" s="7">
        <v>43230</v>
      </c>
      <c r="B28" s="1">
        <v>0.33333333333333331</v>
      </c>
      <c r="C28" s="2">
        <v>8545.7999999999993</v>
      </c>
      <c r="D28" s="2">
        <v>7.7</v>
      </c>
      <c r="E28" s="3">
        <f t="shared" si="0"/>
        <v>4.9583584024909567E-3</v>
      </c>
      <c r="F28" s="4">
        <f t="shared" si="1"/>
        <v>750.50575255705405</v>
      </c>
    </row>
    <row r="29" spans="1:7">
      <c r="A29" s="7">
        <v>43240</v>
      </c>
      <c r="B29" s="1">
        <v>0.33333333333333331</v>
      </c>
      <c r="C29" s="2">
        <v>8540</v>
      </c>
      <c r="D29" s="2">
        <v>7.5</v>
      </c>
      <c r="E29" s="3">
        <f t="shared" si="0"/>
        <v>5.1835368734654656E-3</v>
      </c>
      <c r="F29" s="4">
        <f t="shared" si="1"/>
        <v>750.5287207610935</v>
      </c>
    </row>
    <row r="30" spans="1:7">
      <c r="A30" s="7">
        <v>43250</v>
      </c>
      <c r="B30" s="1">
        <v>0.33333333333333331</v>
      </c>
      <c r="C30" s="2">
        <v>8532.1</v>
      </c>
      <c r="D30" s="2">
        <v>7.3</v>
      </c>
      <c r="E30" s="3">
        <f t="shared" si="0"/>
        <v>5.5660299806977662E-3</v>
      </c>
      <c r="F30" s="4">
        <f t="shared" si="1"/>
        <v>750.56773505803119</v>
      </c>
    </row>
    <row r="31" spans="1:7">
      <c r="A31" s="7">
        <v>43261</v>
      </c>
      <c r="B31" s="1">
        <v>0.33333333333333331</v>
      </c>
      <c r="C31" s="2">
        <v>8539.2000000000007</v>
      </c>
      <c r="D31" s="2">
        <v>7</v>
      </c>
      <c r="E31" s="3">
        <f t="shared" si="0"/>
        <v>4.7206187101348947E-3</v>
      </c>
      <c r="F31" s="4">
        <f t="shared" si="1"/>
        <v>750.4815031084338</v>
      </c>
    </row>
    <row r="32" spans="1:7">
      <c r="A32" s="7">
        <v>43271</v>
      </c>
      <c r="B32" s="1">
        <v>0.33333333333333331</v>
      </c>
      <c r="C32" s="2">
        <v>8540.1</v>
      </c>
      <c r="D32" s="2">
        <v>6.9</v>
      </c>
      <c r="E32" s="3">
        <f t="shared" si="0"/>
        <v>4.5486572478274437E-3</v>
      </c>
      <c r="F32" s="4">
        <f t="shared" si="1"/>
        <v>750.46396303927838</v>
      </c>
    </row>
    <row r="33" spans="1:6">
      <c r="A33" s="7">
        <v>43281</v>
      </c>
      <c r="B33" s="1">
        <v>0.33333333333333331</v>
      </c>
      <c r="C33" s="2">
        <v>8536.2000000000007</v>
      </c>
      <c r="D33" s="2">
        <v>6.9</v>
      </c>
      <c r="E33" s="3">
        <f t="shared" si="0"/>
        <v>4.8407147307595946E-3</v>
      </c>
      <c r="F33" s="4">
        <f t="shared" si="1"/>
        <v>750.49375290253749</v>
      </c>
    </row>
    <row r="34" spans="1:6">
      <c r="A34" s="7">
        <v>43291</v>
      </c>
      <c r="B34" s="1">
        <v>0.33333333333333331</v>
      </c>
      <c r="C34" s="2">
        <v>8546.7999999999993</v>
      </c>
      <c r="D34" s="2">
        <v>8.1999999999999993</v>
      </c>
      <c r="E34" s="3">
        <f t="shared" si="0"/>
        <v>5.4063076385605924E-3</v>
      </c>
      <c r="F34" s="4">
        <f t="shared" si="1"/>
        <v>750.55144337913316</v>
      </c>
    </row>
    <row r="35" spans="1:6">
      <c r="A35" s="7">
        <v>43301</v>
      </c>
      <c r="B35" s="1">
        <v>0.33333333333333331</v>
      </c>
      <c r="C35" s="2">
        <v>8538.7999999999993</v>
      </c>
      <c r="D35" s="2">
        <v>7.7</v>
      </c>
      <c r="E35" s="3">
        <f t="shared" si="0"/>
        <v>5.482529316179794E-3</v>
      </c>
      <c r="F35" s="4">
        <f t="shared" si="1"/>
        <v>750.55921799025032</v>
      </c>
    </row>
    <row r="36" spans="1:6">
      <c r="A36" s="7">
        <v>43311</v>
      </c>
      <c r="B36" s="1">
        <v>0.33333333333333331</v>
      </c>
      <c r="C36" s="2">
        <v>8542.2999999999993</v>
      </c>
      <c r="D36" s="2">
        <v>8</v>
      </c>
      <c r="E36" s="3">
        <f t="shared" si="0"/>
        <v>5.534132116734352E-3</v>
      </c>
      <c r="F36" s="4">
        <f t="shared" si="1"/>
        <v>750.56448147590686</v>
      </c>
    </row>
    <row r="37" spans="1:6">
      <c r="A37" s="7">
        <v>43322</v>
      </c>
      <c r="B37" s="1">
        <v>0.33333333333333331</v>
      </c>
      <c r="C37" s="2">
        <v>8550</v>
      </c>
      <c r="D37" s="2">
        <v>8.8000000000000007</v>
      </c>
      <c r="E37" s="3">
        <f t="shared" si="0"/>
        <v>5.7941012498655235E-3</v>
      </c>
      <c r="F37" s="4">
        <f t="shared" si="1"/>
        <v>750.59099832748632</v>
      </c>
    </row>
    <row r="38" spans="1:6">
      <c r="A38" s="7">
        <v>43332</v>
      </c>
      <c r="B38" s="1">
        <v>0.33333333333333331</v>
      </c>
      <c r="C38" s="2">
        <v>8562.9</v>
      </c>
      <c r="D38" s="2">
        <v>9</v>
      </c>
      <c r="E38" s="3">
        <f t="shared" ref="E38:E39" si="2">($B$2*C38^2+$B$3*C38+$B$4)-$B$5*D38-$E$7</f>
        <v>5.0374783589938466E-3</v>
      </c>
      <c r="F38" s="4">
        <f t="shared" ref="F38:F39" si="3">$D$1+102*E38</f>
        <v>750.51382279261736</v>
      </c>
    </row>
    <row r="39" spans="1:6">
      <c r="A39" s="7">
        <v>43342</v>
      </c>
      <c r="B39" s="1">
        <v>0.33333333333333331</v>
      </c>
      <c r="C39" s="2">
        <v>8565.2999999999993</v>
      </c>
      <c r="D39" s="2">
        <v>9.1</v>
      </c>
      <c r="E39" s="3">
        <f t="shared" si="2"/>
        <v>4.9623905379552295E-3</v>
      </c>
      <c r="F39" s="4">
        <f t="shared" si="3"/>
        <v>750.50616383487147</v>
      </c>
    </row>
    <row r="40" spans="1:6">
      <c r="A40" s="7">
        <v>43353</v>
      </c>
      <c r="B40" s="1">
        <v>0.33333333333333331</v>
      </c>
      <c r="C40" s="2">
        <v>8577</v>
      </c>
      <c r="D40" s="2">
        <v>10</v>
      </c>
      <c r="E40" s="3">
        <f t="shared" ref="E40:E43" si="4">($B$2*C40^2+$B$3*C40+$B$4)-$B$5*D40-$E$7</f>
        <v>5.0277677427494546E-3</v>
      </c>
      <c r="F40" s="4">
        <f t="shared" ref="F40:F43" si="5">$D$1+102*E40</f>
        <v>750.51283230976048</v>
      </c>
    </row>
    <row r="41" spans="1:6">
      <c r="A41" s="7">
        <v>43363</v>
      </c>
      <c r="B41" s="1">
        <v>0.33333333333333331</v>
      </c>
      <c r="C41" s="2">
        <v>8564.1</v>
      </c>
      <c r="D41" s="2">
        <v>10.4</v>
      </c>
      <c r="E41" s="3">
        <f t="shared" si="4"/>
        <v>6.411563785344139E-3</v>
      </c>
      <c r="F41" s="4">
        <f t="shared" si="5"/>
        <v>750.65397950610509</v>
      </c>
    </row>
    <row r="42" spans="1:6">
      <c r="A42" s="7">
        <v>43373</v>
      </c>
      <c r="B42" s="1">
        <v>0.33333333333333331</v>
      </c>
      <c r="C42" s="2">
        <v>8579.2000000000007</v>
      </c>
      <c r="D42" s="2">
        <v>10</v>
      </c>
      <c r="E42" s="3">
        <f t="shared" si="4"/>
        <v>4.8631227295908505E-3</v>
      </c>
      <c r="F42" s="4">
        <f t="shared" si="5"/>
        <v>750.49603851841823</v>
      </c>
    </row>
    <row r="43" spans="1:6">
      <c r="A43" s="7">
        <v>43383</v>
      </c>
      <c r="B43" s="1">
        <v>0.33333333333333331</v>
      </c>
      <c r="C43" s="2">
        <v>8579.7000000000007</v>
      </c>
      <c r="D43" s="2">
        <v>10</v>
      </c>
      <c r="E43" s="3">
        <f t="shared" si="4"/>
        <v>4.8257042176030537E-3</v>
      </c>
      <c r="F43" s="4">
        <f t="shared" si="5"/>
        <v>750.49222183019549</v>
      </c>
    </row>
    <row r="44" spans="1:6">
      <c r="A44" s="7">
        <v>43393</v>
      </c>
      <c r="B44" s="1">
        <v>0.33333333333333331</v>
      </c>
      <c r="C44" s="2">
        <v>8580.2999999999993</v>
      </c>
      <c r="D44" s="2">
        <v>9.8000000000000007</v>
      </c>
      <c r="E44" s="3">
        <f t="shared" ref="E44:E55" si="6">($B$2*C44^2+$B$3*C44+$B$4)-$B$5*D44-$E$7</f>
        <v>4.5716719988192489E-3</v>
      </c>
      <c r="F44" s="4">
        <f t="shared" ref="F44:F55" si="7">$D$1+102*E44</f>
        <v>750.46631054387956</v>
      </c>
    </row>
    <row r="45" spans="1:6">
      <c r="A45" s="7">
        <v>43605</v>
      </c>
      <c r="B45" s="1">
        <v>0.33333333333333331</v>
      </c>
      <c r="C45" s="2">
        <v>8592.6</v>
      </c>
      <c r="D45" s="2">
        <v>9.1999999999999993</v>
      </c>
      <c r="E45" s="3">
        <f t="shared" si="6"/>
        <v>3.0238886199103129E-3</v>
      </c>
      <c r="F45" s="4">
        <f t="shared" si="7"/>
        <v>750.30843663923088</v>
      </c>
    </row>
    <row r="46" spans="1:6">
      <c r="A46" s="7">
        <v>43615</v>
      </c>
      <c r="B46" s="1">
        <v>0.33333333333333331</v>
      </c>
      <c r="C46" s="2">
        <v>8594.2999999999993</v>
      </c>
      <c r="D46" s="2">
        <v>9.4</v>
      </c>
      <c r="E46" s="3">
        <f t="shared" si="6"/>
        <v>3.1058246104016113E-3</v>
      </c>
      <c r="F46" s="4">
        <f t="shared" si="7"/>
        <v>750.31679411026096</v>
      </c>
    </row>
    <row r="47" spans="1:6">
      <c r="A47" s="7">
        <v>43626</v>
      </c>
      <c r="B47" s="1">
        <v>0.33333333333333331</v>
      </c>
      <c r="C47" s="2">
        <v>8597.2000000000007</v>
      </c>
      <c r="D47" s="2">
        <v>9.9</v>
      </c>
      <c r="E47" s="3">
        <f t="shared" si="6"/>
        <v>3.4116799077701203E-3</v>
      </c>
      <c r="F47" s="4">
        <f t="shared" si="7"/>
        <v>750.34799135059257</v>
      </c>
    </row>
    <row r="48" spans="1:6">
      <c r="A48" s="7">
        <v>43636</v>
      </c>
      <c r="B48" s="1">
        <v>0.33333333333333331</v>
      </c>
      <c r="C48" s="2">
        <v>8599.2000000000007</v>
      </c>
      <c r="D48" s="2">
        <v>10.1</v>
      </c>
      <c r="E48" s="3">
        <f t="shared" si="6"/>
        <v>3.4711812145187849E-3</v>
      </c>
      <c r="F48" s="4">
        <f t="shared" si="7"/>
        <v>750.35406048388097</v>
      </c>
    </row>
    <row r="49" spans="1:6">
      <c r="A49" s="7">
        <v>43646</v>
      </c>
      <c r="B49" s="1">
        <v>0.33333333333333331</v>
      </c>
      <c r="C49" s="2">
        <v>8587.2999999999993</v>
      </c>
      <c r="D49" s="2">
        <v>8.3000000000000007</v>
      </c>
      <c r="E49" s="3">
        <f t="shared" si="6"/>
        <v>2.4793713342063199E-3</v>
      </c>
      <c r="F49" s="4">
        <f t="shared" si="7"/>
        <v>750.25289587608904</v>
      </c>
    </row>
    <row r="50" spans="1:6">
      <c r="A50" s="7">
        <v>43656</v>
      </c>
      <c r="B50" s="1">
        <v>0.33333333333333331</v>
      </c>
      <c r="C50" s="2">
        <v>8562.7000000000007</v>
      </c>
      <c r="D50" s="2">
        <v>7.8</v>
      </c>
      <c r="E50" s="3">
        <f t="shared" si="6"/>
        <v>3.7976673557662717E-3</v>
      </c>
      <c r="F50" s="4">
        <f t="shared" si="7"/>
        <v>750.38736207028819</v>
      </c>
    </row>
    <row r="51" spans="1:6">
      <c r="A51" s="7">
        <v>43666</v>
      </c>
      <c r="B51" s="1">
        <v>0.33333333333333331</v>
      </c>
      <c r="C51" s="2">
        <v>8547.2000000000007</v>
      </c>
      <c r="D51" s="2">
        <v>6.9</v>
      </c>
      <c r="E51" s="3">
        <f t="shared" si="6"/>
        <v>4.0170096686501025E-3</v>
      </c>
      <c r="F51" s="4">
        <f t="shared" si="7"/>
        <v>750.40973498620235</v>
      </c>
    </row>
    <row r="52" spans="1:6">
      <c r="A52" s="7">
        <v>43676</v>
      </c>
      <c r="B52" s="1">
        <v>0.33333333333333331</v>
      </c>
      <c r="C52" s="2">
        <v>8537.2000000000007</v>
      </c>
      <c r="D52" s="2">
        <v>6.5</v>
      </c>
      <c r="E52" s="3">
        <f t="shared" si="6"/>
        <v>4.3475656584259989E-3</v>
      </c>
      <c r="F52" s="4">
        <f t="shared" si="7"/>
        <v>750.4434516971595</v>
      </c>
    </row>
    <row r="53" spans="1:6">
      <c r="A53" s="7">
        <v>43687</v>
      </c>
      <c r="B53" s="9">
        <v>0.33333333333333331</v>
      </c>
      <c r="C53" s="2">
        <v>8540.1</v>
      </c>
      <c r="D53" s="2">
        <v>6.9</v>
      </c>
      <c r="E53" s="3">
        <f t="shared" si="6"/>
        <v>4.5486572478274437E-3</v>
      </c>
      <c r="F53" s="4">
        <f t="shared" si="7"/>
        <v>750.46396303927838</v>
      </c>
    </row>
    <row r="54" spans="1:6">
      <c r="A54" s="7">
        <v>43697</v>
      </c>
      <c r="B54" s="1">
        <v>0.33333333333333331</v>
      </c>
      <c r="C54" s="2">
        <v>8542.7000000000007</v>
      </c>
      <c r="D54" s="2">
        <v>7.4</v>
      </c>
      <c r="E54" s="3">
        <f t="shared" si="6"/>
        <v>4.8767883889982745E-3</v>
      </c>
      <c r="F54" s="4">
        <f t="shared" si="7"/>
        <v>750.49743241567785</v>
      </c>
    </row>
    <row r="55" spans="1:6">
      <c r="A55" s="7">
        <v>43707</v>
      </c>
      <c r="B55" s="9">
        <v>0.33333333333333331</v>
      </c>
      <c r="C55" s="2">
        <v>8549.7999999999993</v>
      </c>
      <c r="D55" s="2">
        <v>8.6999999999999993</v>
      </c>
      <c r="E55" s="3">
        <f t="shared" si="6"/>
        <v>5.7045105395214478E-3</v>
      </c>
      <c r="F55" s="4">
        <f t="shared" si="7"/>
        <v>750.58186007503116</v>
      </c>
    </row>
  </sheetData>
  <phoneticPr fontId="5" type="noConversion"/>
  <pageMargins left="0.69930555555555596" right="0.69930555555555596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6"/>
  <sheetViews>
    <sheetView topLeftCell="A36" workbookViewId="0">
      <selection activeCell="A53" sqref="A53:B55"/>
    </sheetView>
  </sheetViews>
  <sheetFormatPr defaultColWidth="9" defaultRowHeight="13.5"/>
  <cols>
    <col min="1" max="1" width="11.375" customWidth="1"/>
    <col min="2" max="2" width="13.125" style="17" customWidth="1"/>
    <col min="5" max="5" width="10.875" customWidth="1"/>
    <col min="8" max="8" width="9.5" customWidth="1"/>
  </cols>
  <sheetData>
    <row r="1" spans="1:8">
      <c r="A1" t="s">
        <v>0</v>
      </c>
      <c r="B1" s="18">
        <v>50396</v>
      </c>
      <c r="C1" t="s">
        <v>1</v>
      </c>
      <c r="D1" s="11">
        <v>747</v>
      </c>
    </row>
    <row r="2" spans="1:8">
      <c r="A2" t="s">
        <v>2</v>
      </c>
      <c r="B2" s="24">
        <v>6.3032800000000002E-10</v>
      </c>
    </row>
    <row r="3" spans="1:8">
      <c r="A3" t="s">
        <v>3</v>
      </c>
      <c r="B3" s="18">
        <v>-7.2935000000000006E-5</v>
      </c>
    </row>
    <row r="4" spans="1:8">
      <c r="A4" t="s">
        <v>4</v>
      </c>
      <c r="B4" s="18">
        <v>0.51139363999999998</v>
      </c>
    </row>
    <row r="5" spans="1:8">
      <c r="A5" t="s">
        <v>5</v>
      </c>
      <c r="B5" s="18">
        <v>-8.6666100000000002E-4</v>
      </c>
    </row>
    <row r="6" spans="1:8">
      <c r="A6" t="s">
        <v>6</v>
      </c>
      <c r="B6" s="17" t="s">
        <v>7</v>
      </c>
      <c r="C6" t="s">
        <v>8</v>
      </c>
      <c r="D6" t="s">
        <v>9</v>
      </c>
      <c r="E6" t="s">
        <v>10</v>
      </c>
      <c r="F6" t="s">
        <v>11</v>
      </c>
      <c r="G6" t="s">
        <v>12</v>
      </c>
    </row>
    <row r="7" spans="1:8">
      <c r="A7" s="6">
        <v>42644</v>
      </c>
      <c r="B7" s="9">
        <v>0.33333333333333331</v>
      </c>
      <c r="C7" s="2">
        <v>7281.9</v>
      </c>
      <c r="D7" s="2">
        <v>9.8000000000000007</v>
      </c>
      <c r="E7" s="3">
        <f>($B$2*C7^2+$B$3*C7+$B$4)-$B$5*D7</f>
        <v>2.2205356444476045E-2</v>
      </c>
      <c r="G7" t="s">
        <v>13</v>
      </c>
    </row>
    <row r="8" spans="1:8">
      <c r="A8" s="6">
        <v>42646</v>
      </c>
      <c r="B8" s="9">
        <v>0.33333333333333331</v>
      </c>
      <c r="C8" s="2">
        <v>7241.7</v>
      </c>
      <c r="D8" s="2">
        <v>6.7</v>
      </c>
      <c r="E8" s="3">
        <f t="shared" ref="E8:E33" si="0">($B$2*C8^2+$B$3*C8+$B$4)-$B$5*D8-$E$7</f>
        <v>-1.2267829598017893E-4</v>
      </c>
      <c r="F8" s="4">
        <f>$D$1+102*E8</f>
        <v>746.98748681381005</v>
      </c>
      <c r="G8" s="5" t="s">
        <v>14</v>
      </c>
      <c r="H8" s="23"/>
    </row>
    <row r="9" spans="1:8">
      <c r="A9" s="6">
        <v>42647</v>
      </c>
      <c r="B9" s="9">
        <v>0.33333333333333331</v>
      </c>
      <c r="C9" s="2">
        <v>7274.8</v>
      </c>
      <c r="D9" s="2">
        <v>9.8000000000000007</v>
      </c>
      <c r="E9" s="3">
        <f t="shared" si="0"/>
        <v>4.52692481257011E-4</v>
      </c>
      <c r="F9" s="4">
        <f t="shared" ref="F9:F33" si="1">$D$1+102*E9</f>
        <v>747.04617463308819</v>
      </c>
      <c r="H9" s="23"/>
    </row>
    <row r="10" spans="1:8">
      <c r="A10" s="6">
        <v>42648</v>
      </c>
      <c r="B10" s="9">
        <v>0.33333333333333331</v>
      </c>
      <c r="C10" s="2">
        <v>7275.6</v>
      </c>
      <c r="D10" s="2">
        <v>10.1</v>
      </c>
      <c r="E10" s="3">
        <f t="shared" si="0"/>
        <v>6.6168000088194859E-4</v>
      </c>
      <c r="F10" s="4">
        <f t="shared" si="1"/>
        <v>747.06749136009</v>
      </c>
      <c r="H10" s="23"/>
    </row>
    <row r="11" spans="1:8">
      <c r="A11" s="6">
        <v>42649</v>
      </c>
      <c r="B11" s="9">
        <v>0.33333333333333331</v>
      </c>
      <c r="C11" s="2">
        <v>7276.4</v>
      </c>
      <c r="D11" s="2">
        <v>10.4</v>
      </c>
      <c r="E11" s="3">
        <f t="shared" si="0"/>
        <v>8.7066832732683383E-4</v>
      </c>
      <c r="F11" s="4">
        <f t="shared" si="1"/>
        <v>747.08880816938733</v>
      </c>
      <c r="H11" s="23"/>
    </row>
    <row r="12" spans="1:8">
      <c r="A12" s="6">
        <v>42650</v>
      </c>
      <c r="B12" s="9">
        <v>0.33333333333333331</v>
      </c>
      <c r="C12" s="2">
        <v>7277.3</v>
      </c>
      <c r="D12" s="2">
        <v>10.7</v>
      </c>
      <c r="E12" s="3">
        <f t="shared" si="0"/>
        <v>1.0732813714789714E-3</v>
      </c>
      <c r="F12" s="4">
        <f t="shared" si="1"/>
        <v>747.10947469989082</v>
      </c>
      <c r="H12" s="23"/>
    </row>
    <row r="13" spans="1:8">
      <c r="A13" s="6">
        <v>42884</v>
      </c>
      <c r="B13" s="9">
        <v>0.33333333333333331</v>
      </c>
      <c r="C13" s="2">
        <v>7223</v>
      </c>
      <c r="D13" s="2">
        <v>12.2</v>
      </c>
      <c r="E13" s="3">
        <f t="shared" si="0"/>
        <v>5.8373443526359321E-3</v>
      </c>
      <c r="F13" s="4">
        <f t="shared" si="1"/>
        <v>747.59540912396892</v>
      </c>
      <c r="H13" s="23"/>
    </row>
    <row r="14" spans="1:8">
      <c r="A14" s="6">
        <v>42885</v>
      </c>
      <c r="B14" s="9">
        <v>0.33333333333333331</v>
      </c>
      <c r="C14" s="2">
        <v>7221.2</v>
      </c>
      <c r="D14" s="2">
        <v>12.6</v>
      </c>
      <c r="E14" s="3">
        <f t="shared" si="0"/>
        <v>6.2989035019802159E-3</v>
      </c>
      <c r="F14" s="4">
        <f t="shared" si="1"/>
        <v>747.64248815720202</v>
      </c>
      <c r="H14" s="23"/>
    </row>
    <row r="15" spans="1:8">
      <c r="A15" s="6">
        <v>42896</v>
      </c>
      <c r="B15" s="9">
        <v>0.33333333333333331</v>
      </c>
      <c r="C15" s="2">
        <v>7230.1</v>
      </c>
      <c r="D15" s="2">
        <v>6.9</v>
      </c>
      <c r="E15" s="3">
        <f t="shared" si="0"/>
        <v>7.9088492731511223E-4</v>
      </c>
      <c r="F15" s="4">
        <f t="shared" si="1"/>
        <v>747.08067026258618</v>
      </c>
      <c r="H15" s="23"/>
    </row>
    <row r="16" spans="1:8">
      <c r="A16" s="6">
        <v>42906</v>
      </c>
      <c r="B16" s="9">
        <v>0.33333333333333331</v>
      </c>
      <c r="C16" s="2">
        <v>7249.5</v>
      </c>
      <c r="D16" s="2">
        <v>8.1999999999999993</v>
      </c>
      <c r="E16" s="3">
        <f t="shared" si="0"/>
        <v>6.7966703510597554E-4</v>
      </c>
      <c r="F16" s="4">
        <f t="shared" si="1"/>
        <v>747.06932603758082</v>
      </c>
      <c r="H16" s="23"/>
    </row>
    <row r="17" spans="1:8">
      <c r="A17" s="6">
        <v>42916</v>
      </c>
      <c r="B17" s="9">
        <v>0.33333333333333331</v>
      </c>
      <c r="C17" s="2">
        <v>7262.3</v>
      </c>
      <c r="D17" s="2">
        <v>9.1</v>
      </c>
      <c r="E17" s="3">
        <f t="shared" si="0"/>
        <v>6.4317801664696625E-4</v>
      </c>
      <c r="F17" s="4">
        <f t="shared" si="1"/>
        <v>747.06560415769798</v>
      </c>
      <c r="H17" s="23"/>
    </row>
    <row r="18" spans="1:8">
      <c r="A18" s="6">
        <v>42926</v>
      </c>
      <c r="B18" s="9">
        <v>0.33333333333333331</v>
      </c>
      <c r="C18" s="2">
        <v>7291.5</v>
      </c>
      <c r="D18" s="2">
        <v>9.5</v>
      </c>
      <c r="E18" s="3">
        <f t="shared" si="0"/>
        <v>-8.7198848807811674E-4</v>
      </c>
      <c r="F18" s="4">
        <f t="shared" si="1"/>
        <v>746.91105717421601</v>
      </c>
      <c r="H18" s="23"/>
    </row>
    <row r="19" spans="1:8">
      <c r="A19" s="7">
        <v>42936</v>
      </c>
      <c r="B19" s="9">
        <v>0.33333333333333331</v>
      </c>
      <c r="C19" s="2">
        <v>7274.8</v>
      </c>
      <c r="D19" s="2">
        <v>9.9</v>
      </c>
      <c r="E19" s="3">
        <f t="shared" si="0"/>
        <v>5.3935858125701147E-4</v>
      </c>
      <c r="F19" s="4">
        <f t="shared" si="1"/>
        <v>747.05501457528817</v>
      </c>
      <c r="H19" s="23"/>
    </row>
    <row r="20" spans="1:8">
      <c r="A20" s="7">
        <v>42946</v>
      </c>
      <c r="B20" s="9">
        <v>0.33333333333333331</v>
      </c>
      <c r="C20" s="2">
        <v>7280.4</v>
      </c>
      <c r="D20" s="2">
        <v>10.1</v>
      </c>
      <c r="E20" s="3">
        <f t="shared" si="0"/>
        <v>3.5563226184841604E-4</v>
      </c>
      <c r="F20" s="4">
        <f t="shared" si="1"/>
        <v>747.03627449070859</v>
      </c>
      <c r="H20" s="23"/>
    </row>
    <row r="21" spans="1:8">
      <c r="A21" s="7">
        <v>42957</v>
      </c>
      <c r="B21" s="9">
        <v>0.33333333333333331</v>
      </c>
      <c r="C21" s="2">
        <v>7275.4</v>
      </c>
      <c r="D21" s="2">
        <v>10.5</v>
      </c>
      <c r="E21" s="3">
        <f t="shared" si="0"/>
        <v>1.0210970203363319E-3</v>
      </c>
      <c r="F21" s="4">
        <f t="shared" si="1"/>
        <v>747.10415189607431</v>
      </c>
      <c r="H21" s="23"/>
    </row>
    <row r="22" spans="1:8">
      <c r="A22" s="7">
        <v>42967</v>
      </c>
      <c r="B22" s="9">
        <v>0.33333333333333331</v>
      </c>
      <c r="C22" s="2">
        <v>7270.3</v>
      </c>
      <c r="D22" s="2">
        <v>10.6</v>
      </c>
      <c r="E22" s="3">
        <f t="shared" si="0"/>
        <v>1.4329719541893958E-3</v>
      </c>
      <c r="F22" s="4">
        <f t="shared" si="1"/>
        <v>747.14616313932731</v>
      </c>
      <c r="H22" s="23"/>
    </row>
    <row r="23" spans="1:8">
      <c r="A23" s="7">
        <v>42977</v>
      </c>
      <c r="B23" s="9">
        <v>0.33333333333333331</v>
      </c>
      <c r="C23" s="2">
        <v>7285.9</v>
      </c>
      <c r="D23" s="2">
        <v>12.2</v>
      </c>
      <c r="E23" s="3">
        <f t="shared" si="0"/>
        <v>1.8249763689536132E-3</v>
      </c>
      <c r="F23" s="4">
        <f t="shared" si="1"/>
        <v>747.18614758963326</v>
      </c>
    </row>
    <row r="24" spans="1:8">
      <c r="A24" s="7">
        <v>42988</v>
      </c>
      <c r="B24" s="9">
        <v>0.33333333333333331</v>
      </c>
      <c r="C24" s="2">
        <v>7282.6</v>
      </c>
      <c r="D24" s="2">
        <v>11.9</v>
      </c>
      <c r="E24" s="3">
        <f t="shared" si="0"/>
        <v>1.775359888509128E-3</v>
      </c>
      <c r="F24" s="4">
        <f t="shared" si="1"/>
        <v>747.18108670862796</v>
      </c>
    </row>
    <row r="25" spans="1:8">
      <c r="A25" s="7">
        <v>42998</v>
      </c>
      <c r="B25" s="9">
        <v>0.33333333333333331</v>
      </c>
      <c r="C25" s="2">
        <v>7297.4</v>
      </c>
      <c r="D25" s="2">
        <v>11.9</v>
      </c>
      <c r="E25" s="3">
        <f t="shared" si="0"/>
        <v>8.3193658566127135E-4</v>
      </c>
      <c r="F25" s="4">
        <f t="shared" si="1"/>
        <v>747.0848575317375</v>
      </c>
    </row>
    <row r="26" spans="1:8">
      <c r="A26" s="7">
        <v>43008</v>
      </c>
      <c r="B26" s="9">
        <v>0.33333333333333331</v>
      </c>
      <c r="C26" s="2">
        <v>7296.3</v>
      </c>
      <c r="D26" s="2">
        <v>12.1</v>
      </c>
      <c r="E26" s="3">
        <f t="shared" si="0"/>
        <v>1.0753785861542069E-3</v>
      </c>
      <c r="F26" s="4">
        <f t="shared" si="1"/>
        <v>747.10968861578772</v>
      </c>
    </row>
    <row r="27" spans="1:8">
      <c r="A27" s="7">
        <v>43018</v>
      </c>
      <c r="B27" s="9">
        <v>0.33333333333333331</v>
      </c>
      <c r="C27" s="2">
        <v>7294.2</v>
      </c>
      <c r="D27" s="2">
        <v>11.9</v>
      </c>
      <c r="E27" s="3">
        <f t="shared" si="0"/>
        <v>1.0358966047178085E-3</v>
      </c>
      <c r="F27" s="4">
        <f t="shared" si="1"/>
        <v>747.10566145368125</v>
      </c>
    </row>
    <row r="28" spans="1:8">
      <c r="A28" s="6">
        <v>43230</v>
      </c>
      <c r="B28" s="9">
        <v>0.33333333333333331</v>
      </c>
      <c r="C28" s="2">
        <v>7246.2</v>
      </c>
      <c r="D28" s="2">
        <v>7.7</v>
      </c>
      <c r="E28" s="3">
        <f t="shared" si="0"/>
        <v>4.5686978466025555E-4</v>
      </c>
      <c r="F28" s="4">
        <f t="shared" si="1"/>
        <v>747.04660071803539</v>
      </c>
    </row>
    <row r="29" spans="1:8">
      <c r="A29" s="7">
        <v>43240</v>
      </c>
      <c r="B29" s="9">
        <v>0.33333333333333331</v>
      </c>
      <c r="C29" s="2">
        <v>7241.4</v>
      </c>
      <c r="D29" s="2">
        <v>7.6</v>
      </c>
      <c r="E29" s="3">
        <f t="shared" si="0"/>
        <v>6.76458372982882E-4</v>
      </c>
      <c r="F29" s="4">
        <f t="shared" si="1"/>
        <v>747.06899875404429</v>
      </c>
    </row>
    <row r="30" spans="1:8">
      <c r="A30" s="7">
        <v>43250</v>
      </c>
      <c r="B30" s="9">
        <v>0.33333333333333331</v>
      </c>
      <c r="C30" s="2">
        <v>7232.6</v>
      </c>
      <c r="D30" s="2">
        <v>7.5</v>
      </c>
      <c r="E30" s="8">
        <f t="shared" si="0"/>
        <v>1.151334639229163E-3</v>
      </c>
      <c r="F30" s="4">
        <f t="shared" si="1"/>
        <v>747.11743613320141</v>
      </c>
    </row>
    <row r="31" spans="1:8">
      <c r="A31" s="7">
        <v>43261</v>
      </c>
      <c r="B31" s="9">
        <v>0.33333333333333331</v>
      </c>
      <c r="C31" s="2">
        <v>7239.8</v>
      </c>
      <c r="D31" s="2">
        <v>7</v>
      </c>
      <c r="E31" s="3">
        <f t="shared" si="0"/>
        <v>2.585531236489573E-4</v>
      </c>
      <c r="F31" s="4">
        <f t="shared" si="1"/>
        <v>747.02637241861214</v>
      </c>
    </row>
    <row r="32" spans="1:8">
      <c r="A32" s="7">
        <v>43271</v>
      </c>
      <c r="B32" s="9">
        <v>0.33333333333333331</v>
      </c>
      <c r="C32" s="2">
        <v>7239.5</v>
      </c>
      <c r="D32" s="2">
        <v>6.8</v>
      </c>
      <c r="E32" s="3">
        <f t="shared" si="0"/>
        <v>1.043634111858871E-4</v>
      </c>
      <c r="F32" s="4">
        <f t="shared" si="1"/>
        <v>747.01064506794091</v>
      </c>
    </row>
    <row r="33" spans="1:6">
      <c r="A33" s="7">
        <v>43281</v>
      </c>
      <c r="B33" s="9">
        <v>0.33333333333333331</v>
      </c>
      <c r="C33" s="2">
        <v>7231.1</v>
      </c>
      <c r="D33" s="2">
        <v>6.5</v>
      </c>
      <c r="E33" s="3">
        <f t="shared" si="0"/>
        <v>3.8040082658877955E-4</v>
      </c>
      <c r="F33" s="4">
        <f t="shared" si="1"/>
        <v>747.03880088431208</v>
      </c>
    </row>
    <row r="34" spans="1:6">
      <c r="A34" s="7">
        <v>43291</v>
      </c>
      <c r="B34" s="9">
        <v>0.33333333333333331</v>
      </c>
      <c r="C34" s="2">
        <v>7237.1</v>
      </c>
      <c r="D34" s="2">
        <v>7.1</v>
      </c>
      <c r="E34" s="3">
        <f t="shared" ref="E34:E55" si="2">($B$2*C34^2+$B$3*C34+$B$4)-$B$5*D34-$E$7</f>
        <v>5.1750569600641019E-4</v>
      </c>
      <c r="F34" s="4">
        <f t="shared" ref="F34:F55" si="3">$D$1+102*E34</f>
        <v>747.05278558099269</v>
      </c>
    </row>
    <row r="35" spans="1:6">
      <c r="A35" s="7">
        <v>43301</v>
      </c>
      <c r="B35" s="9">
        <v>0.33333333333333331</v>
      </c>
      <c r="C35" s="2">
        <v>7220.9</v>
      </c>
      <c r="D35" s="2">
        <v>6.4</v>
      </c>
      <c r="E35" s="3">
        <f t="shared" si="2"/>
        <v>9.4475482397754842E-4</v>
      </c>
      <c r="F35" s="4">
        <f t="shared" si="3"/>
        <v>747.09636499204566</v>
      </c>
    </row>
    <row r="36" spans="1:6">
      <c r="A36" s="7">
        <v>43311</v>
      </c>
      <c r="B36" s="9">
        <v>0.33333333333333331</v>
      </c>
      <c r="C36" s="2">
        <v>7219.3</v>
      </c>
      <c r="D36" s="2">
        <v>6.2</v>
      </c>
      <c r="E36" s="3">
        <f t="shared" si="2"/>
        <v>8.7355532416054718E-4</v>
      </c>
      <c r="F36" s="4">
        <f t="shared" si="3"/>
        <v>747.08910264306439</v>
      </c>
    </row>
    <row r="37" spans="1:6">
      <c r="A37" s="7">
        <v>43322</v>
      </c>
      <c r="B37" s="9">
        <v>0.33333333333333331</v>
      </c>
      <c r="C37" s="2">
        <v>7215.8</v>
      </c>
      <c r="D37" s="2">
        <v>6.2</v>
      </c>
      <c r="E37" s="3">
        <f t="shared" si="2"/>
        <v>1.0969818571657693E-3</v>
      </c>
      <c r="F37" s="4">
        <f t="shared" si="3"/>
        <v>747.1118921494309</v>
      </c>
    </row>
    <row r="38" spans="1:6">
      <c r="A38" s="7">
        <v>43332</v>
      </c>
      <c r="B38" s="9">
        <v>0.33333333333333331</v>
      </c>
      <c r="C38" s="2">
        <v>7226.8</v>
      </c>
      <c r="D38" s="2">
        <v>6.2</v>
      </c>
      <c r="E38" s="3">
        <f t="shared" si="2"/>
        <v>3.948361840665944E-4</v>
      </c>
      <c r="F38" s="4">
        <f t="shared" si="3"/>
        <v>747.04027329077485</v>
      </c>
    </row>
    <row r="39" spans="1:6">
      <c r="A39" s="7">
        <v>43342</v>
      </c>
      <c r="B39" s="9">
        <v>0.33333333333333331</v>
      </c>
      <c r="C39" s="2">
        <v>7227.5</v>
      </c>
      <c r="D39" s="2">
        <v>6.3</v>
      </c>
      <c r="E39" s="3">
        <f t="shared" si="2"/>
        <v>4.36825449073832E-4</v>
      </c>
      <c r="F39" s="4">
        <f t="shared" si="3"/>
        <v>747.04455619580551</v>
      </c>
    </row>
    <row r="40" spans="1:6">
      <c r="A40" s="7">
        <v>43353</v>
      </c>
      <c r="B40" s="9">
        <v>0.33333333333333331</v>
      </c>
      <c r="C40" s="2">
        <v>7229.6</v>
      </c>
      <c r="D40" s="2">
        <v>6.3</v>
      </c>
      <c r="E40" s="3">
        <f t="shared" si="2"/>
        <v>3.0279865042439832E-4</v>
      </c>
      <c r="F40" s="4">
        <f t="shared" si="3"/>
        <v>747.03088546234324</v>
      </c>
    </row>
    <row r="41" spans="1:6">
      <c r="A41" s="7">
        <v>43363</v>
      </c>
      <c r="B41" s="9">
        <v>0.33333333333333331</v>
      </c>
      <c r="C41" s="2">
        <v>7211</v>
      </c>
      <c r="D41" s="2">
        <v>6.5</v>
      </c>
      <c r="E41" s="3">
        <f t="shared" si="2"/>
        <v>1.6634188004119102E-3</v>
      </c>
      <c r="F41" s="4">
        <f t="shared" si="3"/>
        <v>747.16966871764203</v>
      </c>
    </row>
    <row r="42" spans="1:6">
      <c r="A42" s="7">
        <v>43373</v>
      </c>
      <c r="B42" s="9">
        <v>0.33333333333333331</v>
      </c>
      <c r="C42" s="2">
        <v>7219.6</v>
      </c>
      <c r="D42" s="2">
        <v>6.2</v>
      </c>
      <c r="E42" s="3">
        <f t="shared" si="2"/>
        <v>8.5440519704836973E-4</v>
      </c>
      <c r="F42" s="4">
        <f t="shared" si="3"/>
        <v>747.0871493300989</v>
      </c>
    </row>
    <row r="43" spans="1:6">
      <c r="A43" s="7">
        <v>43383</v>
      </c>
      <c r="B43" s="9">
        <v>0.33333333333333331</v>
      </c>
      <c r="C43" s="2">
        <v>7220.4</v>
      </c>
      <c r="D43" s="2">
        <v>6</v>
      </c>
      <c r="E43" s="3">
        <f t="shared" si="2"/>
        <v>6.3000654610443144E-4</v>
      </c>
      <c r="F43" s="4">
        <f t="shared" si="3"/>
        <v>747.06426066770268</v>
      </c>
    </row>
    <row r="44" spans="1:6">
      <c r="A44" s="7">
        <v>43393</v>
      </c>
      <c r="B44" s="9">
        <v>0.33333333333333331</v>
      </c>
      <c r="C44" s="2">
        <v>7221.7</v>
      </c>
      <c r="D44" s="2">
        <v>5.8</v>
      </c>
      <c r="E44" s="3">
        <f t="shared" si="2"/>
        <v>3.7369308411585103E-4</v>
      </c>
      <c r="F44" s="4">
        <f t="shared" si="3"/>
        <v>747.0381166945798</v>
      </c>
    </row>
    <row r="45" spans="1:6">
      <c r="A45" s="7">
        <v>43605</v>
      </c>
      <c r="B45" s="1">
        <v>0.33333333333333331</v>
      </c>
      <c r="C45" s="2">
        <v>7221.7</v>
      </c>
      <c r="D45" s="2">
        <v>5.4</v>
      </c>
      <c r="E45" s="3">
        <f t="shared" si="2"/>
        <v>2.702868411585263E-5</v>
      </c>
      <c r="F45" s="4">
        <f t="shared" si="3"/>
        <v>747.00275692577986</v>
      </c>
    </row>
    <row r="46" spans="1:6">
      <c r="A46" s="7">
        <v>43615</v>
      </c>
      <c r="B46" s="1">
        <v>0.33333333333333331</v>
      </c>
      <c r="C46" s="2">
        <v>7222.6</v>
      </c>
      <c r="D46" s="2">
        <v>5.7</v>
      </c>
      <c r="E46" s="3">
        <f t="shared" si="2"/>
        <v>2.2957966617313461E-4</v>
      </c>
      <c r="F46" s="4">
        <f t="shared" si="3"/>
        <v>747.02341712594966</v>
      </c>
    </row>
    <row r="47" spans="1:6">
      <c r="A47" s="7">
        <v>43626</v>
      </c>
      <c r="B47" s="1">
        <v>0.33333333333333331</v>
      </c>
      <c r="C47" s="2">
        <v>7224.5</v>
      </c>
      <c r="D47" s="2">
        <v>5.9</v>
      </c>
      <c r="E47" s="3">
        <f t="shared" si="2"/>
        <v>2.8163754830589846E-4</v>
      </c>
      <c r="F47" s="4">
        <f t="shared" si="3"/>
        <v>747.02872702992715</v>
      </c>
    </row>
    <row r="48" spans="1:6">
      <c r="A48" s="7">
        <v>43636</v>
      </c>
      <c r="B48" s="1">
        <v>0.33333333333333331</v>
      </c>
      <c r="C48" s="2">
        <v>7223.3</v>
      </c>
      <c r="D48" s="2">
        <v>5.9</v>
      </c>
      <c r="E48" s="3">
        <f t="shared" si="2"/>
        <v>3.5823132485179529E-4</v>
      </c>
      <c r="F48" s="4">
        <f t="shared" si="3"/>
        <v>747.03653959513485</v>
      </c>
    </row>
    <row r="49" spans="1:6">
      <c r="A49" s="7">
        <v>43646</v>
      </c>
      <c r="B49" s="1">
        <v>0.33333333333333331</v>
      </c>
      <c r="C49" s="2">
        <v>7220.5</v>
      </c>
      <c r="D49" s="2">
        <v>5.3</v>
      </c>
      <c r="E49" s="3">
        <f t="shared" si="2"/>
        <v>1.6960596465900868E-5</v>
      </c>
      <c r="F49" s="4">
        <f t="shared" si="3"/>
        <v>747.00172998083951</v>
      </c>
    </row>
    <row r="50" spans="1:6">
      <c r="A50" s="7">
        <v>43656</v>
      </c>
      <c r="B50" s="1">
        <v>0.33333333333333331</v>
      </c>
      <c r="C50" s="2">
        <v>7218.4</v>
      </c>
      <c r="D50" s="2">
        <v>4.9000000000000004</v>
      </c>
      <c r="E50" s="3">
        <f t="shared" si="2"/>
        <v>-1.9565291374835578E-4</v>
      </c>
      <c r="F50" s="4">
        <f t="shared" si="3"/>
        <v>746.98004340279772</v>
      </c>
    </row>
    <row r="51" spans="1:6">
      <c r="A51" s="7">
        <v>43666</v>
      </c>
      <c r="B51" s="1">
        <v>0.33333333333333331</v>
      </c>
      <c r="C51" s="2">
        <v>7215</v>
      </c>
      <c r="D51" s="2">
        <v>4.7</v>
      </c>
      <c r="E51" s="3">
        <f t="shared" si="2"/>
        <v>-1.5193855267611397E-4</v>
      </c>
      <c r="F51" s="4">
        <f t="shared" si="3"/>
        <v>746.98450226762702</v>
      </c>
    </row>
    <row r="52" spans="1:6">
      <c r="A52" s="7">
        <v>43676</v>
      </c>
      <c r="B52" s="1">
        <v>0.33333333333333331</v>
      </c>
      <c r="C52" s="2">
        <v>7210.1</v>
      </c>
      <c r="D52" s="2">
        <v>4.5999999999999996</v>
      </c>
      <c r="E52" s="3">
        <f t="shared" si="2"/>
        <v>7.4223379603163137E-5</v>
      </c>
      <c r="F52" s="4">
        <f t="shared" si="3"/>
        <v>747.00757078471952</v>
      </c>
    </row>
    <row r="53" spans="1:6">
      <c r="A53" s="7">
        <v>43687</v>
      </c>
      <c r="B53" s="9">
        <v>0.33333333333333331</v>
      </c>
      <c r="C53" s="2">
        <v>7203.6</v>
      </c>
      <c r="D53" s="2">
        <v>4.5999999999999996</v>
      </c>
      <c r="E53" s="3">
        <f t="shared" si="2"/>
        <v>4.8924604809469016E-4</v>
      </c>
      <c r="F53" s="4">
        <f t="shared" si="3"/>
        <v>747.04990309690561</v>
      </c>
    </row>
    <row r="54" spans="1:6">
      <c r="A54" s="7">
        <v>43697</v>
      </c>
      <c r="B54" s="1">
        <v>0.33333333333333331</v>
      </c>
      <c r="C54" s="2">
        <v>7197.8</v>
      </c>
      <c r="D54" s="2">
        <v>4.5999999999999996</v>
      </c>
      <c r="E54" s="3">
        <f t="shared" si="2"/>
        <v>8.5961893527141883E-4</v>
      </c>
      <c r="F54" s="4">
        <f t="shared" si="3"/>
        <v>747.08768113139763</v>
      </c>
    </row>
    <row r="55" spans="1:6">
      <c r="A55" s="7">
        <v>43707</v>
      </c>
      <c r="B55" s="9">
        <v>0.33333333333333331</v>
      </c>
      <c r="C55" s="2">
        <v>7192.6</v>
      </c>
      <c r="D55" s="2">
        <v>4.4000000000000004</v>
      </c>
      <c r="E55" s="3">
        <f t="shared" si="2"/>
        <v>1.0183812406051422E-3</v>
      </c>
      <c r="F55" s="4">
        <f t="shared" si="3"/>
        <v>747.10387488654169</v>
      </c>
    </row>
    <row r="56" spans="1:6">
      <c r="B56" s="9"/>
    </row>
    <row r="57" spans="1:6">
      <c r="B57" s="9"/>
    </row>
    <row r="58" spans="1:6">
      <c r="B58" s="9"/>
    </row>
    <row r="59" spans="1:6">
      <c r="B59" s="9"/>
    </row>
    <row r="60" spans="1:6">
      <c r="B60" s="9"/>
    </row>
    <row r="61" spans="1:6">
      <c r="B61" s="9"/>
    </row>
    <row r="62" spans="1:6">
      <c r="B62" s="9"/>
    </row>
    <row r="63" spans="1:6">
      <c r="B63" s="9"/>
    </row>
    <row r="64" spans="1:6">
      <c r="B64" s="9"/>
    </row>
    <row r="65" spans="2:2">
      <c r="B65" s="9"/>
    </row>
    <row r="66" spans="2:2">
      <c r="B66" s="9"/>
    </row>
    <row r="67" spans="2:2">
      <c r="B67" s="9"/>
    </row>
    <row r="68" spans="2:2">
      <c r="B68" s="9"/>
    </row>
    <row r="69" spans="2:2">
      <c r="B69" s="9"/>
    </row>
    <row r="70" spans="2:2">
      <c r="B70" s="9"/>
    </row>
    <row r="71" spans="2:2">
      <c r="B71" s="9"/>
    </row>
    <row r="72" spans="2:2">
      <c r="B72" s="9"/>
    </row>
    <row r="73" spans="2:2">
      <c r="B73" s="9"/>
    </row>
    <row r="74" spans="2:2">
      <c r="B74" s="9"/>
    </row>
    <row r="75" spans="2:2">
      <c r="B75" s="9"/>
    </row>
    <row r="76" spans="2:2">
      <c r="B76" s="9"/>
    </row>
    <row r="77" spans="2:2">
      <c r="B77" s="9"/>
    </row>
    <row r="78" spans="2:2">
      <c r="B78" s="9"/>
    </row>
    <row r="79" spans="2:2">
      <c r="B79" s="9"/>
    </row>
    <row r="80" spans="2:2">
      <c r="B80" s="9"/>
    </row>
    <row r="81" spans="2:2">
      <c r="B81" s="9"/>
    </row>
    <row r="82" spans="2:2">
      <c r="B82" s="9"/>
    </row>
    <row r="83" spans="2:2">
      <c r="B83" s="9"/>
    </row>
    <row r="84" spans="2:2">
      <c r="B84" s="9"/>
    </row>
    <row r="85" spans="2:2">
      <c r="B85" s="9"/>
    </row>
    <row r="86" spans="2:2">
      <c r="B86" s="9"/>
    </row>
    <row r="87" spans="2:2">
      <c r="B87" s="9"/>
    </row>
    <row r="88" spans="2:2">
      <c r="B88" s="9"/>
    </row>
    <row r="89" spans="2:2">
      <c r="B89" s="9"/>
    </row>
    <row r="90" spans="2:2">
      <c r="B90" s="9"/>
    </row>
    <row r="91" spans="2:2">
      <c r="B91" s="9"/>
    </row>
    <row r="92" spans="2:2">
      <c r="B92" s="9"/>
    </row>
    <row r="93" spans="2:2">
      <c r="B93" s="9"/>
    </row>
    <row r="94" spans="2:2">
      <c r="B94" s="9"/>
    </row>
    <row r="95" spans="2:2">
      <c r="B95" s="9"/>
    </row>
    <row r="96" spans="2:2">
      <c r="B96" s="9"/>
    </row>
    <row r="97" spans="2:2">
      <c r="B97" s="9"/>
    </row>
    <row r="98" spans="2:2">
      <c r="B98" s="9"/>
    </row>
    <row r="99" spans="2:2">
      <c r="B99" s="9"/>
    </row>
    <row r="100" spans="2:2">
      <c r="B100" s="9"/>
    </row>
    <row r="101" spans="2:2">
      <c r="B101" s="9"/>
    </row>
    <row r="102" spans="2:2">
      <c r="B102" s="9"/>
    </row>
    <row r="103" spans="2:2">
      <c r="B103" s="9"/>
    </row>
    <row r="104" spans="2:2">
      <c r="B104" s="9"/>
    </row>
    <row r="105" spans="2:2">
      <c r="B105" s="9"/>
    </row>
    <row r="106" spans="2:2">
      <c r="B106" s="9"/>
    </row>
    <row r="107" spans="2:2">
      <c r="B107" s="9"/>
    </row>
    <row r="108" spans="2:2">
      <c r="B108" s="9"/>
    </row>
    <row r="109" spans="2:2">
      <c r="B109" s="9"/>
    </row>
    <row r="110" spans="2:2">
      <c r="B110" s="9"/>
    </row>
    <row r="111" spans="2:2">
      <c r="B111" s="9"/>
    </row>
    <row r="112" spans="2:2">
      <c r="B112" s="9"/>
    </row>
    <row r="113" spans="2:2">
      <c r="B113" s="9"/>
    </row>
    <row r="114" spans="2:2">
      <c r="B114" s="9"/>
    </row>
    <row r="115" spans="2:2">
      <c r="B115" s="9"/>
    </row>
    <row r="116" spans="2:2">
      <c r="B116" s="9"/>
    </row>
    <row r="117" spans="2:2">
      <c r="B117" s="9"/>
    </row>
    <row r="118" spans="2:2">
      <c r="B118" s="9"/>
    </row>
    <row r="119" spans="2:2">
      <c r="B119" s="9"/>
    </row>
    <row r="120" spans="2:2">
      <c r="B120" s="9"/>
    </row>
    <row r="121" spans="2:2">
      <c r="B121" s="9"/>
    </row>
    <row r="122" spans="2:2">
      <c r="B122" s="9"/>
    </row>
    <row r="123" spans="2:2">
      <c r="B123" s="9"/>
    </row>
    <row r="124" spans="2:2">
      <c r="B124" s="9"/>
    </row>
    <row r="125" spans="2:2">
      <c r="B125" s="9"/>
    </row>
    <row r="126" spans="2:2">
      <c r="B126" s="9"/>
    </row>
    <row r="127" spans="2:2">
      <c r="B127" s="9"/>
    </row>
    <row r="128" spans="2:2">
      <c r="B128" s="9"/>
    </row>
    <row r="129" spans="2:2">
      <c r="B129" s="9"/>
    </row>
    <row r="130" spans="2:2">
      <c r="B130" s="9"/>
    </row>
    <row r="131" spans="2:2">
      <c r="B131" s="9"/>
    </row>
    <row r="132" spans="2:2">
      <c r="B132" s="9"/>
    </row>
    <row r="133" spans="2:2">
      <c r="B133" s="9"/>
    </row>
    <row r="134" spans="2:2">
      <c r="B134" s="9"/>
    </row>
    <row r="135" spans="2:2">
      <c r="B135" s="9"/>
    </row>
    <row r="136" spans="2:2">
      <c r="B136" s="9"/>
    </row>
    <row r="137" spans="2:2">
      <c r="B137" s="9"/>
    </row>
    <row r="138" spans="2:2">
      <c r="B138" s="9"/>
    </row>
    <row r="139" spans="2:2">
      <c r="B139" s="9"/>
    </row>
    <row r="140" spans="2:2">
      <c r="B140" s="9"/>
    </row>
    <row r="141" spans="2:2">
      <c r="B141" s="9"/>
    </row>
    <row r="142" spans="2:2">
      <c r="B142" s="9"/>
    </row>
    <row r="143" spans="2:2">
      <c r="B143" s="9"/>
    </row>
    <row r="144" spans="2:2">
      <c r="B144" s="9"/>
    </row>
    <row r="145" spans="2:2">
      <c r="B145" s="9"/>
    </row>
    <row r="146" spans="2:2">
      <c r="B146" s="9"/>
    </row>
    <row r="147" spans="2:2">
      <c r="B147" s="9"/>
    </row>
    <row r="148" spans="2:2">
      <c r="B148" s="9"/>
    </row>
    <row r="149" spans="2:2">
      <c r="B149" s="9"/>
    </row>
    <row r="150" spans="2:2">
      <c r="B150" s="9"/>
    </row>
    <row r="151" spans="2:2">
      <c r="B151" s="9"/>
    </row>
    <row r="152" spans="2:2">
      <c r="B152" s="9"/>
    </row>
    <row r="153" spans="2:2">
      <c r="B153" s="9"/>
    </row>
    <row r="154" spans="2:2">
      <c r="B154" s="9"/>
    </row>
    <row r="155" spans="2:2">
      <c r="B155" s="9"/>
    </row>
    <row r="156" spans="2:2">
      <c r="B156" s="9"/>
    </row>
    <row r="157" spans="2:2">
      <c r="B157" s="9"/>
    </row>
    <row r="158" spans="2:2">
      <c r="B158" s="9"/>
    </row>
    <row r="159" spans="2:2">
      <c r="B159" s="9"/>
    </row>
    <row r="160" spans="2:2">
      <c r="B160" s="9"/>
    </row>
    <row r="161" spans="2:2">
      <c r="B161" s="9"/>
    </row>
    <row r="162" spans="2:2">
      <c r="B162" s="9"/>
    </row>
    <row r="163" spans="2:2">
      <c r="B163" s="9"/>
    </row>
    <row r="164" spans="2:2">
      <c r="B164" s="9"/>
    </row>
    <row r="165" spans="2:2">
      <c r="B165" s="9"/>
    </row>
    <row r="166" spans="2:2">
      <c r="B166" s="9"/>
    </row>
    <row r="167" spans="2:2">
      <c r="B167" s="9"/>
    </row>
    <row r="168" spans="2:2">
      <c r="B168" s="9"/>
    </row>
    <row r="169" spans="2:2">
      <c r="B169" s="9"/>
    </row>
    <row r="170" spans="2:2">
      <c r="B170" s="9"/>
    </row>
    <row r="171" spans="2:2">
      <c r="B171" s="9"/>
    </row>
    <row r="172" spans="2:2">
      <c r="B172" s="9"/>
    </row>
    <row r="173" spans="2:2">
      <c r="B173" s="9"/>
    </row>
    <row r="174" spans="2:2">
      <c r="B174" s="9"/>
    </row>
    <row r="175" spans="2:2">
      <c r="B175" s="9"/>
    </row>
    <row r="176" spans="2:2">
      <c r="B176" s="9"/>
    </row>
  </sheetData>
  <phoneticPr fontId="5" type="noConversion"/>
  <pageMargins left="0.69930555555555596" right="0.69930555555555596" top="0.75" bottom="0.75" header="0.3" footer="0.3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9"/>
  <sheetViews>
    <sheetView topLeftCell="A43" workbookViewId="0">
      <selection activeCell="A57" sqref="A57:B59"/>
    </sheetView>
  </sheetViews>
  <sheetFormatPr defaultColWidth="9" defaultRowHeight="13.5"/>
  <cols>
    <col min="1" max="1" width="10.875" customWidth="1"/>
    <col min="2" max="2" width="13.875" customWidth="1"/>
  </cols>
  <sheetData>
    <row r="1" spans="1:7">
      <c r="A1" t="s">
        <v>0</v>
      </c>
      <c r="B1">
        <v>50307</v>
      </c>
      <c r="C1" t="s">
        <v>1</v>
      </c>
      <c r="D1">
        <v>744.5</v>
      </c>
    </row>
    <row r="2" spans="1:7">
      <c r="A2" t="s">
        <v>2</v>
      </c>
      <c r="B2" s="10">
        <v>-3.6195199999999999E-10</v>
      </c>
    </row>
    <row r="3" spans="1:7">
      <c r="A3" t="s">
        <v>3</v>
      </c>
      <c r="B3">
        <v>-6.2858E-5</v>
      </c>
    </row>
    <row r="4" spans="1:7">
      <c r="A4" t="s">
        <v>4</v>
      </c>
      <c r="B4">
        <v>0.59808181999999999</v>
      </c>
    </row>
    <row r="5" spans="1:7">
      <c r="A5" t="s">
        <v>5</v>
      </c>
      <c r="B5">
        <v>-1.428033E-3</v>
      </c>
    </row>
    <row r="6" spans="1:7">
      <c r="A6" t="s">
        <v>6</v>
      </c>
      <c r="B6" t="s">
        <v>7</v>
      </c>
      <c r="C6" t="s">
        <v>8</v>
      </c>
      <c r="D6" t="s">
        <v>9</v>
      </c>
      <c r="E6" t="s">
        <v>10</v>
      </c>
      <c r="F6" t="s">
        <v>11</v>
      </c>
      <c r="G6" t="s">
        <v>12</v>
      </c>
    </row>
    <row r="7" spans="1:7">
      <c r="A7" s="6">
        <v>42587</v>
      </c>
      <c r="B7" s="1">
        <v>0.33333333333333298</v>
      </c>
      <c r="C7" s="2">
        <v>9143.4</v>
      </c>
      <c r="D7" s="2">
        <v>20.399999999999999</v>
      </c>
      <c r="E7" s="3">
        <f>($B$2*C7^2+$B$3*C7+$B$4)-$B$5*D7</f>
        <v>2.2218030475930857E-2</v>
      </c>
      <c r="G7" t="s">
        <v>13</v>
      </c>
    </row>
    <row r="8" spans="1:7">
      <c r="A8" s="7">
        <v>42587</v>
      </c>
      <c r="B8" s="16">
        <v>0.64583333333333304</v>
      </c>
      <c r="C8" s="2">
        <v>9291.2999999999993</v>
      </c>
      <c r="D8" s="2">
        <v>27.6</v>
      </c>
      <c r="E8" s="3">
        <f t="shared" ref="E8:E32" si="0">($B$2*C8^2+$B$3*C8+$B$4)-$B$5*D8-$E$7</f>
        <v>-1.7198794377629167E-6</v>
      </c>
      <c r="F8" s="4">
        <f>$D$1+102*E8</f>
        <v>744.49982457229737</v>
      </c>
      <c r="G8" s="5" t="s">
        <v>14</v>
      </c>
    </row>
    <row r="9" spans="1:7">
      <c r="A9" s="7">
        <v>42588</v>
      </c>
      <c r="B9" s="16">
        <v>0.33333333333333298</v>
      </c>
      <c r="C9" s="2">
        <v>9201.4</v>
      </c>
      <c r="D9" s="2">
        <v>23.4</v>
      </c>
      <c r="E9" s="3">
        <f t="shared" si="0"/>
        <v>2.532186511233353E-4</v>
      </c>
      <c r="F9" s="4">
        <f t="shared" ref="F9:F41" si="1">$D$1+102*E9</f>
        <v>744.52582830241454</v>
      </c>
    </row>
    <row r="10" spans="1:7">
      <c r="A10" s="7">
        <v>42589</v>
      </c>
      <c r="B10" s="16">
        <v>0.33333333333333298</v>
      </c>
      <c r="C10" s="2">
        <v>9164.5</v>
      </c>
      <c r="D10" s="2">
        <v>20.6</v>
      </c>
      <c r="E10" s="3">
        <f t="shared" si="0"/>
        <v>-1.1805180595388758E-3</v>
      </c>
      <c r="F10" s="4">
        <f t="shared" si="1"/>
        <v>744.37958715792706</v>
      </c>
    </row>
    <row r="11" spans="1:7">
      <c r="A11" s="7">
        <v>42590</v>
      </c>
      <c r="B11" s="16">
        <v>0.33333333333333298</v>
      </c>
      <c r="C11" s="2">
        <v>9123.5</v>
      </c>
      <c r="D11" s="2">
        <v>17.399999999999999</v>
      </c>
      <c r="E11" s="3">
        <f t="shared" si="0"/>
        <v>-2.9016511543227957E-3</v>
      </c>
      <c r="F11" s="4">
        <f t="shared" si="1"/>
        <v>744.20403158225906</v>
      </c>
    </row>
    <row r="12" spans="1:7">
      <c r="A12" s="7">
        <v>42602</v>
      </c>
      <c r="B12" s="16">
        <v>0.33333333333333298</v>
      </c>
      <c r="C12" s="2">
        <v>9160.9</v>
      </c>
      <c r="D12" s="2">
        <v>20.9</v>
      </c>
      <c r="E12" s="3">
        <f t="shared" si="0"/>
        <v>-5.0194086488799736E-4</v>
      </c>
      <c r="F12" s="4">
        <f t="shared" si="1"/>
        <v>744.44880203178138</v>
      </c>
    </row>
    <row r="13" spans="1:7">
      <c r="A13" s="7">
        <v>42612</v>
      </c>
      <c r="B13" s="16">
        <v>0.33333333333333298</v>
      </c>
      <c r="C13" s="2">
        <v>9170.1</v>
      </c>
      <c r="D13" s="2">
        <v>21.8</v>
      </c>
      <c r="E13" s="3">
        <f t="shared" si="0"/>
        <v>1.4395376768159066E-4</v>
      </c>
      <c r="F13" s="4">
        <f t="shared" si="1"/>
        <v>744.51468328430349</v>
      </c>
    </row>
    <row r="14" spans="1:7">
      <c r="A14" s="7">
        <v>42623</v>
      </c>
      <c r="B14" s="16">
        <v>0.33333333333333298</v>
      </c>
      <c r="C14" s="2">
        <v>9179.1</v>
      </c>
      <c r="D14" s="2">
        <v>21.6</v>
      </c>
      <c r="E14" s="3">
        <f t="shared" si="0"/>
        <v>-7.6714859906393956E-4</v>
      </c>
      <c r="F14" s="4">
        <f t="shared" si="1"/>
        <v>744.42175084289545</v>
      </c>
    </row>
    <row r="15" spans="1:7">
      <c r="A15" s="7">
        <v>42633</v>
      </c>
      <c r="B15" s="9">
        <v>0.33333333333333331</v>
      </c>
      <c r="C15" s="2">
        <v>9165</v>
      </c>
      <c r="D15" s="2">
        <v>21.2</v>
      </c>
      <c r="E15" s="3">
        <f t="shared" si="0"/>
        <v>-3.5844445913097572E-4</v>
      </c>
      <c r="F15" s="4">
        <f t="shared" si="1"/>
        <v>744.46343866516861</v>
      </c>
    </row>
    <row r="16" spans="1:7">
      <c r="A16" s="7">
        <v>42643</v>
      </c>
      <c r="B16" s="9">
        <v>0.33333333333333331</v>
      </c>
      <c r="C16" s="2">
        <v>9169</v>
      </c>
      <c r="D16" s="2">
        <v>20.6</v>
      </c>
      <c r="E16" s="3">
        <f t="shared" si="0"/>
        <v>-1.49324037100294E-3</v>
      </c>
      <c r="F16" s="4">
        <f t="shared" si="1"/>
        <v>744.34768948215765</v>
      </c>
    </row>
    <row r="17" spans="1:7">
      <c r="A17" s="7">
        <v>42883</v>
      </c>
      <c r="B17" s="1">
        <v>0.33333333333333331</v>
      </c>
      <c r="C17" s="2">
        <v>8931.9</v>
      </c>
      <c r="D17" s="2">
        <v>7.9</v>
      </c>
      <c r="E17" s="3">
        <f t="shared" si="0"/>
        <v>-3.1722298065455512E-3</v>
      </c>
      <c r="F17" s="4">
        <f t="shared" si="1"/>
        <v>744.17643255973235</v>
      </c>
    </row>
    <row r="18" spans="1:7">
      <c r="A18" s="7">
        <v>42885</v>
      </c>
      <c r="B18" s="9">
        <v>0.33333333333333331</v>
      </c>
      <c r="C18" s="2">
        <v>8935.4</v>
      </c>
      <c r="D18" s="2">
        <v>7.9</v>
      </c>
      <c r="E18" s="3">
        <f t="shared" si="0"/>
        <v>-3.4148676739391981E-3</v>
      </c>
      <c r="F18" s="4">
        <f t="shared" si="1"/>
        <v>744.1516834972582</v>
      </c>
    </row>
    <row r="19" spans="1:7">
      <c r="A19" s="7">
        <v>42896</v>
      </c>
      <c r="B19" s="1">
        <v>0.33333333333333331</v>
      </c>
      <c r="C19" s="2">
        <v>8924.4</v>
      </c>
      <c r="D19" s="2">
        <v>8</v>
      </c>
      <c r="E19" s="3">
        <f t="shared" si="0"/>
        <v>-2.5095180803134907E-3</v>
      </c>
      <c r="F19" s="4">
        <f t="shared" si="1"/>
        <v>744.24402915580799</v>
      </c>
    </row>
    <row r="20" spans="1:7">
      <c r="A20" s="7">
        <v>42906</v>
      </c>
      <c r="B20" s="1">
        <v>0.33333333333333331</v>
      </c>
      <c r="C20" s="2">
        <v>8927.7999999999993</v>
      </c>
      <c r="D20" s="2">
        <v>8.1</v>
      </c>
      <c r="E20" s="3">
        <f t="shared" si="0"/>
        <v>-2.6024015545945897E-3</v>
      </c>
      <c r="F20" s="4">
        <f t="shared" si="1"/>
        <v>744.23455504143135</v>
      </c>
    </row>
    <row r="21" spans="1:7">
      <c r="A21" s="7">
        <v>42916</v>
      </c>
      <c r="B21" s="1">
        <v>0.33333333333333331</v>
      </c>
      <c r="C21" s="2">
        <v>8935.4</v>
      </c>
      <c r="D21" s="2">
        <v>8.5</v>
      </c>
      <c r="E21" s="3">
        <f t="shared" si="0"/>
        <v>-2.5580478739391996E-3</v>
      </c>
      <c r="F21" s="4">
        <f t="shared" si="1"/>
        <v>744.23907911685819</v>
      </c>
    </row>
    <row r="22" spans="1:7">
      <c r="A22" s="7">
        <v>42926</v>
      </c>
      <c r="B22" s="1">
        <v>0.33333333333333331</v>
      </c>
      <c r="C22" s="2">
        <v>8961.2000000000007</v>
      </c>
      <c r="D22" s="2">
        <v>8.8000000000000007</v>
      </c>
      <c r="E22" s="3">
        <f t="shared" si="0"/>
        <v>-3.9184992961497668E-3</v>
      </c>
      <c r="F22" s="4">
        <f t="shared" si="1"/>
        <v>744.1003130717927</v>
      </c>
    </row>
    <row r="23" spans="1:7">
      <c r="A23" s="7">
        <v>42936</v>
      </c>
      <c r="B23" s="1">
        <v>0.33333333333333331</v>
      </c>
      <c r="C23" s="2">
        <v>8956.5</v>
      </c>
      <c r="D23" s="2">
        <v>9.1</v>
      </c>
      <c r="E23" s="3">
        <f t="shared" si="0"/>
        <v>-3.164175663602789E-3</v>
      </c>
      <c r="F23" s="4">
        <f t="shared" si="1"/>
        <v>744.17725408231252</v>
      </c>
    </row>
    <row r="24" spans="1:7">
      <c r="A24" s="7">
        <v>42946</v>
      </c>
      <c r="B24" s="1">
        <v>0.33333333333333331</v>
      </c>
      <c r="C24" s="2">
        <v>8959.9</v>
      </c>
      <c r="D24" s="2">
        <v>9.4</v>
      </c>
      <c r="E24" s="3">
        <f t="shared" si="0"/>
        <v>-2.9715315447663634E-3</v>
      </c>
      <c r="F24" s="4">
        <f t="shared" si="1"/>
        <v>744.19690378243388</v>
      </c>
      <c r="G24" s="2"/>
    </row>
    <row r="25" spans="1:7">
      <c r="A25" s="7">
        <v>42957</v>
      </c>
      <c r="B25" s="1">
        <v>0.33333333333333331</v>
      </c>
      <c r="C25" s="2">
        <v>8957.4</v>
      </c>
      <c r="D25" s="2">
        <v>9.8000000000000007</v>
      </c>
      <c r="E25" s="3">
        <f t="shared" si="0"/>
        <v>-2.2269603383423264E-3</v>
      </c>
      <c r="F25" s="4">
        <f t="shared" si="1"/>
        <v>744.27285004548912</v>
      </c>
      <c r="G25" s="2"/>
    </row>
    <row r="26" spans="1:7">
      <c r="A26" s="7">
        <v>42967</v>
      </c>
      <c r="B26" s="1">
        <v>0.33333333333333331</v>
      </c>
      <c r="C26" s="2">
        <v>8970.2000000000007</v>
      </c>
      <c r="D26" s="2">
        <v>10</v>
      </c>
      <c r="E26" s="3">
        <f t="shared" si="0"/>
        <v>-2.8289944509850146E-3</v>
      </c>
      <c r="F26" s="4">
        <f t="shared" si="1"/>
        <v>744.2114425659995</v>
      </c>
      <c r="G26" s="2"/>
    </row>
    <row r="27" spans="1:7">
      <c r="A27" s="6">
        <v>42977</v>
      </c>
      <c r="B27" s="1">
        <v>0.33333333333333331</v>
      </c>
      <c r="C27" s="2">
        <v>8965.2999999999993</v>
      </c>
      <c r="D27" s="2">
        <v>11.2</v>
      </c>
      <c r="E27" s="3">
        <f t="shared" si="0"/>
        <v>-7.7554087951459127E-4</v>
      </c>
      <c r="F27" s="4">
        <f t="shared" si="1"/>
        <v>744.42089483028951</v>
      </c>
      <c r="G27" s="2"/>
    </row>
    <row r="28" spans="1:7">
      <c r="A28" s="7">
        <v>42988</v>
      </c>
      <c r="B28" s="1">
        <v>0.33333333333333331</v>
      </c>
      <c r="C28" s="2">
        <v>8966.7999999999993</v>
      </c>
      <c r="D28" s="2">
        <v>11.4</v>
      </c>
      <c r="E28" s="3">
        <f t="shared" si="0"/>
        <v>-5.9395711870323387E-4</v>
      </c>
      <c r="F28" s="4">
        <f t="shared" si="1"/>
        <v>744.4394163738923</v>
      </c>
    </row>
    <row r="29" spans="1:7">
      <c r="A29" s="7">
        <v>42998</v>
      </c>
      <c r="B29" s="1">
        <v>0.33333333333333331</v>
      </c>
      <c r="C29" s="2">
        <v>8983.5</v>
      </c>
      <c r="D29" s="2">
        <v>10.9</v>
      </c>
      <c r="E29" s="3">
        <f t="shared" si="0"/>
        <v>-2.4662045733628429E-3</v>
      </c>
      <c r="F29" s="4">
        <f t="shared" si="1"/>
        <v>744.24844713351695</v>
      </c>
    </row>
    <row r="30" spans="1:7">
      <c r="A30" s="7">
        <v>43008</v>
      </c>
      <c r="B30" s="1">
        <v>0.33333333333333331</v>
      </c>
      <c r="C30" s="2">
        <v>8969.2999999999993</v>
      </c>
      <c r="D30" s="2">
        <v>10.8</v>
      </c>
      <c r="E30" s="3">
        <f t="shared" si="0"/>
        <v>-1.6241519368712862E-3</v>
      </c>
      <c r="F30" s="4">
        <f t="shared" si="1"/>
        <v>744.3343365024391</v>
      </c>
    </row>
    <row r="31" spans="1:7">
      <c r="A31" s="7">
        <v>43018</v>
      </c>
      <c r="B31" s="1">
        <v>0.33333333333333331</v>
      </c>
      <c r="C31" s="2">
        <v>8984.5</v>
      </c>
      <c r="D31" s="2">
        <v>11.1</v>
      </c>
      <c r="E31" s="3">
        <f t="shared" si="0"/>
        <v>-2.2499595268989404E-3</v>
      </c>
      <c r="F31" s="4">
        <f t="shared" si="1"/>
        <v>744.27050412825633</v>
      </c>
    </row>
    <row r="32" spans="1:7">
      <c r="A32" s="7">
        <v>43230</v>
      </c>
      <c r="B32" s="1">
        <v>0.33333333333333331</v>
      </c>
      <c r="C32" s="2">
        <v>8971.7999999999993</v>
      </c>
      <c r="D32" s="2">
        <v>9.9</v>
      </c>
      <c r="E32" s="3">
        <f t="shared" si="0"/>
        <v>-3.082761179439307E-3</v>
      </c>
      <c r="F32" s="4">
        <f t="shared" si="1"/>
        <v>744.18555835969721</v>
      </c>
    </row>
    <row r="33" spans="1:6">
      <c r="A33" s="7">
        <v>43240</v>
      </c>
      <c r="B33" s="1">
        <v>0.33333333333333331</v>
      </c>
      <c r="C33" s="2">
        <v>8966.1</v>
      </c>
      <c r="D33" s="2">
        <v>9.8000000000000007</v>
      </c>
      <c r="E33" s="3">
        <f t="shared" ref="E33:E41" si="2">($B$2*C33^2+$B$3*C33+$B$4)-$B$5*D33-$E$7</f>
        <v>-2.8302657243887974E-3</v>
      </c>
      <c r="F33" s="4">
        <f t="shared" si="1"/>
        <v>744.2113128961123</v>
      </c>
    </row>
    <row r="34" spans="1:6">
      <c r="A34" s="7">
        <v>43250</v>
      </c>
      <c r="B34" s="1">
        <v>0.33333333333333331</v>
      </c>
      <c r="C34" s="2">
        <v>8956.7000000000007</v>
      </c>
      <c r="D34" s="2">
        <v>9.6</v>
      </c>
      <c r="E34" s="3">
        <f t="shared" si="2"/>
        <v>-2.4640275073162105E-3</v>
      </c>
      <c r="F34" s="4">
        <f t="shared" si="1"/>
        <v>744.24866919425369</v>
      </c>
    </row>
    <row r="35" spans="1:6">
      <c r="A35" s="7">
        <v>43261</v>
      </c>
      <c r="B35" s="1">
        <v>0.33333333333333331</v>
      </c>
      <c r="C35" s="2">
        <v>8961.2000000000007</v>
      </c>
      <c r="D35" s="2">
        <v>9.3000000000000007</v>
      </c>
      <c r="E35" s="3">
        <f t="shared" si="2"/>
        <v>-3.2044827961497657E-3</v>
      </c>
      <c r="F35" s="4">
        <f t="shared" si="1"/>
        <v>744.17314275479271</v>
      </c>
    </row>
    <row r="36" spans="1:6">
      <c r="A36" s="7">
        <v>43271</v>
      </c>
      <c r="B36" s="1">
        <v>0.33333333333333331</v>
      </c>
      <c r="C36" s="2">
        <v>8957.9</v>
      </c>
      <c r="D36" s="2">
        <v>9.1999999999999993</v>
      </c>
      <c r="E36" s="3">
        <f t="shared" si="2"/>
        <v>-3.1184513776750869E-3</v>
      </c>
      <c r="F36" s="4">
        <f t="shared" si="1"/>
        <v>744.18191795947712</v>
      </c>
    </row>
    <row r="37" spans="1:6">
      <c r="A37" s="7">
        <v>43281</v>
      </c>
      <c r="B37" s="1">
        <v>0.33333333333333331</v>
      </c>
      <c r="C37" s="2">
        <v>8949.7000000000007</v>
      </c>
      <c r="D37" s="2">
        <v>8.9</v>
      </c>
      <c r="E37" s="3">
        <f t="shared" si="2"/>
        <v>-2.978275806266608E-3</v>
      </c>
      <c r="F37" s="4">
        <f t="shared" si="1"/>
        <v>744.19621586776077</v>
      </c>
    </row>
    <row r="38" spans="1:6">
      <c r="A38" s="7">
        <v>43291</v>
      </c>
      <c r="B38" s="1">
        <v>0.33333333333333331</v>
      </c>
      <c r="C38" s="2">
        <v>8942.1</v>
      </c>
      <c r="D38" s="2">
        <v>8.8000000000000007</v>
      </c>
      <c r="E38" s="3">
        <f t="shared" si="2"/>
        <v>-2.5941409130352568E-3</v>
      </c>
      <c r="F38" s="4">
        <f t="shared" si="1"/>
        <v>744.23539762687039</v>
      </c>
    </row>
    <row r="39" spans="1:6">
      <c r="A39" s="7">
        <v>43301</v>
      </c>
      <c r="B39" s="1">
        <v>0.33333333333333331</v>
      </c>
      <c r="C39" s="2">
        <v>8937.2999999999993</v>
      </c>
      <c r="D39" s="2">
        <v>8.6999999999999993</v>
      </c>
      <c r="E39" s="3">
        <f t="shared" si="2"/>
        <v>-2.4041626870089199E-3</v>
      </c>
      <c r="F39" s="4">
        <f t="shared" si="1"/>
        <v>744.2547754059251</v>
      </c>
    </row>
    <row r="40" spans="1:6">
      <c r="A40" s="7">
        <v>43311</v>
      </c>
      <c r="B40" s="1">
        <v>0.33333333333333331</v>
      </c>
      <c r="C40" s="2">
        <v>8930.2000000000007</v>
      </c>
      <c r="D40" s="2">
        <v>8.4</v>
      </c>
      <c r="E40" s="3">
        <f t="shared" si="2"/>
        <v>-2.3403638277529892E-3</v>
      </c>
      <c r="F40" s="4">
        <f t="shared" si="1"/>
        <v>744.2612828895692</v>
      </c>
    </row>
    <row r="41" spans="1:6">
      <c r="A41" s="7">
        <v>43322</v>
      </c>
      <c r="B41" s="1">
        <v>0.33333333333333331</v>
      </c>
      <c r="C41" s="2">
        <v>8924.7000000000007</v>
      </c>
      <c r="D41" s="2">
        <v>8.1</v>
      </c>
      <c r="E41" s="3">
        <f t="shared" si="2"/>
        <v>-2.3875103355465374E-3</v>
      </c>
      <c r="F41" s="4">
        <f t="shared" si="1"/>
        <v>744.25647394577425</v>
      </c>
    </row>
    <row r="42" spans="1:6">
      <c r="A42" s="7">
        <v>43332</v>
      </c>
      <c r="B42" s="1">
        <v>0.33333333333333331</v>
      </c>
      <c r="C42" s="2">
        <v>8933.9</v>
      </c>
      <c r="D42" s="2">
        <v>8.1</v>
      </c>
      <c r="E42" s="3">
        <f t="shared" ref="E42:E43" si="3">($B$2*C42^2+$B$3*C42+$B$4)-$B$5*D42-$E$7</f>
        <v>-3.0252723306287907E-3</v>
      </c>
      <c r="F42" s="4">
        <f t="shared" ref="F42:F43" si="4">$D$1+102*E42</f>
        <v>744.19142222227583</v>
      </c>
    </row>
    <row r="43" spans="1:6">
      <c r="A43" s="7">
        <v>43342</v>
      </c>
      <c r="B43" s="1">
        <v>0.33333333333333331</v>
      </c>
      <c r="C43" s="2">
        <v>8933</v>
      </c>
      <c r="D43" s="2">
        <v>8</v>
      </c>
      <c r="E43" s="3">
        <f t="shared" si="3"/>
        <v>-3.1056831664588412E-3</v>
      </c>
      <c r="F43" s="4">
        <f t="shared" si="4"/>
        <v>744.18322031702121</v>
      </c>
    </row>
    <row r="44" spans="1:6">
      <c r="A44" s="7">
        <v>43353</v>
      </c>
      <c r="B44" s="1">
        <v>0.33333333333333331</v>
      </c>
      <c r="C44" s="2">
        <v>8929.5</v>
      </c>
      <c r="D44" s="2">
        <v>7.9</v>
      </c>
      <c r="E44" s="3">
        <f t="shared" ref="E44:E47" si="5">($B$2*C44^2+$B$3*C44+$B$4)-$B$5*D44-$E$7</f>
        <v>-3.0058546798589492E-3</v>
      </c>
      <c r="F44" s="4">
        <f t="shared" ref="F44:F47" si="6">$D$1+102*E44</f>
        <v>744.19340282265443</v>
      </c>
    </row>
    <row r="45" spans="1:6">
      <c r="A45" s="7">
        <v>43363</v>
      </c>
      <c r="B45" s="1">
        <v>0.33333333333333331</v>
      </c>
      <c r="C45" s="2">
        <v>8919.2999999999993</v>
      </c>
      <c r="D45" s="2">
        <v>7.9</v>
      </c>
      <c r="E45" s="3">
        <f t="shared" si="5"/>
        <v>-2.2988069095112584E-3</v>
      </c>
      <c r="F45" s="4">
        <f t="shared" si="6"/>
        <v>744.26552169522984</v>
      </c>
    </row>
    <row r="46" spans="1:6">
      <c r="A46" s="7">
        <v>43373</v>
      </c>
      <c r="B46" s="1">
        <v>0.33333333333333331</v>
      </c>
      <c r="C46" s="2">
        <v>8932.2999999999993</v>
      </c>
      <c r="D46" s="2">
        <v>7.7</v>
      </c>
      <c r="E46" s="3">
        <f t="shared" si="5"/>
        <v>-3.4855659997128779E-3</v>
      </c>
      <c r="F46" s="4">
        <f t="shared" si="6"/>
        <v>744.14447226802929</v>
      </c>
    </row>
    <row r="47" spans="1:6">
      <c r="A47" s="7">
        <v>43383</v>
      </c>
      <c r="B47" s="1">
        <v>0.33333333333333331</v>
      </c>
      <c r="C47" s="2">
        <v>8932.7000000000007</v>
      </c>
      <c r="D47" s="2">
        <v>7.6</v>
      </c>
      <c r="E47" s="3">
        <f t="shared" si="5"/>
        <v>-3.656099008704998E-3</v>
      </c>
      <c r="F47" s="4">
        <f t="shared" si="6"/>
        <v>744.1270779011121</v>
      </c>
    </row>
    <row r="48" spans="1:6">
      <c r="A48" s="7">
        <v>43393</v>
      </c>
      <c r="B48" s="1">
        <v>0.33333333333333331</v>
      </c>
      <c r="C48" s="2">
        <v>8930.4</v>
      </c>
      <c r="D48" s="2">
        <v>7.4</v>
      </c>
      <c r="E48" s="3">
        <f t="shared" ref="E48:E59" si="7">($B$2*C48^2+$B$3*C48+$B$4)-$B$5*D48-$E$7</f>
        <v>-3.7822613637311722E-3</v>
      </c>
      <c r="F48" s="4">
        <f t="shared" ref="F48:F59" si="8">$D$1+102*E48</f>
        <v>744.11420934089938</v>
      </c>
    </row>
    <row r="49" spans="1:6">
      <c r="A49" s="7">
        <v>43605</v>
      </c>
      <c r="B49" s="1">
        <v>0.33333333333333331</v>
      </c>
      <c r="C49" s="2">
        <v>8926.2000000000007</v>
      </c>
      <c r="D49" s="2">
        <v>7.2</v>
      </c>
      <c r="E49" s="3">
        <f t="shared" si="7"/>
        <v>-3.7767187889817984E-3</v>
      </c>
      <c r="F49" s="4">
        <f t="shared" si="8"/>
        <v>744.11477468352382</v>
      </c>
    </row>
    <row r="50" spans="1:6">
      <c r="A50" s="7">
        <v>43615</v>
      </c>
      <c r="B50" s="1">
        <v>0.33333333333333331</v>
      </c>
      <c r="C50" s="2">
        <v>8928.4</v>
      </c>
      <c r="D50" s="2">
        <v>7.2</v>
      </c>
      <c r="E50" s="3">
        <f t="shared" si="7"/>
        <v>-3.9292239069759378E-3</v>
      </c>
      <c r="F50" s="4">
        <f t="shared" si="8"/>
        <v>744.09921916148846</v>
      </c>
    </row>
    <row r="51" spans="1:6">
      <c r="A51" s="7">
        <v>43626</v>
      </c>
      <c r="B51" s="1">
        <v>0.33333333333333331</v>
      </c>
      <c r="C51" s="2">
        <v>8930.4</v>
      </c>
      <c r="D51" s="2">
        <v>7.4</v>
      </c>
      <c r="E51" s="3">
        <f t="shared" si="7"/>
        <v>-3.7822613637311722E-3</v>
      </c>
      <c r="F51" s="4">
        <f t="shared" si="8"/>
        <v>744.11420934089938</v>
      </c>
    </row>
    <row r="52" spans="1:6">
      <c r="A52" s="7">
        <v>43636</v>
      </c>
      <c r="B52" s="1">
        <v>0.33333333333333331</v>
      </c>
      <c r="C52" s="2">
        <v>8931.7000000000007</v>
      </c>
      <c r="D52" s="2">
        <v>7.4</v>
      </c>
      <c r="E52" s="3">
        <f t="shared" si="7"/>
        <v>-3.872381553396205E-3</v>
      </c>
      <c r="F52" s="4">
        <f t="shared" si="8"/>
        <v>744.10501708155357</v>
      </c>
    </row>
    <row r="53" spans="1:6">
      <c r="A53" s="7">
        <v>43646</v>
      </c>
      <c r="B53" s="1">
        <v>0.33333333333333331</v>
      </c>
      <c r="C53" s="2">
        <v>8927.2999999999993</v>
      </c>
      <c r="D53" s="2">
        <v>7.2</v>
      </c>
      <c r="E53" s="3">
        <f t="shared" si="7"/>
        <v>-3.8529709100169236E-3</v>
      </c>
      <c r="F53" s="4">
        <f t="shared" si="8"/>
        <v>744.10699696717825</v>
      </c>
    </row>
    <row r="54" spans="1:6">
      <c r="A54" s="7">
        <v>43656</v>
      </c>
      <c r="B54" s="1">
        <v>0.33333333333333331</v>
      </c>
      <c r="C54" s="2">
        <v>8918.4</v>
      </c>
      <c r="D54" s="2">
        <v>6.8</v>
      </c>
      <c r="E54" s="3">
        <f t="shared" si="7"/>
        <v>-3.8072602574399789E-3</v>
      </c>
      <c r="F54" s="4">
        <f t="shared" si="8"/>
        <v>744.11165945374114</v>
      </c>
    </row>
    <row r="55" spans="1:6">
      <c r="A55" s="7">
        <v>43666</v>
      </c>
      <c r="B55" s="1">
        <v>0.33333333333333331</v>
      </c>
      <c r="C55" s="2">
        <v>8912.6</v>
      </c>
      <c r="D55" s="2">
        <v>6.5</v>
      </c>
      <c r="E55" s="3">
        <f t="shared" si="7"/>
        <v>-3.8336607539905011E-3</v>
      </c>
      <c r="F55" s="4">
        <f t="shared" si="8"/>
        <v>744.10896660309299</v>
      </c>
    </row>
    <row r="56" spans="1:6">
      <c r="A56" s="7">
        <v>43676</v>
      </c>
      <c r="B56" s="1">
        <v>0.33333333333333331</v>
      </c>
      <c r="C56" s="2">
        <v>8905.7999999999993</v>
      </c>
      <c r="D56" s="2">
        <v>6.2</v>
      </c>
      <c r="E56" s="3">
        <f t="shared" si="7"/>
        <v>-3.7907802964760248E-3</v>
      </c>
      <c r="F56" s="4">
        <f t="shared" si="8"/>
        <v>744.11334040975942</v>
      </c>
    </row>
    <row r="57" spans="1:6">
      <c r="A57" s="7">
        <v>43687</v>
      </c>
      <c r="B57" s="9">
        <v>0.33333333333333331</v>
      </c>
      <c r="C57" s="2">
        <v>8895.2999999999993</v>
      </c>
      <c r="D57" s="2">
        <v>6.2</v>
      </c>
      <c r="E57" s="3">
        <f t="shared" si="7"/>
        <v>-3.0631182871305382E-3</v>
      </c>
      <c r="F57" s="4">
        <f t="shared" si="8"/>
        <v>744.18756193471268</v>
      </c>
    </row>
    <row r="58" spans="1:6">
      <c r="A58" s="7">
        <v>43697</v>
      </c>
      <c r="B58" s="1">
        <v>0.33333333333333331</v>
      </c>
      <c r="C58" s="2">
        <v>8890.2000000000007</v>
      </c>
      <c r="D58" s="2">
        <v>6</v>
      </c>
      <c r="E58" s="3">
        <f t="shared" si="7"/>
        <v>-2.9953178509209769E-3</v>
      </c>
      <c r="F58" s="4">
        <f t="shared" si="8"/>
        <v>744.19447757920602</v>
      </c>
    </row>
    <row r="59" spans="1:6">
      <c r="A59" s="7">
        <v>43707</v>
      </c>
      <c r="B59" s="9">
        <v>0.33333333333333331</v>
      </c>
      <c r="C59" s="2">
        <v>8884.9</v>
      </c>
      <c r="D59" s="2">
        <v>5.9</v>
      </c>
      <c r="E59" s="3">
        <f t="shared" si="7"/>
        <v>-2.7708749660463744E-3</v>
      </c>
      <c r="F59" s="4">
        <f t="shared" si="8"/>
        <v>744.21737075346323</v>
      </c>
    </row>
  </sheetData>
  <phoneticPr fontId="4" type="noConversion"/>
  <pageMargins left="0.69930555555555596" right="0.69930555555555596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6"/>
  <sheetViews>
    <sheetView topLeftCell="A58" workbookViewId="0">
      <selection activeCell="A69" sqref="A69:B71"/>
    </sheetView>
  </sheetViews>
  <sheetFormatPr defaultColWidth="9" defaultRowHeight="13.5"/>
  <cols>
    <col min="1" max="1" width="11" customWidth="1"/>
    <col min="2" max="2" width="13.125" style="17" customWidth="1"/>
    <col min="5" max="5" width="10.875" customWidth="1"/>
    <col min="8" max="8" width="9.5" customWidth="1"/>
  </cols>
  <sheetData>
    <row r="1" spans="1:8">
      <c r="A1" t="s">
        <v>0</v>
      </c>
      <c r="B1" s="17">
        <v>50394</v>
      </c>
      <c r="C1" t="s">
        <v>1</v>
      </c>
      <c r="D1">
        <v>737.8</v>
      </c>
    </row>
    <row r="2" spans="1:8">
      <c r="A2" t="s">
        <v>2</v>
      </c>
      <c r="B2">
        <f>6.40256*10^-10</f>
        <v>6.4025600000000009E-10</v>
      </c>
    </row>
    <row r="3" spans="1:8">
      <c r="A3" t="s">
        <v>3</v>
      </c>
      <c r="B3" s="17">
        <v>-7.8563E-5</v>
      </c>
    </row>
    <row r="4" spans="1:8">
      <c r="A4" t="s">
        <v>4</v>
      </c>
      <c r="B4" s="17">
        <v>0.66402486999999999</v>
      </c>
    </row>
    <row r="5" spans="1:8">
      <c r="A5" t="s">
        <v>5</v>
      </c>
      <c r="B5" s="17">
        <v>-9.6382E-4</v>
      </c>
    </row>
    <row r="6" spans="1:8">
      <c r="A6" t="s">
        <v>6</v>
      </c>
      <c r="B6" s="17" t="s">
        <v>7</v>
      </c>
      <c r="C6" t="s">
        <v>8</v>
      </c>
      <c r="D6" t="s">
        <v>9</v>
      </c>
      <c r="E6" t="s">
        <v>10</v>
      </c>
      <c r="F6" t="s">
        <v>11</v>
      </c>
      <c r="G6" t="s">
        <v>12</v>
      </c>
    </row>
    <row r="7" spans="1:8">
      <c r="A7" s="5" t="s">
        <v>15</v>
      </c>
      <c r="B7" s="9">
        <v>0.33333333333333298</v>
      </c>
      <c r="C7" s="2">
        <v>9141.6</v>
      </c>
      <c r="D7" s="2">
        <v>21.6</v>
      </c>
      <c r="E7" s="3">
        <f>($B$2*C7^2+$B$3*C7+$B$4)-$B$5*D7</f>
        <v>2.0157319184143364E-2</v>
      </c>
      <c r="G7" t="s">
        <v>13</v>
      </c>
    </row>
    <row r="8" spans="1:8">
      <c r="A8" s="5" t="s">
        <v>16</v>
      </c>
      <c r="B8" s="9">
        <v>0.41666666666666702</v>
      </c>
      <c r="C8" s="2">
        <v>9145.5</v>
      </c>
      <c r="D8" s="2">
        <v>21.3</v>
      </c>
      <c r="E8" s="3">
        <f>($B$2*C8^2+$B$3*C8+$B$4)-$B$5*D8-$E$7</f>
        <v>-5.4987884055927513E-4</v>
      </c>
      <c r="F8" s="4">
        <f>$D$1+102*E8</f>
        <v>737.74391235826295</v>
      </c>
      <c r="G8" t="s">
        <v>17</v>
      </c>
      <c r="H8" s="23"/>
    </row>
    <row r="9" spans="1:8">
      <c r="A9" s="5" t="s">
        <v>16</v>
      </c>
      <c r="B9" s="9">
        <v>0.45833333333333298</v>
      </c>
      <c r="C9" s="2">
        <v>9146.6</v>
      </c>
      <c r="D9" s="2">
        <v>19.7</v>
      </c>
      <c r="E9" s="3">
        <f t="shared" ref="E9:E22" si="0">($B$2*C9^2+$B$3*C9+$B$4)-$B$5*D9-$E$7</f>
        <v>-2.1655273511040352E-3</v>
      </c>
      <c r="F9" s="4">
        <f t="shared" ref="F9:F53" si="1">$D$1+102*E9</f>
        <v>737.57911621018729</v>
      </c>
      <c r="G9" s="5" t="s">
        <v>14</v>
      </c>
      <c r="H9" s="23"/>
    </row>
    <row r="10" spans="1:8">
      <c r="A10" s="5" t="s">
        <v>18</v>
      </c>
      <c r="B10" s="9">
        <v>0.33333333333333298</v>
      </c>
      <c r="C10" s="2">
        <v>8928.4</v>
      </c>
      <c r="D10" s="2">
        <v>3.9</v>
      </c>
      <c r="E10" s="3">
        <f t="shared" si="0"/>
        <v>-2.7765840061440006E-3</v>
      </c>
      <c r="F10" s="4">
        <f t="shared" si="1"/>
        <v>737.51678843137324</v>
      </c>
      <c r="H10" s="23"/>
    </row>
    <row r="11" spans="1:8">
      <c r="A11" s="5" t="s">
        <v>19</v>
      </c>
      <c r="B11" s="9">
        <v>0.33333333333333298</v>
      </c>
      <c r="C11" s="2">
        <v>8919.2000000000007</v>
      </c>
      <c r="D11" s="2">
        <v>3.3</v>
      </c>
      <c r="E11" s="3">
        <f t="shared" si="0"/>
        <v>-2.7372251096115727E-3</v>
      </c>
      <c r="F11" s="4">
        <f t="shared" si="1"/>
        <v>737.52080303881962</v>
      </c>
      <c r="H11" s="23"/>
    </row>
    <row r="12" spans="1:8">
      <c r="A12" s="5" t="s">
        <v>20</v>
      </c>
      <c r="B12" s="9">
        <v>0.33333333333333298</v>
      </c>
      <c r="C12" s="2">
        <v>8919.1</v>
      </c>
      <c r="D12" s="2">
        <v>3.1</v>
      </c>
      <c r="E12" s="3">
        <f t="shared" si="0"/>
        <v>-2.923274917472081E-3</v>
      </c>
      <c r="F12" s="4">
        <f t="shared" si="1"/>
        <v>737.50182595841784</v>
      </c>
      <c r="H12" s="23"/>
    </row>
    <row r="13" spans="1:8">
      <c r="A13" s="5" t="s">
        <v>21</v>
      </c>
      <c r="B13" s="9">
        <v>0.33333333333333298</v>
      </c>
      <c r="C13" s="2">
        <v>8919.1</v>
      </c>
      <c r="D13" s="2">
        <v>3</v>
      </c>
      <c r="E13" s="3">
        <f t="shared" si="0"/>
        <v>-3.0196569174720835E-3</v>
      </c>
      <c r="F13" s="4">
        <f t="shared" si="1"/>
        <v>737.49199499441784</v>
      </c>
      <c r="H13" s="23"/>
    </row>
    <row r="14" spans="1:8">
      <c r="A14" s="5" t="s">
        <v>22</v>
      </c>
      <c r="B14" s="9">
        <v>0.33333333333333298</v>
      </c>
      <c r="C14" s="2">
        <v>8919</v>
      </c>
      <c r="D14" s="2">
        <v>3.1</v>
      </c>
      <c r="E14" s="3">
        <f t="shared" si="0"/>
        <v>-2.9165607125272788E-3</v>
      </c>
      <c r="F14" s="4">
        <f t="shared" si="1"/>
        <v>737.50251080732221</v>
      </c>
      <c r="H14" s="23"/>
    </row>
    <row r="15" spans="1:8">
      <c r="A15" s="6">
        <v>42536</v>
      </c>
      <c r="B15" s="9">
        <v>0.33333333333333298</v>
      </c>
      <c r="C15" s="2">
        <v>8924.2999999999993</v>
      </c>
      <c r="D15" s="2">
        <v>3.1</v>
      </c>
      <c r="E15" s="3">
        <f t="shared" si="0"/>
        <v>-3.2723959291379237E-3</v>
      </c>
      <c r="F15" s="4">
        <f t="shared" si="1"/>
        <v>737.46621561522784</v>
      </c>
      <c r="H15" s="23"/>
    </row>
    <row r="16" spans="1:8">
      <c r="A16" s="6">
        <v>42537</v>
      </c>
      <c r="B16" s="9">
        <v>0.33333333333333298</v>
      </c>
      <c r="C16" s="2">
        <v>8928.5</v>
      </c>
      <c r="D16" s="2">
        <v>3</v>
      </c>
      <c r="E16" s="3">
        <f t="shared" si="0"/>
        <v>-3.6507350074073165E-3</v>
      </c>
      <c r="F16" s="4">
        <f t="shared" si="1"/>
        <v>737.42762502924438</v>
      </c>
      <c r="H16" s="23"/>
    </row>
    <row r="17" spans="1:8">
      <c r="A17" s="6">
        <v>42538</v>
      </c>
      <c r="B17" s="9">
        <v>0.33333333333333298</v>
      </c>
      <c r="C17" s="2">
        <v>8925.7000000000007</v>
      </c>
      <c r="D17" s="2">
        <v>3.1</v>
      </c>
      <c r="E17" s="3">
        <f t="shared" si="0"/>
        <v>-3.3663841316979373E-3</v>
      </c>
      <c r="F17" s="4">
        <f t="shared" si="1"/>
        <v>737.45662881856674</v>
      </c>
      <c r="H17" s="23"/>
    </row>
    <row r="18" spans="1:8">
      <c r="A18" s="6">
        <v>42544</v>
      </c>
      <c r="B18" s="9">
        <v>0.33333333333333298</v>
      </c>
      <c r="C18" s="2">
        <v>8845.6</v>
      </c>
      <c r="D18" s="2">
        <v>3</v>
      </c>
      <c r="E18" s="3">
        <f t="shared" si="0"/>
        <v>1.9187378339327009E-3</v>
      </c>
      <c r="F18" s="4">
        <f t="shared" si="1"/>
        <v>737.99571125906107</v>
      </c>
      <c r="H18" s="23"/>
    </row>
    <row r="19" spans="1:8">
      <c r="A19" s="7">
        <v>42551</v>
      </c>
      <c r="B19" s="9">
        <v>0.33333333333333298</v>
      </c>
      <c r="C19" s="2">
        <v>8928.6</v>
      </c>
      <c r="D19" s="2">
        <v>3.5</v>
      </c>
      <c r="E19" s="3">
        <f t="shared" si="0"/>
        <v>-3.1755379958656495E-3</v>
      </c>
      <c r="F19" s="4">
        <f t="shared" si="1"/>
        <v>737.4760951244217</v>
      </c>
      <c r="H19" s="23"/>
    </row>
    <row r="20" spans="1:8">
      <c r="A20" s="7">
        <v>42561</v>
      </c>
      <c r="B20" s="9">
        <v>0.33333333333333298</v>
      </c>
      <c r="C20" s="2">
        <v>8943.5</v>
      </c>
      <c r="D20" s="2">
        <v>4.7</v>
      </c>
      <c r="E20" s="3">
        <f t="shared" si="0"/>
        <v>-3.0190461789273912E-3</v>
      </c>
      <c r="F20" s="4">
        <f t="shared" si="1"/>
        <v>737.49205728974937</v>
      </c>
      <c r="H20" s="23"/>
    </row>
    <row r="21" spans="1:8">
      <c r="A21" s="7">
        <v>42571</v>
      </c>
      <c r="B21" s="9">
        <v>0.33333333333333298</v>
      </c>
      <c r="C21" s="2">
        <v>8958</v>
      </c>
      <c r="D21" s="2">
        <v>6.1</v>
      </c>
      <c r="E21" s="3">
        <f t="shared" si="0"/>
        <v>-2.6426693085594075E-3</v>
      </c>
      <c r="F21" s="4">
        <f t="shared" si="1"/>
        <v>737.53044773052693</v>
      </c>
      <c r="H21" s="23"/>
    </row>
    <row r="22" spans="1:8">
      <c r="A22" s="7">
        <v>42581</v>
      </c>
      <c r="B22" s="9">
        <v>0.33333333333333298</v>
      </c>
      <c r="C22" s="2">
        <v>8966.9</v>
      </c>
      <c r="D22" s="2">
        <v>7.3</v>
      </c>
      <c r="E22" s="3">
        <f t="shared" si="0"/>
        <v>-2.0831549380671936E-3</v>
      </c>
      <c r="F22" s="4">
        <f t="shared" si="1"/>
        <v>737.58751819631709</v>
      </c>
      <c r="H22" s="23"/>
    </row>
    <row r="23" spans="1:8">
      <c r="A23" s="7">
        <v>42592</v>
      </c>
      <c r="B23" s="9">
        <v>0.33333333333333298</v>
      </c>
      <c r="C23" s="2">
        <v>8979.6</v>
      </c>
      <c r="D23" s="2">
        <v>8.4</v>
      </c>
      <c r="E23" s="3">
        <f t="shared" ref="E23:E44" si="2">($B$2*C23^2+$B$3*C23+$B$4)-$B$5*D23-$E$7</f>
        <v>-1.8747755384064153E-3</v>
      </c>
      <c r="F23" s="4">
        <f t="shared" si="1"/>
        <v>737.60877289508255</v>
      </c>
    </row>
    <row r="24" spans="1:8">
      <c r="A24" s="7">
        <v>42602</v>
      </c>
      <c r="B24" s="9">
        <v>0.33333333333333298</v>
      </c>
      <c r="C24" s="2">
        <v>9000.7999999999993</v>
      </c>
      <c r="D24" s="2">
        <v>9.5</v>
      </c>
      <c r="E24" s="3">
        <f t="shared" si="2"/>
        <v>-2.2360534879795092E-3</v>
      </c>
      <c r="F24" s="4">
        <f t="shared" si="1"/>
        <v>737.57192254422603</v>
      </c>
    </row>
    <row r="25" spans="1:8">
      <c r="A25" s="7">
        <v>42612</v>
      </c>
      <c r="B25" s="9">
        <v>0.33333333333333298</v>
      </c>
      <c r="C25" s="2">
        <v>8989</v>
      </c>
      <c r="D25" s="2">
        <v>10.1</v>
      </c>
      <c r="E25" s="3">
        <f t="shared" si="2"/>
        <v>-8.6663140116742185E-4</v>
      </c>
      <c r="F25" s="4">
        <f t="shared" si="1"/>
        <v>737.71160359708085</v>
      </c>
    </row>
    <row r="26" spans="1:8">
      <c r="A26" s="7">
        <v>42623</v>
      </c>
      <c r="B26" s="9">
        <v>0.33333333333333298</v>
      </c>
      <c r="C26" s="2">
        <v>8971</v>
      </c>
      <c r="D26" s="2">
        <v>10.7</v>
      </c>
      <c r="E26" s="3">
        <f t="shared" si="2"/>
        <v>9.1881263915264896E-4</v>
      </c>
      <c r="F26" s="4">
        <f t="shared" si="1"/>
        <v>737.89371888919356</v>
      </c>
    </row>
    <row r="27" spans="1:8">
      <c r="A27" s="7">
        <v>42633</v>
      </c>
      <c r="B27" s="9">
        <v>0.33333333333333331</v>
      </c>
      <c r="C27" s="2">
        <v>8932.2000000000007</v>
      </c>
      <c r="D27" s="2">
        <v>11.1</v>
      </c>
      <c r="E27" s="3">
        <f t="shared" si="2"/>
        <v>3.9078349478476465E-3</v>
      </c>
      <c r="F27" s="4">
        <f t="shared" si="1"/>
        <v>738.19859916468045</v>
      </c>
    </row>
    <row r="28" spans="1:8">
      <c r="A28" s="6">
        <v>42643</v>
      </c>
      <c r="B28" s="9">
        <v>0.33333333333333331</v>
      </c>
      <c r="C28" s="2">
        <v>8964.4</v>
      </c>
      <c r="D28" s="2">
        <v>11.6</v>
      </c>
      <c r="E28" s="3">
        <f t="shared" si="2"/>
        <v>2.2289770059007834E-3</v>
      </c>
      <c r="F28" s="4">
        <f t="shared" si="1"/>
        <v>738.02735565460182</v>
      </c>
    </row>
    <row r="29" spans="1:8">
      <c r="A29" s="7">
        <v>42883</v>
      </c>
      <c r="B29" s="9">
        <v>0.33333333333333331</v>
      </c>
      <c r="C29" s="2">
        <v>8978.9</v>
      </c>
      <c r="D29" s="2">
        <v>11.9</v>
      </c>
      <c r="E29" s="3">
        <f t="shared" si="2"/>
        <v>1.5455399354304643E-3</v>
      </c>
      <c r="F29" s="4">
        <f t="shared" si="1"/>
        <v>737.95764507341391</v>
      </c>
    </row>
    <row r="30" spans="1:8">
      <c r="A30" s="7">
        <v>42885</v>
      </c>
      <c r="B30" s="9">
        <v>0.33333333333333331</v>
      </c>
      <c r="C30" s="2">
        <v>8987</v>
      </c>
      <c r="D30" s="2">
        <v>11.8</v>
      </c>
      <c r="E30" s="3">
        <f t="shared" si="2"/>
        <v>9.0597011512064465E-4</v>
      </c>
      <c r="F30" s="4">
        <f t="shared" si="1"/>
        <v>737.89240895174225</v>
      </c>
    </row>
    <row r="31" spans="1:8">
      <c r="A31" s="7">
        <v>42896</v>
      </c>
      <c r="B31" s="9">
        <v>0.33333333333333331</v>
      </c>
      <c r="C31" s="2">
        <v>8991.2999999999993</v>
      </c>
      <c r="D31" s="2">
        <v>11.6</v>
      </c>
      <c r="E31" s="3">
        <f t="shared" si="2"/>
        <v>4.2488128723331894E-4</v>
      </c>
      <c r="F31" s="4">
        <f t="shared" si="1"/>
        <v>737.84333789129778</v>
      </c>
    </row>
    <row r="32" spans="1:8">
      <c r="A32" s="7">
        <v>42906</v>
      </c>
      <c r="B32" s="9">
        <v>0.33333333333333331</v>
      </c>
      <c r="C32" s="2">
        <v>8987.6</v>
      </c>
      <c r="D32" s="2">
        <v>11.3</v>
      </c>
      <c r="E32" s="3">
        <f t="shared" si="2"/>
        <v>3.8382732241915365E-4</v>
      </c>
      <c r="F32" s="4">
        <f t="shared" si="1"/>
        <v>737.83915038688667</v>
      </c>
    </row>
    <row r="33" spans="1:6">
      <c r="A33" s="7">
        <v>42916</v>
      </c>
      <c r="B33" s="9">
        <v>0.33333333333333331</v>
      </c>
      <c r="C33" s="2">
        <v>8963.6</v>
      </c>
      <c r="D33" s="2">
        <v>11.1</v>
      </c>
      <c r="E33" s="3">
        <f t="shared" si="2"/>
        <v>1.8007345982463813E-3</v>
      </c>
      <c r="F33" s="4">
        <f t="shared" si="1"/>
        <v>737.98367492902105</v>
      </c>
    </row>
    <row r="34" spans="1:6">
      <c r="A34" s="7">
        <v>42926</v>
      </c>
      <c r="B34" s="9">
        <v>0.33333333333333331</v>
      </c>
      <c r="C34" s="2">
        <v>8990.6</v>
      </c>
      <c r="D34" s="2">
        <v>10.9</v>
      </c>
      <c r="E34" s="3">
        <f t="shared" si="2"/>
        <v>-2.0285772632319676E-4</v>
      </c>
      <c r="F34" s="4">
        <f t="shared" si="1"/>
        <v>737.77930851191502</v>
      </c>
    </row>
    <row r="35" spans="1:6">
      <c r="A35" s="7">
        <v>42936</v>
      </c>
      <c r="B35" s="9">
        <v>0.33333333333333331</v>
      </c>
      <c r="C35" s="2">
        <v>8981.9</v>
      </c>
      <c r="D35" s="2">
        <v>10.6</v>
      </c>
      <c r="E35" s="3">
        <f t="shared" si="2"/>
        <v>9.1383465324768737E-5</v>
      </c>
      <c r="F35" s="4">
        <f t="shared" si="1"/>
        <v>737.80932111346306</v>
      </c>
    </row>
    <row r="36" spans="1:6">
      <c r="A36" s="7">
        <v>42946</v>
      </c>
      <c r="B36" s="9">
        <v>0.33333333333333331</v>
      </c>
      <c r="C36" s="2">
        <v>8983.6</v>
      </c>
      <c r="D36" s="2">
        <v>10.4</v>
      </c>
      <c r="E36" s="3">
        <f t="shared" si="2"/>
        <v>-2.1538335208970069E-4</v>
      </c>
      <c r="F36" s="4">
        <f t="shared" si="1"/>
        <v>737.77803089808685</v>
      </c>
    </row>
    <row r="37" spans="1:6">
      <c r="A37" s="7">
        <v>42957</v>
      </c>
      <c r="B37" s="9">
        <v>0.33333333333333331</v>
      </c>
      <c r="C37" s="2">
        <v>8969.2000000000007</v>
      </c>
      <c r="D37" s="2">
        <v>10</v>
      </c>
      <c r="E37" s="3">
        <f t="shared" si="2"/>
        <v>3.6487666190845522E-4</v>
      </c>
      <c r="F37" s="4">
        <f t="shared" si="1"/>
        <v>737.83721741951467</v>
      </c>
    </row>
    <row r="38" spans="1:6">
      <c r="A38" s="7">
        <v>42967</v>
      </c>
      <c r="B38" s="9">
        <v>0.33333333333333331</v>
      </c>
      <c r="C38" s="2">
        <v>8977.7000000000007</v>
      </c>
      <c r="D38" s="2">
        <v>9.9</v>
      </c>
      <c r="E38" s="3">
        <f t="shared" si="2"/>
        <v>-3.0162064963725962E-4</v>
      </c>
      <c r="F38" s="4">
        <f t="shared" si="1"/>
        <v>737.76923469373696</v>
      </c>
    </row>
    <row r="39" spans="1:6">
      <c r="A39" s="7">
        <v>42977</v>
      </c>
      <c r="B39" s="9">
        <v>0.33333333333333331</v>
      </c>
      <c r="C39" s="2">
        <v>8961.7999999999993</v>
      </c>
      <c r="D39" s="2">
        <v>10.3</v>
      </c>
      <c r="E39" s="3">
        <f t="shared" si="2"/>
        <v>1.1504336774221316E-3</v>
      </c>
      <c r="F39" s="4">
        <f t="shared" si="1"/>
        <v>737.91734423509706</v>
      </c>
    </row>
    <row r="40" spans="1:6">
      <c r="A40" s="7">
        <v>42988</v>
      </c>
      <c r="B40" s="9">
        <v>0.33333333333333331</v>
      </c>
      <c r="C40" s="2">
        <v>8955.2000000000007</v>
      </c>
      <c r="D40" s="2">
        <v>9.6</v>
      </c>
      <c r="E40" s="3">
        <f t="shared" si="2"/>
        <v>9.1856379685877759E-4</v>
      </c>
      <c r="F40" s="4">
        <f t="shared" si="1"/>
        <v>737.89369350727952</v>
      </c>
    </row>
    <row r="41" spans="1:6">
      <c r="A41" s="7">
        <v>42998</v>
      </c>
      <c r="B41" s="9">
        <v>0.33333333333333331</v>
      </c>
      <c r="C41" s="2">
        <v>8948.4</v>
      </c>
      <c r="D41" s="2">
        <v>9.4</v>
      </c>
      <c r="E41" s="3">
        <f t="shared" si="2"/>
        <v>1.1820805630719557E-3</v>
      </c>
      <c r="F41" s="4">
        <f t="shared" si="1"/>
        <v>737.92057221743335</v>
      </c>
    </row>
    <row r="42" spans="1:6">
      <c r="A42" s="7">
        <v>43008</v>
      </c>
      <c r="B42" s="9">
        <v>0.33333333333333331</v>
      </c>
      <c r="C42" s="2">
        <v>8950.2999999999993</v>
      </c>
      <c r="D42" s="2">
        <v>9.1999999999999993</v>
      </c>
      <c r="E42" s="3">
        <f t="shared" si="2"/>
        <v>8.6182038819966958E-4</v>
      </c>
      <c r="F42" s="4">
        <f t="shared" si="1"/>
        <v>737.88790567959632</v>
      </c>
    </row>
    <row r="43" spans="1:6">
      <c r="A43" s="7">
        <v>43018</v>
      </c>
      <c r="B43" s="9">
        <v>0.33333333333333331</v>
      </c>
      <c r="C43" s="2">
        <v>8968.5</v>
      </c>
      <c r="D43" s="2">
        <v>9.3000000000000007</v>
      </c>
      <c r="E43" s="3">
        <f t="shared" si="2"/>
        <v>-2.6284254212737349E-4</v>
      </c>
      <c r="F43" s="4">
        <f t="shared" si="1"/>
        <v>737.77319006070297</v>
      </c>
    </row>
    <row r="44" spans="1:6">
      <c r="A44" s="7">
        <v>43230</v>
      </c>
      <c r="B44" s="9">
        <v>0.33333333333333331</v>
      </c>
      <c r="C44" s="2">
        <v>8981.6</v>
      </c>
      <c r="D44" s="2">
        <v>9.3000000000000007</v>
      </c>
      <c r="E44" s="3">
        <f t="shared" si="2"/>
        <v>-1.141464006272009E-3</v>
      </c>
      <c r="F44" s="4">
        <f t="shared" si="1"/>
        <v>737.68357067136026</v>
      </c>
    </row>
    <row r="45" spans="1:6">
      <c r="A45" s="7">
        <v>43240</v>
      </c>
      <c r="B45" s="9">
        <v>0.33333333333333331</v>
      </c>
      <c r="C45" s="2">
        <v>8986.7999999999993</v>
      </c>
      <c r="D45" s="2">
        <v>9.3000000000000007</v>
      </c>
      <c r="E45" s="3">
        <f t="shared" ref="E45:E53" si="3">($B$2*C45^2+$B$3*C45+$B$4)-$B$5*D45-$E$7</f>
        <v>-1.4901688515379548E-3</v>
      </c>
      <c r="F45" s="4">
        <f t="shared" si="1"/>
        <v>737.64800277714312</v>
      </c>
    </row>
    <row r="46" spans="1:6">
      <c r="A46" s="7">
        <v>43250</v>
      </c>
      <c r="B46" s="9">
        <v>0.33333333333333331</v>
      </c>
      <c r="C46" s="2">
        <v>8976.4</v>
      </c>
      <c r="D46" s="2">
        <v>9.3000000000000007</v>
      </c>
      <c r="E46" s="3">
        <f t="shared" si="3"/>
        <v>-7.9272453596167594E-4</v>
      </c>
      <c r="F46" s="4">
        <f t="shared" si="1"/>
        <v>737.71914209733188</v>
      </c>
    </row>
    <row r="47" spans="1:6">
      <c r="A47" s="7">
        <v>43261</v>
      </c>
      <c r="B47" s="9">
        <v>0.33333333333333331</v>
      </c>
      <c r="C47" s="2">
        <v>8968.2999999999993</v>
      </c>
      <c r="D47" s="2">
        <v>9.1</v>
      </c>
      <c r="E47" s="3">
        <f t="shared" si="3"/>
        <v>-4.4219077089155748E-4</v>
      </c>
      <c r="F47" s="4">
        <f t="shared" si="1"/>
        <v>737.75489654136902</v>
      </c>
    </row>
    <row r="48" spans="1:6">
      <c r="A48" s="7">
        <v>43271</v>
      </c>
      <c r="B48" s="9">
        <v>0.33333333333333331</v>
      </c>
      <c r="C48" s="2">
        <v>8820.6</v>
      </c>
      <c r="D48" s="2">
        <v>8.9</v>
      </c>
      <c r="E48" s="3">
        <f t="shared" si="3"/>
        <v>9.2865785702527584E-3</v>
      </c>
      <c r="F48" s="4">
        <f t="shared" si="1"/>
        <v>738.74723101416578</v>
      </c>
    </row>
    <row r="49" spans="1:6">
      <c r="A49" s="7">
        <v>43281</v>
      </c>
      <c r="B49" s="9">
        <v>0.33333333333333331</v>
      </c>
      <c r="C49" s="2">
        <v>8818.2000000000007</v>
      </c>
      <c r="D49" s="2">
        <v>8.6999999999999993</v>
      </c>
      <c r="E49" s="3">
        <f t="shared" si="3"/>
        <v>9.2552617361740148E-3</v>
      </c>
      <c r="F49" s="4">
        <f t="shared" si="1"/>
        <v>738.74403669708965</v>
      </c>
    </row>
    <row r="50" spans="1:6">
      <c r="A50" s="7">
        <v>43291</v>
      </c>
      <c r="B50" s="9">
        <v>0.33333333333333331</v>
      </c>
      <c r="C50" s="2">
        <v>8860.1</v>
      </c>
      <c r="D50" s="2">
        <v>9.1</v>
      </c>
      <c r="E50" s="3">
        <f t="shared" si="3"/>
        <v>6.8232509534911466E-3</v>
      </c>
      <c r="F50" s="4">
        <f t="shared" si="1"/>
        <v>738.49597159725602</v>
      </c>
    </row>
    <row r="51" spans="1:6">
      <c r="A51" s="7">
        <v>43301</v>
      </c>
      <c r="B51" s="9">
        <v>0.33333333333333331</v>
      </c>
      <c r="C51" s="2">
        <v>8875</v>
      </c>
      <c r="D51" s="2">
        <v>8.4</v>
      </c>
      <c r="E51" s="3">
        <f t="shared" si="3"/>
        <v>5.1471778158566177E-3</v>
      </c>
      <c r="F51" s="4">
        <f t="shared" si="1"/>
        <v>738.3250121372173</v>
      </c>
    </row>
    <row r="52" spans="1:6">
      <c r="A52" s="7">
        <v>43311</v>
      </c>
      <c r="B52" s="9">
        <v>0.33333333333333331</v>
      </c>
      <c r="C52" s="2">
        <v>8874.9</v>
      </c>
      <c r="D52" s="2">
        <v>8.1</v>
      </c>
      <c r="E52" s="3">
        <f t="shared" si="3"/>
        <v>4.8647516678591296E-3</v>
      </c>
      <c r="F52" s="4">
        <f t="shared" si="1"/>
        <v>738.2962046701216</v>
      </c>
    </row>
    <row r="53" spans="1:6">
      <c r="A53" s="7">
        <v>43322</v>
      </c>
      <c r="B53" s="9">
        <v>0.33333333333333331</v>
      </c>
      <c r="C53" s="2">
        <v>8838.2999999999993</v>
      </c>
      <c r="D53" s="2">
        <v>8</v>
      </c>
      <c r="E53" s="3">
        <f t="shared" si="3"/>
        <v>7.2286955054606007E-3</v>
      </c>
      <c r="F53" s="4">
        <f t="shared" si="1"/>
        <v>738.5373269415569</v>
      </c>
    </row>
    <row r="54" spans="1:6">
      <c r="A54" s="7">
        <v>43332</v>
      </c>
      <c r="B54" s="9">
        <v>0.33333333333333331</v>
      </c>
      <c r="C54" s="2">
        <v>8858.2999999999993</v>
      </c>
      <c r="D54" s="2">
        <v>7.8</v>
      </c>
      <c r="E54" s="3">
        <f t="shared" ref="E54:E55" si="4">($B$2*C54^2+$B$3*C54+$B$4)-$B$5*D54-$E$7</f>
        <v>5.691278592052474E-3</v>
      </c>
      <c r="F54" s="4">
        <f t="shared" ref="F54:F55" si="5">$D$1+102*E54</f>
        <v>738.38051041638926</v>
      </c>
    </row>
    <row r="55" spans="1:6">
      <c r="A55" s="7">
        <v>43342</v>
      </c>
      <c r="B55" s="9">
        <v>0.33333333333333331</v>
      </c>
      <c r="C55" s="2">
        <v>8847.1</v>
      </c>
      <c r="D55" s="2">
        <v>7.7</v>
      </c>
      <c r="E55" s="3">
        <f t="shared" si="4"/>
        <v>6.3478391199296401E-3</v>
      </c>
      <c r="F55" s="4">
        <f t="shared" si="5"/>
        <v>738.44747959023277</v>
      </c>
    </row>
    <row r="56" spans="1:6">
      <c r="A56" s="7">
        <v>43353</v>
      </c>
      <c r="B56" s="9">
        <v>0.33333333333333331</v>
      </c>
      <c r="C56" s="2">
        <v>8840.7000000000007</v>
      </c>
      <c r="D56" s="2">
        <v>7.5</v>
      </c>
      <c r="E56" s="3">
        <f t="shared" ref="E56:E59" si="6">($B$2*C56^2+$B$3*C56+$B$4)-$B$5*D56-$E$7</f>
        <v>6.5854001114380514E-3</v>
      </c>
      <c r="F56" s="4">
        <f t="shared" ref="F56:F59" si="7">$D$1+102*E56</f>
        <v>738.47171081136662</v>
      </c>
    </row>
    <row r="57" spans="1:6">
      <c r="A57" s="7">
        <v>43363</v>
      </c>
      <c r="B57" s="9">
        <v>0.33333333333333331</v>
      </c>
      <c r="C57" s="2">
        <v>8777.2999999999993</v>
      </c>
      <c r="D57" s="2">
        <v>7.4</v>
      </c>
      <c r="E57" s="3">
        <f t="shared" si="6"/>
        <v>1.075475839625091E-2</v>
      </c>
      <c r="F57" s="4">
        <f t="shared" si="7"/>
        <v>738.89698535641753</v>
      </c>
    </row>
    <row r="58" spans="1:6">
      <c r="A58" s="7">
        <v>43373</v>
      </c>
      <c r="B58" s="9">
        <v>0.33333333333333331</v>
      </c>
      <c r="C58" s="2">
        <v>8790.1</v>
      </c>
      <c r="D58" s="2">
        <v>7.2</v>
      </c>
      <c r="E58" s="3">
        <f t="shared" si="6"/>
        <v>9.7003577019071051E-3</v>
      </c>
      <c r="F58" s="4">
        <f t="shared" si="7"/>
        <v>738.78943648559448</v>
      </c>
    </row>
    <row r="59" spans="1:6">
      <c r="A59" s="7">
        <v>43383</v>
      </c>
      <c r="B59" s="9">
        <v>0.33333333333333331</v>
      </c>
      <c r="C59" s="2">
        <v>8791.2999999999993</v>
      </c>
      <c r="D59" s="2">
        <v>7.2</v>
      </c>
      <c r="E59" s="3">
        <f t="shared" si="6"/>
        <v>9.6195900181133796E-3</v>
      </c>
      <c r="F59" s="4">
        <f t="shared" si="7"/>
        <v>738.78119818184757</v>
      </c>
    </row>
    <row r="60" spans="1:6">
      <c r="A60" s="7">
        <v>43393</v>
      </c>
      <c r="B60" s="9">
        <v>0.33333333333333331</v>
      </c>
      <c r="C60" s="2">
        <v>8793.4</v>
      </c>
      <c r="D60" s="2">
        <v>6.9</v>
      </c>
      <c r="E60" s="3">
        <f t="shared" ref="E60:E71" si="8">($B$2*C60^2+$B$3*C60+$B$4)-$B$5*D60-$E$7</f>
        <v>9.1891050084479849E-3</v>
      </c>
      <c r="F60" s="4">
        <f t="shared" ref="F60:F71" si="9">$D$1+102*E60</f>
        <v>738.73728871086166</v>
      </c>
    </row>
    <row r="61" spans="1:6">
      <c r="A61" s="7">
        <v>43605</v>
      </c>
      <c r="B61" s="9">
        <v>0.33333333333333331</v>
      </c>
      <c r="C61" s="2">
        <v>8798.6</v>
      </c>
      <c r="D61" s="2">
        <v>7</v>
      </c>
      <c r="E61" s="3">
        <f t="shared" si="8"/>
        <v>8.935529002918368E-3</v>
      </c>
      <c r="F61" s="4">
        <f t="shared" si="9"/>
        <v>738.71142395829759</v>
      </c>
    </row>
    <row r="62" spans="1:6">
      <c r="A62" s="7">
        <v>43615</v>
      </c>
      <c r="B62" s="9">
        <v>0.33333333333333331</v>
      </c>
      <c r="C62" s="2">
        <v>8795.2999999999993</v>
      </c>
      <c r="D62" s="2">
        <v>7.1</v>
      </c>
      <c r="E62" s="3">
        <f t="shared" si="8"/>
        <v>9.2539957227917614E-3</v>
      </c>
      <c r="F62" s="4">
        <f t="shared" si="9"/>
        <v>738.74390756372475</v>
      </c>
    </row>
    <row r="63" spans="1:6">
      <c r="A63" s="7">
        <v>43626</v>
      </c>
      <c r="B63" s="9">
        <v>0.33333333333333331</v>
      </c>
      <c r="C63" s="2">
        <v>8801.2000000000007</v>
      </c>
      <c r="D63" s="2">
        <v>7.2</v>
      </c>
      <c r="E63" s="3">
        <f t="shared" si="8"/>
        <v>8.9533269845452866E-3</v>
      </c>
      <c r="F63" s="4">
        <f t="shared" si="9"/>
        <v>738.71323935242356</v>
      </c>
    </row>
    <row r="64" spans="1:6">
      <c r="A64" s="7">
        <v>43636</v>
      </c>
      <c r="B64" s="9">
        <v>0.33333333333333331</v>
      </c>
      <c r="C64" s="2">
        <v>8803.5</v>
      </c>
      <c r="D64" s="2">
        <v>7.2</v>
      </c>
      <c r="E64" s="3">
        <f t="shared" si="8"/>
        <v>8.7985565685927102E-3</v>
      </c>
      <c r="F64" s="4">
        <f t="shared" si="9"/>
        <v>738.6974527699964</v>
      </c>
    </row>
    <row r="65" spans="1:6">
      <c r="A65" s="7">
        <v>43646</v>
      </c>
      <c r="B65" s="1">
        <v>0.33333333333333331</v>
      </c>
      <c r="C65" s="2">
        <v>8810.7000000000007</v>
      </c>
      <c r="D65" s="2">
        <v>7</v>
      </c>
      <c r="E65" s="3">
        <f t="shared" si="8"/>
        <v>8.1213376686860399E-3</v>
      </c>
      <c r="F65" s="4">
        <f t="shared" si="9"/>
        <v>738.62837644220588</v>
      </c>
    </row>
    <row r="66" spans="1:6">
      <c r="A66" s="7">
        <v>43656</v>
      </c>
      <c r="B66" s="1">
        <v>0.33333333333333331</v>
      </c>
      <c r="C66" s="2">
        <v>8812.6</v>
      </c>
      <c r="D66" s="2">
        <v>6.8</v>
      </c>
      <c r="E66" s="3">
        <f t="shared" si="8"/>
        <v>7.800742473459181E-3</v>
      </c>
      <c r="F66" s="4">
        <f t="shared" si="9"/>
        <v>738.59567573229276</v>
      </c>
    </row>
    <row r="67" spans="1:6">
      <c r="A67" s="7">
        <v>43666</v>
      </c>
      <c r="B67" s="1">
        <v>0.33333333333333331</v>
      </c>
      <c r="C67" s="2">
        <v>8826.7000000000007</v>
      </c>
      <c r="D67" s="2">
        <v>6.5</v>
      </c>
      <c r="E67" s="3">
        <f t="shared" si="8"/>
        <v>6.56309888747637E-3</v>
      </c>
      <c r="F67" s="4">
        <f t="shared" si="9"/>
        <v>738.46943608652259</v>
      </c>
    </row>
    <row r="68" spans="1:6">
      <c r="A68" s="7">
        <v>43676</v>
      </c>
      <c r="B68" s="1">
        <v>0.33333333333333331</v>
      </c>
      <c r="C68" s="2">
        <v>8854.4</v>
      </c>
      <c r="D68" s="2">
        <v>6.4</v>
      </c>
      <c r="E68" s="3">
        <f t="shared" si="8"/>
        <v>4.604097708492811E-3</v>
      </c>
      <c r="F68" s="4">
        <f t="shared" si="9"/>
        <v>738.2696179662662</v>
      </c>
    </row>
    <row r="69" spans="1:6">
      <c r="A69" s="7">
        <v>43687</v>
      </c>
      <c r="B69" s="9">
        <v>0.33333333333333331</v>
      </c>
      <c r="C69" s="2">
        <v>8810.2999999999993</v>
      </c>
      <c r="D69" s="2">
        <v>6.3</v>
      </c>
      <c r="E69" s="3">
        <f t="shared" si="8"/>
        <v>7.4735760882957657E-3</v>
      </c>
      <c r="F69" s="4">
        <f t="shared" si="9"/>
        <v>738.56230476100609</v>
      </c>
    </row>
    <row r="70" spans="1:6">
      <c r="A70" s="7">
        <v>43697</v>
      </c>
      <c r="B70" s="1">
        <v>0.33333333333333331</v>
      </c>
      <c r="C70" s="2">
        <v>8783.2000000000007</v>
      </c>
      <c r="D70" s="2">
        <v>6.3</v>
      </c>
      <c r="E70" s="3">
        <f t="shared" si="8"/>
        <v>9.2973696676299199E-3</v>
      </c>
      <c r="F70" s="4">
        <f t="shared" si="9"/>
        <v>738.74833170609816</v>
      </c>
    </row>
    <row r="71" spans="1:6">
      <c r="A71" s="7">
        <v>43707</v>
      </c>
      <c r="B71" s="9">
        <v>0.33333333333333331</v>
      </c>
      <c r="C71" s="2">
        <v>8759.6</v>
      </c>
      <c r="D71" s="2">
        <v>6.1</v>
      </c>
      <c r="E71" s="3">
        <f t="shared" si="8"/>
        <v>1.0693620029849617E-2</v>
      </c>
      <c r="F71" s="4">
        <f t="shared" si="9"/>
        <v>738.89074924304464</v>
      </c>
    </row>
    <row r="72" spans="1:6">
      <c r="B72" s="9"/>
    </row>
    <row r="73" spans="1:6">
      <c r="B73" s="9"/>
    </row>
    <row r="74" spans="1:6">
      <c r="B74" s="9"/>
    </row>
    <row r="75" spans="1:6">
      <c r="B75" s="9"/>
    </row>
    <row r="76" spans="1:6">
      <c r="B76" s="9"/>
    </row>
    <row r="77" spans="1:6">
      <c r="B77" s="9"/>
    </row>
    <row r="78" spans="1:6">
      <c r="B78" s="9"/>
    </row>
    <row r="79" spans="1:6">
      <c r="B79" s="9"/>
    </row>
    <row r="80" spans="1:6">
      <c r="B80" s="9"/>
    </row>
    <row r="81" spans="2:2">
      <c r="B81" s="9"/>
    </row>
    <row r="82" spans="2:2">
      <c r="B82" s="9"/>
    </row>
    <row r="83" spans="2:2">
      <c r="B83" s="9"/>
    </row>
    <row r="84" spans="2:2">
      <c r="B84" s="9"/>
    </row>
    <row r="85" spans="2:2">
      <c r="B85" s="9"/>
    </row>
    <row r="86" spans="2:2">
      <c r="B86" s="9"/>
    </row>
    <row r="87" spans="2:2">
      <c r="B87" s="9"/>
    </row>
    <row r="88" spans="2:2">
      <c r="B88" s="9"/>
    </row>
    <row r="89" spans="2:2">
      <c r="B89" s="9"/>
    </row>
    <row r="90" spans="2:2">
      <c r="B90" s="9"/>
    </row>
    <row r="91" spans="2:2">
      <c r="B91" s="9"/>
    </row>
    <row r="92" spans="2:2">
      <c r="B92" s="9"/>
    </row>
    <row r="93" spans="2:2">
      <c r="B93" s="9"/>
    </row>
    <row r="94" spans="2:2">
      <c r="B94" s="9"/>
    </row>
    <row r="95" spans="2:2">
      <c r="B95" s="9"/>
    </row>
    <row r="96" spans="2:2">
      <c r="B96" s="9"/>
    </row>
    <row r="97" spans="2:2">
      <c r="B97" s="9"/>
    </row>
    <row r="98" spans="2:2">
      <c r="B98" s="9"/>
    </row>
    <row r="99" spans="2:2">
      <c r="B99" s="9"/>
    </row>
    <row r="100" spans="2:2">
      <c r="B100" s="9"/>
    </row>
    <row r="101" spans="2:2">
      <c r="B101" s="9"/>
    </row>
    <row r="102" spans="2:2">
      <c r="B102" s="9"/>
    </row>
    <row r="103" spans="2:2">
      <c r="B103" s="9"/>
    </row>
    <row r="104" spans="2:2">
      <c r="B104" s="9"/>
    </row>
    <row r="105" spans="2:2">
      <c r="B105" s="9"/>
    </row>
    <row r="106" spans="2:2">
      <c r="B106" s="9"/>
    </row>
    <row r="107" spans="2:2">
      <c r="B107" s="9"/>
    </row>
    <row r="108" spans="2:2">
      <c r="B108" s="9"/>
    </row>
    <row r="109" spans="2:2">
      <c r="B109" s="9"/>
    </row>
    <row r="110" spans="2:2">
      <c r="B110" s="9"/>
    </row>
    <row r="111" spans="2:2">
      <c r="B111" s="9"/>
    </row>
    <row r="112" spans="2:2">
      <c r="B112" s="9"/>
    </row>
    <row r="113" spans="2:2">
      <c r="B113" s="9"/>
    </row>
    <row r="114" spans="2:2">
      <c r="B114" s="9"/>
    </row>
    <row r="115" spans="2:2">
      <c r="B115" s="9"/>
    </row>
    <row r="116" spans="2:2">
      <c r="B116" s="9"/>
    </row>
    <row r="117" spans="2:2">
      <c r="B117" s="9"/>
    </row>
    <row r="118" spans="2:2">
      <c r="B118" s="9"/>
    </row>
    <row r="119" spans="2:2">
      <c r="B119" s="9"/>
    </row>
    <row r="120" spans="2:2">
      <c r="B120" s="9"/>
    </row>
    <row r="121" spans="2:2">
      <c r="B121" s="9"/>
    </row>
    <row r="122" spans="2:2">
      <c r="B122" s="9"/>
    </row>
    <row r="123" spans="2:2">
      <c r="B123" s="9"/>
    </row>
    <row r="124" spans="2:2">
      <c r="B124" s="9"/>
    </row>
    <row r="125" spans="2:2">
      <c r="B125" s="9"/>
    </row>
    <row r="126" spans="2:2">
      <c r="B126" s="9"/>
    </row>
    <row r="127" spans="2:2">
      <c r="B127" s="9"/>
    </row>
    <row r="128" spans="2:2">
      <c r="B128" s="9"/>
    </row>
    <row r="129" spans="2:2">
      <c r="B129" s="9"/>
    </row>
    <row r="130" spans="2:2">
      <c r="B130" s="9"/>
    </row>
    <row r="131" spans="2:2">
      <c r="B131" s="9"/>
    </row>
    <row r="132" spans="2:2">
      <c r="B132" s="9"/>
    </row>
    <row r="133" spans="2:2">
      <c r="B133" s="9"/>
    </row>
    <row r="134" spans="2:2">
      <c r="B134" s="9"/>
    </row>
    <row r="135" spans="2:2">
      <c r="B135" s="9"/>
    </row>
    <row r="136" spans="2:2">
      <c r="B136" s="9"/>
    </row>
    <row r="137" spans="2:2">
      <c r="B137" s="9"/>
    </row>
    <row r="138" spans="2:2">
      <c r="B138" s="9"/>
    </row>
    <row r="139" spans="2:2">
      <c r="B139" s="9"/>
    </row>
    <row r="140" spans="2:2">
      <c r="B140" s="9"/>
    </row>
    <row r="141" spans="2:2">
      <c r="B141" s="9"/>
    </row>
    <row r="142" spans="2:2">
      <c r="B142" s="9"/>
    </row>
    <row r="143" spans="2:2">
      <c r="B143" s="9"/>
    </row>
    <row r="144" spans="2:2">
      <c r="B144" s="9"/>
    </row>
    <row r="145" spans="2:2">
      <c r="B145" s="9"/>
    </row>
    <row r="146" spans="2:2">
      <c r="B146" s="9"/>
    </row>
    <row r="147" spans="2:2">
      <c r="B147" s="9"/>
    </row>
    <row r="148" spans="2:2">
      <c r="B148" s="9"/>
    </row>
    <row r="149" spans="2:2">
      <c r="B149" s="9"/>
    </row>
    <row r="150" spans="2:2">
      <c r="B150" s="9"/>
    </row>
    <row r="151" spans="2:2">
      <c r="B151" s="9"/>
    </row>
    <row r="152" spans="2:2">
      <c r="B152" s="9"/>
    </row>
    <row r="153" spans="2:2">
      <c r="B153" s="9"/>
    </row>
    <row r="154" spans="2:2">
      <c r="B154" s="9"/>
    </row>
    <row r="155" spans="2:2">
      <c r="B155" s="9"/>
    </row>
    <row r="156" spans="2:2">
      <c r="B156" s="9"/>
    </row>
    <row r="157" spans="2:2">
      <c r="B157" s="9"/>
    </row>
    <row r="158" spans="2:2">
      <c r="B158" s="9"/>
    </row>
    <row r="159" spans="2:2">
      <c r="B159" s="9"/>
    </row>
    <row r="160" spans="2:2">
      <c r="B160" s="9"/>
    </row>
    <row r="161" spans="2:2">
      <c r="B161" s="9"/>
    </row>
    <row r="162" spans="2:2">
      <c r="B162" s="9"/>
    </row>
    <row r="163" spans="2:2">
      <c r="B163" s="9"/>
    </row>
    <row r="164" spans="2:2">
      <c r="B164" s="9"/>
    </row>
    <row r="165" spans="2:2">
      <c r="B165" s="9"/>
    </row>
    <row r="166" spans="2:2">
      <c r="B166" s="9"/>
    </row>
    <row r="167" spans="2:2">
      <c r="B167" s="9"/>
    </row>
    <row r="168" spans="2:2">
      <c r="B168" s="9"/>
    </row>
    <row r="169" spans="2:2">
      <c r="B169" s="9"/>
    </row>
    <row r="170" spans="2:2">
      <c r="B170" s="9"/>
    </row>
    <row r="171" spans="2:2">
      <c r="B171" s="9"/>
    </row>
    <row r="172" spans="2:2">
      <c r="B172" s="9"/>
    </row>
    <row r="173" spans="2:2">
      <c r="B173" s="9"/>
    </row>
    <row r="174" spans="2:2">
      <c r="B174" s="9"/>
    </row>
    <row r="175" spans="2:2">
      <c r="B175" s="9"/>
    </row>
    <row r="176" spans="2:2">
      <c r="B176" s="9"/>
    </row>
  </sheetData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6"/>
  <sheetViews>
    <sheetView topLeftCell="A46" workbookViewId="0">
      <selection activeCell="A63" sqref="A63:B65"/>
    </sheetView>
  </sheetViews>
  <sheetFormatPr defaultColWidth="9" defaultRowHeight="13.5"/>
  <cols>
    <col min="1" max="1" width="11" customWidth="1"/>
    <col min="2" max="2" width="13.125" style="17" customWidth="1"/>
    <col min="5" max="5" width="10.875" customWidth="1"/>
  </cols>
  <sheetData>
    <row r="1" spans="1:7">
      <c r="A1" t="s">
        <v>0</v>
      </c>
      <c r="B1" s="17">
        <v>50380</v>
      </c>
      <c r="C1" t="s">
        <v>1</v>
      </c>
      <c r="D1">
        <v>741.5</v>
      </c>
      <c r="E1" s="5" t="s">
        <v>23</v>
      </c>
    </row>
    <row r="2" spans="1:7">
      <c r="A2" t="s">
        <v>2</v>
      </c>
      <c r="B2" s="11">
        <f>5.30312*10^-10</f>
        <v>5.3031200000000002E-10</v>
      </c>
    </row>
    <row r="3" spans="1:7">
      <c r="A3" t="s">
        <v>3</v>
      </c>
      <c r="B3" s="18">
        <v>-8.0109000000000002E-5</v>
      </c>
    </row>
    <row r="4" spans="1:7">
      <c r="A4" t="s">
        <v>4</v>
      </c>
      <c r="B4" s="18">
        <v>0.71813009999999999</v>
      </c>
    </row>
    <row r="5" spans="1:7">
      <c r="A5" t="s">
        <v>5</v>
      </c>
      <c r="B5" s="18">
        <v>-1.030621E-3</v>
      </c>
    </row>
    <row r="6" spans="1:7">
      <c r="A6" t="s">
        <v>6</v>
      </c>
      <c r="B6" s="17" t="s">
        <v>7</v>
      </c>
      <c r="C6" t="s">
        <v>8</v>
      </c>
      <c r="D6" t="s">
        <v>9</v>
      </c>
      <c r="E6" t="s">
        <v>10</v>
      </c>
      <c r="F6" t="s">
        <v>11</v>
      </c>
      <c r="G6" t="s">
        <v>12</v>
      </c>
    </row>
    <row r="7" spans="1:7">
      <c r="A7" s="6">
        <v>42568</v>
      </c>
      <c r="B7" s="9">
        <v>0.58333333333333304</v>
      </c>
      <c r="C7" s="2">
        <v>9504.9</v>
      </c>
      <c r="D7" s="2">
        <v>20.2</v>
      </c>
      <c r="E7" s="3">
        <f>($B$2*C7^2+$B$3*C7+$B$4)-$B$5*D7</f>
        <v>2.5430652879991068E-2</v>
      </c>
      <c r="G7" t="s">
        <v>13</v>
      </c>
    </row>
    <row r="8" spans="1:7">
      <c r="A8" s="6">
        <v>42569</v>
      </c>
      <c r="B8" s="9">
        <v>0.39583333333333298</v>
      </c>
      <c r="C8" s="2">
        <v>9574</v>
      </c>
      <c r="D8" s="2">
        <v>25.3</v>
      </c>
      <c r="E8" s="3">
        <f>($B$2*C8^2+$B$3*C8+$B$4)-$B$5*D8-$E$7</f>
        <v>4.1977308052089379E-4</v>
      </c>
      <c r="F8" s="4">
        <f>$D$1+102*E8</f>
        <v>741.54281685421313</v>
      </c>
      <c r="G8" s="5" t="s">
        <v>14</v>
      </c>
    </row>
    <row r="9" spans="1:7">
      <c r="A9" s="6">
        <v>42570</v>
      </c>
      <c r="B9" s="9">
        <v>0.33333333333333298</v>
      </c>
      <c r="C9" s="2">
        <v>9553.4</v>
      </c>
      <c r="D9" s="2">
        <v>23.5</v>
      </c>
      <c r="E9" s="3">
        <f t="shared" ref="E9:E16" si="0">($B$2*C9^2+$B$3*C9+$B$4)-$B$5*D9-$E$7</f>
        <v>5.9447916956195668E-6</v>
      </c>
      <c r="F9" s="4">
        <f t="shared" ref="F9:F47" si="1">$D$1+102*E9</f>
        <v>741.50060636875298</v>
      </c>
    </row>
    <row r="10" spans="1:7">
      <c r="A10" s="6">
        <v>42571</v>
      </c>
      <c r="B10" s="9">
        <v>0.33333333333333298</v>
      </c>
      <c r="C10" s="2">
        <v>9562.4</v>
      </c>
      <c r="D10" s="2">
        <v>24.4</v>
      </c>
      <c r="E10" s="3">
        <f t="shared" si="0"/>
        <v>3.0375873486207169E-4</v>
      </c>
      <c r="F10" s="4">
        <f t="shared" si="1"/>
        <v>741.53098339095595</v>
      </c>
    </row>
    <row r="11" spans="1:7">
      <c r="A11" s="6">
        <v>42572</v>
      </c>
      <c r="B11" s="9">
        <v>0.33333333333333298</v>
      </c>
      <c r="C11" s="2">
        <v>9568.9</v>
      </c>
      <c r="D11" s="2">
        <v>24.5</v>
      </c>
      <c r="E11" s="3">
        <f t="shared" si="0"/>
        <v>-4.7941538361542108E-5</v>
      </c>
      <c r="F11" s="4">
        <f t="shared" si="1"/>
        <v>741.49510996308709</v>
      </c>
    </row>
    <row r="12" spans="1:7">
      <c r="A12" s="6">
        <v>42573</v>
      </c>
      <c r="B12" s="9">
        <v>0.33333333333333298</v>
      </c>
      <c r="C12" s="2">
        <v>9574.1</v>
      </c>
      <c r="D12" s="2">
        <v>24.7</v>
      </c>
      <c r="E12" s="3">
        <f t="shared" si="0"/>
        <v>-2.0559497275841887E-4</v>
      </c>
      <c r="F12" s="4">
        <f t="shared" si="1"/>
        <v>741.47902931277861</v>
      </c>
    </row>
    <row r="13" spans="1:7">
      <c r="A13" s="6">
        <v>42574</v>
      </c>
      <c r="B13" s="9">
        <v>0.33333333333333298</v>
      </c>
      <c r="C13" s="2">
        <v>9584.7999999999993</v>
      </c>
      <c r="D13" s="2">
        <v>24.8</v>
      </c>
      <c r="E13" s="3">
        <f t="shared" si="0"/>
        <v>-8.5098509078652615E-4</v>
      </c>
      <c r="F13" s="4">
        <f t="shared" si="1"/>
        <v>741.41319952073979</v>
      </c>
    </row>
    <row r="14" spans="1:7">
      <c r="A14" s="6">
        <v>42575</v>
      </c>
      <c r="B14" s="9">
        <v>0.33333333333333298</v>
      </c>
      <c r="C14" s="2">
        <v>9577.1</v>
      </c>
      <c r="D14" s="2">
        <v>24.9</v>
      </c>
      <c r="E14" s="3">
        <f t="shared" si="0"/>
        <v>-2.0932943923524655E-4</v>
      </c>
      <c r="F14" s="4">
        <f t="shared" si="1"/>
        <v>741.47864839719796</v>
      </c>
    </row>
    <row r="15" spans="1:7">
      <c r="A15" s="6">
        <v>42576</v>
      </c>
      <c r="B15" s="9">
        <v>0.33333333333333298</v>
      </c>
      <c r="C15" s="2">
        <v>9572.9</v>
      </c>
      <c r="D15" s="2">
        <v>24.9</v>
      </c>
      <c r="E15" s="3">
        <f t="shared" si="0"/>
        <v>8.447536660482341E-5</v>
      </c>
      <c r="F15" s="4">
        <f t="shared" si="1"/>
        <v>741.50861648739374</v>
      </c>
    </row>
    <row r="16" spans="1:7">
      <c r="A16" s="6">
        <v>42581</v>
      </c>
      <c r="B16" s="9">
        <v>0.33333333333333298</v>
      </c>
      <c r="C16" s="2">
        <v>9560.2999999999993</v>
      </c>
      <c r="D16" s="2">
        <v>24.5</v>
      </c>
      <c r="E16" s="3">
        <f t="shared" si="0"/>
        <v>5.5375364056906365E-4</v>
      </c>
      <c r="F16" s="4">
        <f t="shared" si="1"/>
        <v>741.55648287133806</v>
      </c>
    </row>
    <row r="17" spans="1:6">
      <c r="A17" s="6">
        <v>42592</v>
      </c>
      <c r="B17" s="9">
        <v>0.33333333333333298</v>
      </c>
      <c r="C17" s="2">
        <v>9547.9</v>
      </c>
      <c r="D17" s="2">
        <v>23.9</v>
      </c>
      <c r="E17" s="3">
        <f t="shared" ref="E17:E38" si="2">($B$2*C17^2+$B$3*C17+$B$4)-$B$5*D17-$E$7</f>
        <v>8.0307962436482541E-4</v>
      </c>
      <c r="F17" s="4">
        <f t="shared" si="1"/>
        <v>741.58191412168526</v>
      </c>
    </row>
    <row r="18" spans="1:6">
      <c r="A18" s="6">
        <v>42602</v>
      </c>
      <c r="B18" s="9">
        <v>0.33333333333333298</v>
      </c>
      <c r="C18" s="2">
        <v>9539.1</v>
      </c>
      <c r="D18" s="2">
        <v>23.1</v>
      </c>
      <c r="E18" s="3">
        <f t="shared" si="2"/>
        <v>5.9446785109764852E-4</v>
      </c>
      <c r="F18" s="4">
        <f t="shared" si="1"/>
        <v>741.560635720812</v>
      </c>
    </row>
    <row r="19" spans="1:6">
      <c r="A19" s="7">
        <v>42612</v>
      </c>
      <c r="B19" s="9">
        <v>0.33333333333333298</v>
      </c>
      <c r="C19" s="2">
        <v>9519.2000000000007</v>
      </c>
      <c r="D19" s="2">
        <v>22.4</v>
      </c>
      <c r="E19" s="3">
        <f t="shared" si="2"/>
        <v>1.266076031824593E-3</v>
      </c>
      <c r="F19" s="4">
        <f t="shared" si="1"/>
        <v>741.62913975524611</v>
      </c>
    </row>
    <row r="20" spans="1:6">
      <c r="A20" s="7">
        <v>42623</v>
      </c>
      <c r="B20" s="9">
        <v>0.33333333333333298</v>
      </c>
      <c r="C20" s="2">
        <v>9512.5</v>
      </c>
      <c r="D20" s="2">
        <v>21.5</v>
      </c>
      <c r="E20" s="3">
        <f t="shared" si="2"/>
        <v>8.076260812588977E-4</v>
      </c>
      <c r="F20" s="4">
        <f t="shared" si="1"/>
        <v>741.58237786028837</v>
      </c>
    </row>
    <row r="21" spans="1:6">
      <c r="A21" s="7">
        <v>42633</v>
      </c>
      <c r="B21" s="9">
        <v>0.33333333333333331</v>
      </c>
      <c r="C21" s="2">
        <v>9494.7999999999993</v>
      </c>
      <c r="D21" s="2">
        <v>20.9</v>
      </c>
      <c r="E21" s="3">
        <f t="shared" si="2"/>
        <v>1.4287703340454573E-3</v>
      </c>
      <c r="F21" s="4">
        <f t="shared" si="1"/>
        <v>741.64573457407266</v>
      </c>
    </row>
    <row r="22" spans="1:6">
      <c r="A22" s="7">
        <v>42643</v>
      </c>
      <c r="B22" s="9">
        <v>0.33333333333333331</v>
      </c>
      <c r="C22" s="2">
        <v>9500.6</v>
      </c>
      <c r="D22" s="2">
        <v>20.2</v>
      </c>
      <c r="E22" s="3">
        <f t="shared" si="2"/>
        <v>3.0112966772122274E-4</v>
      </c>
      <c r="F22" s="4">
        <f t="shared" si="1"/>
        <v>741.53071522610753</v>
      </c>
    </row>
    <row r="23" spans="1:6">
      <c r="A23" s="7">
        <v>42883</v>
      </c>
      <c r="B23" s="9">
        <v>0.33333333333333331</v>
      </c>
      <c r="C23" s="2">
        <v>9396.7000000000007</v>
      </c>
      <c r="D23" s="2">
        <v>11.9</v>
      </c>
      <c r="E23" s="3">
        <f t="shared" si="2"/>
        <v>-9.7092974137352392E-4</v>
      </c>
      <c r="F23" s="4">
        <f t="shared" si="1"/>
        <v>741.40096516637993</v>
      </c>
    </row>
    <row r="24" spans="1:6">
      <c r="A24" s="7">
        <v>42885</v>
      </c>
      <c r="B24" s="9">
        <v>0.33333333333333331</v>
      </c>
      <c r="C24" s="2">
        <v>9399.4</v>
      </c>
      <c r="D24" s="2">
        <v>11.9</v>
      </c>
      <c r="E24" s="3">
        <f t="shared" si="2"/>
        <v>-1.1603109884387695E-3</v>
      </c>
      <c r="F24" s="4">
        <f t="shared" si="1"/>
        <v>741.38164827917922</v>
      </c>
    </row>
    <row r="25" spans="1:6">
      <c r="A25" s="7">
        <v>42896</v>
      </c>
      <c r="B25" s="9">
        <v>0.33333333333333331</v>
      </c>
      <c r="C25" s="2">
        <v>9384.5</v>
      </c>
      <c r="D25" s="2">
        <v>11.6</v>
      </c>
      <c r="E25" s="3">
        <f t="shared" si="2"/>
        <v>-4.2429696933305935E-4</v>
      </c>
      <c r="F25" s="4">
        <f t="shared" si="1"/>
        <v>741.45672170912803</v>
      </c>
    </row>
    <row r="26" spans="1:6">
      <c r="A26" s="7">
        <v>42906</v>
      </c>
      <c r="B26" s="9">
        <v>0.33333333333333331</v>
      </c>
      <c r="C26" s="2">
        <v>9380.4</v>
      </c>
      <c r="D26" s="2">
        <v>11.3</v>
      </c>
      <c r="E26" s="3">
        <f t="shared" si="2"/>
        <v>-4.458365010931685E-4</v>
      </c>
      <c r="F26" s="4">
        <f t="shared" si="1"/>
        <v>741.45452467688847</v>
      </c>
    </row>
    <row r="27" spans="1:6">
      <c r="A27" s="7">
        <v>42916</v>
      </c>
      <c r="B27" s="9">
        <v>0.33333333333333331</v>
      </c>
      <c r="C27" s="2">
        <v>9378.7999999999993</v>
      </c>
      <c r="D27" s="2">
        <v>11</v>
      </c>
      <c r="E27" s="3">
        <f t="shared" si="2"/>
        <v>-6.4276556728580167E-4</v>
      </c>
      <c r="F27" s="4">
        <f t="shared" si="1"/>
        <v>741.4344379121369</v>
      </c>
    </row>
    <row r="28" spans="1:6">
      <c r="A28" s="6">
        <v>42926</v>
      </c>
      <c r="B28" s="9">
        <v>0.33333333333333331</v>
      </c>
      <c r="C28" s="2">
        <v>9397.2999999999993</v>
      </c>
      <c r="D28" s="2">
        <v>10.9</v>
      </c>
      <c r="E28" s="3">
        <f t="shared" si="2"/>
        <v>-2.0436361311365475E-3</v>
      </c>
      <c r="F28" s="4">
        <f t="shared" si="1"/>
        <v>741.2915491146241</v>
      </c>
    </row>
    <row r="29" spans="1:6">
      <c r="A29" s="7">
        <v>42936</v>
      </c>
      <c r="B29" s="9">
        <v>0.33333333333333331</v>
      </c>
      <c r="C29" s="2">
        <v>9379.1</v>
      </c>
      <c r="D29" s="2">
        <v>10.8</v>
      </c>
      <c r="E29" s="3">
        <f t="shared" si="2"/>
        <v>-8.6993820544644176E-4</v>
      </c>
      <c r="F29" s="4">
        <f t="shared" si="1"/>
        <v>741.4112663030445</v>
      </c>
    </row>
    <row r="30" spans="1:6">
      <c r="A30" s="7">
        <v>42946</v>
      </c>
      <c r="B30" s="9">
        <v>0.33333333333333331</v>
      </c>
      <c r="C30" s="2">
        <v>9381.7999999999993</v>
      </c>
      <c r="D30" s="2">
        <v>10.8</v>
      </c>
      <c r="E30" s="3">
        <f t="shared" si="2"/>
        <v>-1.0593698533641789E-3</v>
      </c>
      <c r="F30" s="4">
        <f t="shared" si="1"/>
        <v>741.39194427495681</v>
      </c>
    </row>
    <row r="31" spans="1:6">
      <c r="A31" s="7">
        <v>42957</v>
      </c>
      <c r="B31" s="9">
        <v>0.33333333333333331</v>
      </c>
      <c r="C31" s="2">
        <v>9371.4</v>
      </c>
      <c r="D31" s="2">
        <v>10.7</v>
      </c>
      <c r="E31" s="3">
        <f t="shared" si="2"/>
        <v>-4.327268421474538E-4</v>
      </c>
      <c r="F31" s="4">
        <f t="shared" si="1"/>
        <v>741.45586186210096</v>
      </c>
    </row>
    <row r="32" spans="1:6">
      <c r="A32" s="7">
        <v>42967</v>
      </c>
      <c r="B32" s="9">
        <v>0.33333333333333331</v>
      </c>
      <c r="C32" s="2">
        <v>9381.4</v>
      </c>
      <c r="D32" s="2">
        <v>10.7</v>
      </c>
      <c r="E32" s="3">
        <f t="shared" si="2"/>
        <v>-1.1343684934115271E-3</v>
      </c>
      <c r="F32" s="4">
        <f t="shared" si="1"/>
        <v>741.38429441367202</v>
      </c>
    </row>
    <row r="33" spans="1:6">
      <c r="A33" s="7">
        <v>42977</v>
      </c>
      <c r="B33" s="9">
        <v>0.33333333333333331</v>
      </c>
      <c r="C33" s="2">
        <v>9368.2999999999993</v>
      </c>
      <c r="D33" s="2">
        <v>11.6</v>
      </c>
      <c r="E33" s="3">
        <f t="shared" si="2"/>
        <v>7.1236250571464835E-4</v>
      </c>
      <c r="F33" s="4">
        <f t="shared" si="1"/>
        <v>741.57266097558295</v>
      </c>
    </row>
    <row r="34" spans="1:6">
      <c r="A34" s="7">
        <v>42988</v>
      </c>
      <c r="B34" s="9">
        <v>0.33333333333333331</v>
      </c>
      <c r="C34" s="2">
        <v>9362.1</v>
      </c>
      <c r="D34" s="2">
        <v>11.2</v>
      </c>
      <c r="E34" s="3">
        <f t="shared" si="2"/>
        <v>7.3520557922882035E-4</v>
      </c>
      <c r="F34" s="4">
        <f t="shared" si="1"/>
        <v>741.57499096908134</v>
      </c>
    </row>
    <row r="35" spans="1:6">
      <c r="A35" s="7">
        <v>42998</v>
      </c>
      <c r="B35" s="9">
        <v>0.33333333333333331</v>
      </c>
      <c r="C35" s="2">
        <v>9377.1</v>
      </c>
      <c r="D35" s="2">
        <v>10.8</v>
      </c>
      <c r="E35" s="3">
        <f t="shared" si="2"/>
        <v>-7.2961348131527284E-4</v>
      </c>
      <c r="F35" s="4">
        <f t="shared" si="1"/>
        <v>741.42557942490589</v>
      </c>
    </row>
    <row r="36" spans="1:6">
      <c r="A36" s="7">
        <v>43008</v>
      </c>
      <c r="B36" s="9">
        <v>0.33333333333333331</v>
      </c>
      <c r="C36" s="2">
        <v>9375.4</v>
      </c>
      <c r="D36" s="2">
        <v>10.7</v>
      </c>
      <c r="E36" s="3">
        <f t="shared" si="2"/>
        <v>-7.133962301412132E-4</v>
      </c>
      <c r="F36" s="4">
        <f t="shared" si="1"/>
        <v>741.42723358452565</v>
      </c>
    </row>
    <row r="37" spans="1:6">
      <c r="A37" s="7">
        <v>43018</v>
      </c>
      <c r="B37" s="9">
        <v>0.33333333333333331</v>
      </c>
      <c r="C37" s="2">
        <v>9374.2999999999993</v>
      </c>
      <c r="D37" s="2">
        <v>10.8</v>
      </c>
      <c r="E37" s="3">
        <f t="shared" si="2"/>
        <v>-5.3315174013811653E-4</v>
      </c>
      <c r="F37" s="4">
        <f t="shared" si="1"/>
        <v>741.44561852250592</v>
      </c>
    </row>
    <row r="38" spans="1:6">
      <c r="A38" s="7">
        <v>43230</v>
      </c>
      <c r="B38" s="9">
        <v>0.33333333333333331</v>
      </c>
      <c r="C38" s="2">
        <v>9379.5</v>
      </c>
      <c r="D38" s="2">
        <v>10.6</v>
      </c>
      <c r="E38" s="3">
        <f t="shared" si="2"/>
        <v>-1.1041268411731142E-3</v>
      </c>
      <c r="F38" s="4">
        <f t="shared" si="1"/>
        <v>741.38737906220035</v>
      </c>
    </row>
    <row r="39" spans="1:6">
      <c r="A39" s="7">
        <v>43240</v>
      </c>
      <c r="B39" s="9">
        <v>0.33333333333333331</v>
      </c>
      <c r="C39" s="2">
        <v>9376.5</v>
      </c>
      <c r="D39" s="2">
        <v>10.7</v>
      </c>
      <c r="E39" s="3">
        <f>($B$2*C39^2+$B$3*C39+$B$4)-$B$5*D39-$E$7</f>
        <v>-7.9057733678910766E-4</v>
      </c>
      <c r="F39" s="4">
        <f t="shared" si="1"/>
        <v>741.4193611116475</v>
      </c>
    </row>
    <row r="40" spans="1:6">
      <c r="A40" s="7">
        <v>43250</v>
      </c>
      <c r="B40" s="9">
        <v>0.33333333333333331</v>
      </c>
      <c r="C40" s="2">
        <v>9370.2000000000007</v>
      </c>
      <c r="D40" s="2">
        <v>10.5</v>
      </c>
      <c r="E40" s="3">
        <f>($B$2*C40^2+$B$3*C40+$B$4)-$B$5*D40-$E$7</f>
        <v>-5.5464691660256707E-4</v>
      </c>
      <c r="F40" s="4">
        <f t="shared" si="1"/>
        <v>741.44342601450649</v>
      </c>
    </row>
    <row r="41" spans="1:6">
      <c r="A41" s="7">
        <v>43261</v>
      </c>
      <c r="B41" s="9">
        <v>0.33333333333333331</v>
      </c>
      <c r="C41" s="2">
        <v>9378.5</v>
      </c>
      <c r="D41" s="2">
        <v>10.4</v>
      </c>
      <c r="E41" s="3">
        <f>($B$2*C41^2+$B$3*C41+$B$4)-$B$5*D41-$E$7</f>
        <v>-1.2400896336690719E-3</v>
      </c>
      <c r="F41" s="4">
        <f t="shared" si="1"/>
        <v>741.37351085736577</v>
      </c>
    </row>
    <row r="42" spans="1:6">
      <c r="A42" s="7">
        <v>43271</v>
      </c>
      <c r="B42" s="9">
        <v>0.33333333333333331</v>
      </c>
      <c r="C42" s="2">
        <v>9380.4</v>
      </c>
      <c r="D42" s="2">
        <v>10.5</v>
      </c>
      <c r="E42" s="3">
        <f>($B$2*C42^2+$B$3*C42+$B$4)-$B$5*D42-$E$7</f>
        <v>-1.2703333010931663E-3</v>
      </c>
      <c r="F42" s="4">
        <f t="shared" si="1"/>
        <v>741.37042600328846</v>
      </c>
    </row>
    <row r="43" spans="1:6">
      <c r="A43" s="7">
        <v>43281</v>
      </c>
      <c r="B43" s="9">
        <v>0.33333333333333331</v>
      </c>
      <c r="C43" s="2">
        <v>9374.5</v>
      </c>
      <c r="D43" s="2">
        <v>10.199999999999999</v>
      </c>
      <c r="E43" s="3">
        <f>($B$2*C43^2+$B$3*C43+$B$4)-$B$5*D43-$E$7</f>
        <v>-1.1655575974131201E-3</v>
      </c>
      <c r="F43" s="4">
        <f t="shared" si="1"/>
        <v>741.38111312506385</v>
      </c>
    </row>
    <row r="44" spans="1:6">
      <c r="A44" s="7">
        <v>43291</v>
      </c>
      <c r="B44" s="9">
        <v>0.33333333333333331</v>
      </c>
      <c r="C44" s="2">
        <v>9380.7000000000007</v>
      </c>
      <c r="D44" s="2">
        <v>11</v>
      </c>
      <c r="E44" s="3">
        <f t="shared" ref="E44:E47" si="3">($B$2*C44^2+$B$3*C44+$B$4)-$B$5*D44-$E$7</f>
        <v>-7.7607073015427061E-4</v>
      </c>
      <c r="F44" s="4">
        <f t="shared" si="1"/>
        <v>741.42084078552432</v>
      </c>
    </row>
    <row r="45" spans="1:6">
      <c r="A45" s="7">
        <v>43301</v>
      </c>
      <c r="B45" s="9">
        <v>0.33333333333333331</v>
      </c>
      <c r="C45" s="2">
        <v>9365.2999999999993</v>
      </c>
      <c r="D45" s="2">
        <v>10.1</v>
      </c>
      <c r="E45" s="3">
        <f t="shared" si="3"/>
        <v>-6.230459529349662E-4</v>
      </c>
      <c r="F45" s="4">
        <f t="shared" si="1"/>
        <v>741.43644931280062</v>
      </c>
    </row>
    <row r="46" spans="1:6">
      <c r="A46" s="7">
        <v>43311</v>
      </c>
      <c r="B46" s="9">
        <v>0.33333333333333331</v>
      </c>
      <c r="C46" s="2">
        <v>9362.9</v>
      </c>
      <c r="D46" s="2">
        <v>10</v>
      </c>
      <c r="E46" s="3">
        <f t="shared" si="3"/>
        <v>-5.5768274701109566E-4</v>
      </c>
      <c r="F46" s="4">
        <f t="shared" si="1"/>
        <v>741.44311635980489</v>
      </c>
    </row>
    <row r="47" spans="1:6">
      <c r="A47" s="7">
        <v>43322</v>
      </c>
      <c r="B47" s="9">
        <v>0.33333333333333331</v>
      </c>
      <c r="C47" s="2">
        <v>9358.2999999999993</v>
      </c>
      <c r="D47" s="2">
        <v>9.8000000000000007</v>
      </c>
      <c r="E47" s="3">
        <f t="shared" si="3"/>
        <v>-4.4097470127739055E-4</v>
      </c>
      <c r="F47" s="4">
        <f t="shared" si="1"/>
        <v>741.45502058046975</v>
      </c>
    </row>
    <row r="48" spans="1:6">
      <c r="A48" s="7">
        <v>43332</v>
      </c>
      <c r="B48" s="9">
        <v>0.33333333333333331</v>
      </c>
      <c r="C48" s="2">
        <v>9367.2000000000007</v>
      </c>
      <c r="D48" s="2">
        <v>9.6999999999999993</v>
      </c>
      <c r="E48" s="3">
        <f t="shared" ref="E48:E61" si="4">($B$2*C48^2+$B$3*C48+$B$4)-$B$5*D48-$E$7</f>
        <v>-1.1686267208090156E-3</v>
      </c>
      <c r="F48" s="4">
        <f t="shared" ref="F48:F61" si="5">$D$1+102*E48</f>
        <v>741.38080007447752</v>
      </c>
    </row>
    <row r="49" spans="1:6">
      <c r="A49" s="7">
        <v>43342</v>
      </c>
      <c r="B49" s="9">
        <v>0.33333333333333331</v>
      </c>
      <c r="C49" s="2">
        <v>9365.1</v>
      </c>
      <c r="D49" s="2">
        <v>9.6999999999999993</v>
      </c>
      <c r="E49" s="3">
        <f t="shared" si="4"/>
        <v>-1.0212591441119273E-3</v>
      </c>
      <c r="F49" s="4">
        <f t="shared" si="5"/>
        <v>741.39583156730055</v>
      </c>
    </row>
    <row r="50" spans="1:6">
      <c r="A50" s="7">
        <v>43353</v>
      </c>
      <c r="B50" s="9">
        <v>0.33333333333333331</v>
      </c>
      <c r="C50" s="2">
        <v>9364.7999999999993</v>
      </c>
      <c r="D50" s="2">
        <v>9.5</v>
      </c>
      <c r="E50" s="3">
        <f t="shared" si="4"/>
        <v>-1.2063304513306138E-3</v>
      </c>
      <c r="F50" s="4">
        <f t="shared" si="5"/>
        <v>741.37695429396433</v>
      </c>
    </row>
    <row r="51" spans="1:6">
      <c r="A51" s="7">
        <v>43363</v>
      </c>
      <c r="B51" s="9">
        <v>0.33333333333333331</v>
      </c>
      <c r="C51" s="2">
        <v>9345.2999999999993</v>
      </c>
      <c r="D51" s="2">
        <v>9.3000000000000007</v>
      </c>
      <c r="E51" s="3">
        <f t="shared" si="4"/>
        <v>-4.3811867078972361E-5</v>
      </c>
      <c r="F51" s="4">
        <f t="shared" si="5"/>
        <v>741.49553118955794</v>
      </c>
    </row>
    <row r="52" spans="1:6">
      <c r="A52" s="7">
        <v>43373</v>
      </c>
      <c r="B52" s="9">
        <v>0.33333333333333331</v>
      </c>
      <c r="C52" s="2">
        <v>9371</v>
      </c>
      <c r="D52" s="2">
        <v>9.3000000000000007</v>
      </c>
      <c r="E52" s="3">
        <f t="shared" si="4"/>
        <v>-1.8475283699990776E-3</v>
      </c>
      <c r="F52" s="4">
        <f t="shared" si="5"/>
        <v>741.31155210626014</v>
      </c>
    </row>
    <row r="53" spans="1:6">
      <c r="A53" s="7">
        <v>43383</v>
      </c>
      <c r="B53" s="9">
        <v>0.33333333333333331</v>
      </c>
      <c r="C53" s="2">
        <v>9370.4</v>
      </c>
      <c r="D53" s="2">
        <v>9.1999999999999993</v>
      </c>
      <c r="E53" s="3">
        <f t="shared" si="4"/>
        <v>-1.908488343589098E-3</v>
      </c>
      <c r="F53" s="4">
        <f t="shared" si="5"/>
        <v>741.30533418895391</v>
      </c>
    </row>
    <row r="54" spans="1:6">
      <c r="A54" s="7">
        <v>43393</v>
      </c>
      <c r="B54" s="9">
        <v>0.33333333333333331</v>
      </c>
      <c r="C54" s="2">
        <v>9372.7000000000007</v>
      </c>
      <c r="D54" s="2">
        <v>9.1999999999999993</v>
      </c>
      <c r="E54" s="3">
        <f t="shared" si="4"/>
        <v>-2.0698777546406914E-3</v>
      </c>
      <c r="F54" s="4">
        <f t="shared" si="5"/>
        <v>741.28887246902661</v>
      </c>
    </row>
    <row r="55" spans="1:6">
      <c r="A55" s="7">
        <v>43605</v>
      </c>
      <c r="B55" s="9">
        <v>0.33333333333333331</v>
      </c>
      <c r="C55" s="2">
        <v>9382.5</v>
      </c>
      <c r="D55" s="2">
        <v>9</v>
      </c>
      <c r="E55" s="3">
        <f t="shared" si="4"/>
        <v>-2.9635982999410455E-3</v>
      </c>
      <c r="F55" s="4">
        <f t="shared" si="5"/>
        <v>741.19771297340606</v>
      </c>
    </row>
    <row r="56" spans="1:6">
      <c r="A56" s="7">
        <v>43615</v>
      </c>
      <c r="B56" s="9">
        <v>0.33333333333333331</v>
      </c>
      <c r="C56" s="2">
        <v>9384.2000000000007</v>
      </c>
      <c r="D56" s="2">
        <v>9</v>
      </c>
      <c r="E56" s="3">
        <f t="shared" si="4"/>
        <v>-3.0828648493834328E-3</v>
      </c>
      <c r="F56" s="4">
        <f t="shared" si="5"/>
        <v>741.18554778536293</v>
      </c>
    </row>
    <row r="57" spans="1:6">
      <c r="A57" s="7">
        <v>43626</v>
      </c>
      <c r="B57" s="9">
        <v>0.33333333333333331</v>
      </c>
      <c r="C57" s="2">
        <v>9386.9</v>
      </c>
      <c r="D57" s="2">
        <v>9.1999999999999993</v>
      </c>
      <c r="E57" s="3">
        <f t="shared" si="4"/>
        <v>-3.0661576925086857E-3</v>
      </c>
      <c r="F57" s="4">
        <f t="shared" si="5"/>
        <v>741.18725191536407</v>
      </c>
    </row>
    <row r="58" spans="1:6">
      <c r="A58" s="7">
        <v>43636</v>
      </c>
      <c r="B58" s="9">
        <v>0.33333333333333331</v>
      </c>
      <c r="C58" s="2">
        <v>9383.6</v>
      </c>
      <c r="D58" s="2">
        <v>9.4</v>
      </c>
      <c r="E58" s="3">
        <f t="shared" si="4"/>
        <v>-2.6285227231155894E-3</v>
      </c>
      <c r="F58" s="4">
        <f t="shared" si="5"/>
        <v>741.23189068224224</v>
      </c>
    </row>
    <row r="59" spans="1:6">
      <c r="A59" s="7">
        <v>43646</v>
      </c>
      <c r="B59" s="1">
        <v>0.33333333333333331</v>
      </c>
      <c r="C59" s="2">
        <v>9372.5</v>
      </c>
      <c r="D59" s="2">
        <v>8.8000000000000007</v>
      </c>
      <c r="E59" s="3">
        <f t="shared" si="4"/>
        <v>-2.4680925155410004E-3</v>
      </c>
      <c r="F59" s="4">
        <f t="shared" si="5"/>
        <v>741.24825456341478</v>
      </c>
    </row>
    <row r="60" spans="1:6">
      <c r="A60" s="7">
        <v>43656</v>
      </c>
      <c r="B60" s="1">
        <v>0.33333333333333331</v>
      </c>
      <c r="C60" s="2">
        <v>9367.2999999999993</v>
      </c>
      <c r="D60" s="2">
        <v>8.5</v>
      </c>
      <c r="E60" s="3">
        <f t="shared" si="4"/>
        <v>-2.4123893077925146E-3</v>
      </c>
      <c r="F60" s="4">
        <f t="shared" si="5"/>
        <v>741.25393629060511</v>
      </c>
    </row>
    <row r="61" spans="1:6">
      <c r="A61" s="7">
        <v>43666</v>
      </c>
      <c r="B61" s="1">
        <v>0.33333333333333331</v>
      </c>
      <c r="C61" s="2">
        <v>9350.6</v>
      </c>
      <c r="D61" s="2">
        <v>8</v>
      </c>
      <c r="E61" s="3">
        <f t="shared" si="4"/>
        <v>-1.7556491684388546E-3</v>
      </c>
      <c r="F61" s="4">
        <f t="shared" si="5"/>
        <v>741.32092378481923</v>
      </c>
    </row>
    <row r="62" spans="1:6">
      <c r="A62" s="7">
        <v>43676</v>
      </c>
      <c r="B62" s="1">
        <v>0.33333333333333331</v>
      </c>
      <c r="C62" s="2">
        <v>9345.2999999999993</v>
      </c>
      <c r="D62" s="2">
        <v>7.9</v>
      </c>
      <c r="E62" s="3">
        <f t="shared" ref="E62" si="6">($B$2*C62^2+$B$3*C62+$B$4)-$B$5*D62-$E$7</f>
        <v>-1.4866812670789702E-3</v>
      </c>
      <c r="F62" s="4">
        <f t="shared" ref="F62" si="7">$D$1+102*E62</f>
        <v>741.34835851075798</v>
      </c>
    </row>
    <row r="63" spans="1:6">
      <c r="A63" s="7">
        <v>43687</v>
      </c>
      <c r="B63" s="9">
        <v>0.33333333333333331</v>
      </c>
      <c r="C63" s="2">
        <v>9340.7000000000007</v>
      </c>
      <c r="D63" s="2">
        <v>7.8</v>
      </c>
      <c r="E63" t="s">
        <v>64</v>
      </c>
      <c r="F63" s="4"/>
    </row>
    <row r="64" spans="1:6">
      <c r="A64" s="7">
        <v>43697</v>
      </c>
      <c r="B64" s="1">
        <v>0.33333333333333331</v>
      </c>
      <c r="C64" s="2">
        <v>9338.6</v>
      </c>
      <c r="D64" s="2">
        <v>7.8</v>
      </c>
    </row>
    <row r="65" spans="1:4">
      <c r="A65" s="7">
        <v>43707</v>
      </c>
      <c r="B65" s="9">
        <v>0.33333333333333331</v>
      </c>
      <c r="C65" s="2">
        <v>9331.2999999999993</v>
      </c>
      <c r="D65" s="2">
        <v>7.7</v>
      </c>
    </row>
    <row r="66" spans="1:4">
      <c r="B66" s="9"/>
    </row>
    <row r="67" spans="1:4">
      <c r="B67" s="9"/>
    </row>
    <row r="68" spans="1:4">
      <c r="B68" s="9"/>
    </row>
    <row r="69" spans="1:4">
      <c r="B69" s="9"/>
    </row>
    <row r="70" spans="1:4">
      <c r="B70" s="9"/>
    </row>
    <row r="71" spans="1:4">
      <c r="B71" s="9"/>
    </row>
    <row r="72" spans="1:4">
      <c r="B72" s="9"/>
    </row>
    <row r="73" spans="1:4">
      <c r="B73" s="9"/>
    </row>
    <row r="74" spans="1:4">
      <c r="B74" s="9"/>
    </row>
    <row r="75" spans="1:4">
      <c r="B75" s="9"/>
    </row>
    <row r="76" spans="1:4">
      <c r="B76" s="9"/>
    </row>
    <row r="77" spans="1:4">
      <c r="B77" s="9"/>
    </row>
    <row r="78" spans="1:4">
      <c r="B78" s="9"/>
    </row>
    <row r="79" spans="1:4">
      <c r="B79" s="9"/>
    </row>
    <row r="80" spans="1:4">
      <c r="B80" s="9"/>
    </row>
    <row r="81" spans="2:2">
      <c r="B81" s="9"/>
    </row>
    <row r="82" spans="2:2">
      <c r="B82" s="9"/>
    </row>
    <row r="83" spans="2:2">
      <c r="B83" s="9"/>
    </row>
    <row r="84" spans="2:2">
      <c r="B84" s="9"/>
    </row>
    <row r="85" spans="2:2">
      <c r="B85" s="9"/>
    </row>
    <row r="86" spans="2:2">
      <c r="B86" s="9"/>
    </row>
    <row r="87" spans="2:2">
      <c r="B87" s="9"/>
    </row>
    <row r="88" spans="2:2">
      <c r="B88" s="9"/>
    </row>
    <row r="89" spans="2:2">
      <c r="B89" s="9"/>
    </row>
    <row r="90" spans="2:2">
      <c r="B90" s="9"/>
    </row>
    <row r="91" spans="2:2">
      <c r="B91" s="9"/>
    </row>
    <row r="92" spans="2:2">
      <c r="B92" s="9"/>
    </row>
    <row r="93" spans="2:2">
      <c r="B93" s="9"/>
    </row>
    <row r="94" spans="2:2">
      <c r="B94" s="9"/>
    </row>
    <row r="95" spans="2:2">
      <c r="B95" s="9"/>
    </row>
    <row r="96" spans="2:2">
      <c r="B96" s="9"/>
    </row>
    <row r="97" spans="2:2">
      <c r="B97" s="9"/>
    </row>
    <row r="98" spans="2:2">
      <c r="B98" s="9"/>
    </row>
    <row r="99" spans="2:2">
      <c r="B99" s="9"/>
    </row>
    <row r="100" spans="2:2">
      <c r="B100" s="9"/>
    </row>
    <row r="101" spans="2:2">
      <c r="B101" s="9"/>
    </row>
    <row r="102" spans="2:2">
      <c r="B102" s="9"/>
    </row>
    <row r="103" spans="2:2">
      <c r="B103" s="9"/>
    </row>
    <row r="104" spans="2:2">
      <c r="B104" s="9"/>
    </row>
    <row r="105" spans="2:2">
      <c r="B105" s="9"/>
    </row>
    <row r="106" spans="2:2">
      <c r="B106" s="9"/>
    </row>
    <row r="107" spans="2:2">
      <c r="B107" s="9"/>
    </row>
    <row r="108" spans="2:2">
      <c r="B108" s="9"/>
    </row>
    <row r="109" spans="2:2">
      <c r="B109" s="9"/>
    </row>
    <row r="110" spans="2:2">
      <c r="B110" s="9"/>
    </row>
    <row r="111" spans="2:2">
      <c r="B111" s="9"/>
    </row>
    <row r="112" spans="2:2">
      <c r="B112" s="9"/>
    </row>
    <row r="113" spans="2:2">
      <c r="B113" s="9"/>
    </row>
    <row r="114" spans="2:2">
      <c r="B114" s="9"/>
    </row>
    <row r="115" spans="2:2">
      <c r="B115" s="9"/>
    </row>
    <row r="116" spans="2:2">
      <c r="B116" s="9"/>
    </row>
    <row r="117" spans="2:2">
      <c r="B117" s="9"/>
    </row>
    <row r="118" spans="2:2">
      <c r="B118" s="9"/>
    </row>
    <row r="119" spans="2:2">
      <c r="B119" s="9"/>
    </row>
    <row r="120" spans="2:2">
      <c r="B120" s="9"/>
    </row>
    <row r="121" spans="2:2">
      <c r="B121" s="9"/>
    </row>
    <row r="122" spans="2:2">
      <c r="B122" s="9"/>
    </row>
    <row r="123" spans="2:2">
      <c r="B123" s="9"/>
    </row>
    <row r="124" spans="2:2">
      <c r="B124" s="9"/>
    </row>
    <row r="125" spans="2:2">
      <c r="B125" s="9"/>
    </row>
    <row r="126" spans="2:2">
      <c r="B126" s="9"/>
    </row>
    <row r="127" spans="2:2">
      <c r="B127" s="9"/>
    </row>
    <row r="128" spans="2:2">
      <c r="B128" s="9"/>
    </row>
    <row r="129" spans="2:2">
      <c r="B129" s="9"/>
    </row>
    <row r="130" spans="2:2">
      <c r="B130" s="9"/>
    </row>
    <row r="131" spans="2:2">
      <c r="B131" s="9"/>
    </row>
    <row r="132" spans="2:2">
      <c r="B132" s="9"/>
    </row>
    <row r="133" spans="2:2">
      <c r="B133" s="9"/>
    </row>
    <row r="134" spans="2:2">
      <c r="B134" s="9"/>
    </row>
    <row r="135" spans="2:2">
      <c r="B135" s="9"/>
    </row>
    <row r="136" spans="2:2">
      <c r="B136" s="9"/>
    </row>
    <row r="137" spans="2:2">
      <c r="B137" s="9"/>
    </row>
    <row r="138" spans="2:2">
      <c r="B138" s="9"/>
    </row>
    <row r="139" spans="2:2">
      <c r="B139" s="9"/>
    </row>
    <row r="140" spans="2:2">
      <c r="B140" s="9"/>
    </row>
    <row r="141" spans="2:2">
      <c r="B141" s="9"/>
    </row>
    <row r="142" spans="2:2">
      <c r="B142" s="9"/>
    </row>
    <row r="143" spans="2:2">
      <c r="B143" s="9"/>
    </row>
    <row r="144" spans="2:2">
      <c r="B144" s="9"/>
    </row>
    <row r="145" spans="2:2">
      <c r="B145" s="9"/>
    </row>
    <row r="146" spans="2:2">
      <c r="B146" s="9"/>
    </row>
    <row r="147" spans="2:2">
      <c r="B147" s="9"/>
    </row>
    <row r="148" spans="2:2">
      <c r="B148" s="9"/>
    </row>
    <row r="149" spans="2:2">
      <c r="B149" s="9"/>
    </row>
    <row r="150" spans="2:2">
      <c r="B150" s="9"/>
    </row>
    <row r="151" spans="2:2">
      <c r="B151" s="9"/>
    </row>
    <row r="152" spans="2:2">
      <c r="B152" s="9"/>
    </row>
    <row r="153" spans="2:2">
      <c r="B153" s="9"/>
    </row>
    <row r="154" spans="2:2">
      <c r="B154" s="9"/>
    </row>
    <row r="155" spans="2:2">
      <c r="B155" s="9"/>
    </row>
    <row r="156" spans="2:2">
      <c r="B156" s="9"/>
    </row>
    <row r="157" spans="2:2">
      <c r="B157" s="9"/>
    </row>
    <row r="158" spans="2:2">
      <c r="B158" s="9"/>
    </row>
    <row r="159" spans="2:2">
      <c r="B159" s="9"/>
    </row>
    <row r="160" spans="2:2">
      <c r="B160" s="9"/>
    </row>
    <row r="161" spans="2:2">
      <c r="B161" s="9"/>
    </row>
    <row r="162" spans="2:2">
      <c r="B162" s="9"/>
    </row>
    <row r="163" spans="2:2">
      <c r="B163" s="9"/>
    </row>
    <row r="164" spans="2:2">
      <c r="B164" s="9"/>
    </row>
    <row r="165" spans="2:2">
      <c r="B165" s="9"/>
    </row>
    <row r="166" spans="2:2">
      <c r="B166" s="9"/>
    </row>
    <row r="167" spans="2:2">
      <c r="B167" s="9"/>
    </row>
    <row r="168" spans="2:2">
      <c r="B168" s="9"/>
    </row>
    <row r="169" spans="2:2">
      <c r="B169" s="9"/>
    </row>
    <row r="170" spans="2:2">
      <c r="B170" s="9"/>
    </row>
    <row r="171" spans="2:2">
      <c r="B171" s="9"/>
    </row>
    <row r="172" spans="2:2">
      <c r="B172" s="9"/>
    </row>
    <row r="173" spans="2:2">
      <c r="B173" s="9"/>
    </row>
    <row r="174" spans="2:2">
      <c r="B174" s="9"/>
    </row>
    <row r="175" spans="2:2">
      <c r="B175" s="9"/>
    </row>
    <row r="176" spans="2:2">
      <c r="B176" s="9"/>
    </row>
  </sheetData>
  <phoneticPr fontId="4" type="noConversion"/>
  <pageMargins left="0.69930555555555596" right="0.69930555555555596" top="0.75" bottom="0.75" header="0.3" footer="0.3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6"/>
  <sheetViews>
    <sheetView topLeftCell="A52" workbookViewId="0">
      <selection activeCell="A70" sqref="A70:B72"/>
    </sheetView>
  </sheetViews>
  <sheetFormatPr defaultColWidth="9" defaultRowHeight="13.5"/>
  <cols>
    <col min="1" max="1" width="11" customWidth="1"/>
    <col min="2" max="2" width="13.125" style="17" customWidth="1"/>
    <col min="5" max="5" width="10.875" customWidth="1"/>
  </cols>
  <sheetData>
    <row r="1" spans="1:7">
      <c r="A1" t="s">
        <v>0</v>
      </c>
      <c r="B1" s="17">
        <v>50381</v>
      </c>
      <c r="C1" t="s">
        <v>1</v>
      </c>
      <c r="D1">
        <v>737.8</v>
      </c>
    </row>
    <row r="2" spans="1:7">
      <c r="A2" t="s">
        <v>2</v>
      </c>
      <c r="B2">
        <f>6.94389*10^-10</f>
        <v>6.9438900000000001E-10</v>
      </c>
    </row>
    <row r="3" spans="1:7">
      <c r="A3" t="s">
        <v>3</v>
      </c>
      <c r="B3" s="17">
        <v>-8.3343000000000005E-5</v>
      </c>
    </row>
    <row r="4" spans="1:7">
      <c r="A4" t="s">
        <v>4</v>
      </c>
      <c r="B4" s="17">
        <v>0.65845193000000002</v>
      </c>
    </row>
    <row r="5" spans="1:7">
      <c r="A5" t="s">
        <v>5</v>
      </c>
      <c r="B5" s="17">
        <v>-1.010307E-3</v>
      </c>
    </row>
    <row r="6" spans="1:7">
      <c r="A6" t="s">
        <v>6</v>
      </c>
      <c r="B6" s="17" t="s">
        <v>7</v>
      </c>
      <c r="C6" t="s">
        <v>8</v>
      </c>
      <c r="D6" t="s">
        <v>9</v>
      </c>
      <c r="E6" t="s">
        <v>10</v>
      </c>
      <c r="F6" t="s">
        <v>11</v>
      </c>
      <c r="G6" t="s">
        <v>12</v>
      </c>
    </row>
    <row r="7" spans="1:7">
      <c r="A7" s="5" t="s">
        <v>15</v>
      </c>
      <c r="B7" s="9">
        <v>0.58333333333333304</v>
      </c>
      <c r="C7" s="2">
        <v>8547.1</v>
      </c>
      <c r="D7" s="2">
        <v>22.3</v>
      </c>
      <c r="E7" s="3">
        <f>($B$2*C7^2+$B$3*C7+$B$4)-$B$5*D7</f>
        <v>1.9367963761801416E-2</v>
      </c>
      <c r="G7" t="s">
        <v>13</v>
      </c>
    </row>
    <row r="8" spans="1:7">
      <c r="A8" s="5" t="s">
        <v>24</v>
      </c>
      <c r="B8" s="9">
        <v>0.64583333333333304</v>
      </c>
      <c r="C8" s="2">
        <v>8545</v>
      </c>
      <c r="D8" s="2">
        <v>21.6</v>
      </c>
      <c r="E8" s="3">
        <f>($B$2*C8^2+$B$3*C8+$B$4)-$B$5*D8-$E$7</f>
        <v>-5.5711858907644615E-4</v>
      </c>
      <c r="F8" s="4">
        <f>$D$1+102*E8</f>
        <v>737.74317390391411</v>
      </c>
      <c r="G8" t="s">
        <v>17</v>
      </c>
    </row>
    <row r="9" spans="1:7">
      <c r="A9" s="5" t="s">
        <v>24</v>
      </c>
      <c r="B9" s="9">
        <v>0.66666666666666696</v>
      </c>
      <c r="C9" s="2">
        <v>8542.6</v>
      </c>
      <c r="D9" s="2">
        <v>21.1</v>
      </c>
      <c r="E9" s="3">
        <f t="shared" ref="E9:E23" si="0">($B$2*C9^2+$B$3*C9+$B$4)-$B$5*D9-$E$7</f>
        <v>-8.9072594861977841E-4</v>
      </c>
      <c r="F9" s="4">
        <f t="shared" ref="F9:F54" si="1">$D$1+102*E9</f>
        <v>737.70914595324075</v>
      </c>
      <c r="G9" s="5" t="s">
        <v>14</v>
      </c>
    </row>
    <row r="10" spans="1:7">
      <c r="A10" s="5" t="s">
        <v>16</v>
      </c>
      <c r="B10" s="9">
        <v>0.41666666666666702</v>
      </c>
      <c r="C10" s="2">
        <v>8288.5</v>
      </c>
      <c r="D10" s="2">
        <v>3.8</v>
      </c>
      <c r="E10" s="3">
        <f t="shared" si="0"/>
        <v>-1.6133147895611155E-4</v>
      </c>
      <c r="F10" s="4">
        <f t="shared" si="1"/>
        <v>737.78354418914648</v>
      </c>
    </row>
    <row r="11" spans="1:7">
      <c r="A11" s="5" t="s">
        <v>18</v>
      </c>
      <c r="B11" s="9">
        <v>0.33333333333333298</v>
      </c>
      <c r="C11" s="2">
        <v>8287.1</v>
      </c>
      <c r="D11" s="2">
        <v>3.4</v>
      </c>
      <c r="E11" s="3">
        <f t="shared" si="0"/>
        <v>-4.6488795898797994E-4</v>
      </c>
      <c r="F11" s="4">
        <f t="shared" si="1"/>
        <v>737.75258142818313</v>
      </c>
    </row>
    <row r="12" spans="1:7">
      <c r="A12" s="5" t="s">
        <v>19</v>
      </c>
      <c r="B12" s="9">
        <v>0.33333333333333298</v>
      </c>
      <c r="C12" s="2">
        <v>8285.4</v>
      </c>
      <c r="D12" s="2">
        <v>3.5</v>
      </c>
      <c r="E12" s="3">
        <f t="shared" si="0"/>
        <v>-2.4173735388217932E-4</v>
      </c>
      <c r="F12" s="4">
        <f t="shared" si="1"/>
        <v>737.77534278990402</v>
      </c>
    </row>
    <row r="13" spans="1:7">
      <c r="A13" s="5" t="s">
        <v>20</v>
      </c>
      <c r="B13" s="9">
        <v>0.33333333333333298</v>
      </c>
      <c r="C13" s="2">
        <v>8287.7999999999993</v>
      </c>
      <c r="D13" s="2">
        <v>3.5</v>
      </c>
      <c r="E13" s="3">
        <f t="shared" si="0"/>
        <v>-4.1414075922259486E-4</v>
      </c>
      <c r="F13" s="4">
        <f t="shared" si="1"/>
        <v>737.75775764255923</v>
      </c>
    </row>
    <row r="14" spans="1:7">
      <c r="A14" s="5" t="s">
        <v>21</v>
      </c>
      <c r="B14" s="9">
        <v>0.33333333333333298</v>
      </c>
      <c r="C14" s="2">
        <v>8288.2999999999993</v>
      </c>
      <c r="D14" s="2">
        <v>3.6</v>
      </c>
      <c r="E14" s="3">
        <f t="shared" si="0"/>
        <v>-3.4902642847119483E-4</v>
      </c>
      <c r="F14" s="4">
        <f t="shared" si="1"/>
        <v>737.76439930429592</v>
      </c>
    </row>
    <row r="15" spans="1:7">
      <c r="A15" s="5" t="s">
        <v>22</v>
      </c>
      <c r="B15" s="9">
        <v>0.33333333333333298</v>
      </c>
      <c r="C15" s="2">
        <v>8289.9</v>
      </c>
      <c r="D15" s="2">
        <v>3.6</v>
      </c>
      <c r="E15" s="3">
        <f t="shared" si="0"/>
        <v>-4.6395647691950884E-4</v>
      </c>
      <c r="F15" s="4">
        <f t="shared" si="1"/>
        <v>737.75267643935422</v>
      </c>
    </row>
    <row r="16" spans="1:7">
      <c r="A16" s="6">
        <v>42536</v>
      </c>
      <c r="B16" s="9">
        <v>0.33333333333333298</v>
      </c>
      <c r="C16" s="2">
        <v>8292.2999999999993</v>
      </c>
      <c r="D16" s="2">
        <v>3.6</v>
      </c>
      <c r="E16" s="3">
        <f t="shared" si="0"/>
        <v>-6.3634488345761311E-4</v>
      </c>
      <c r="F16" s="4">
        <f t="shared" si="1"/>
        <v>737.73509282188729</v>
      </c>
    </row>
    <row r="17" spans="1:6">
      <c r="A17" s="6">
        <v>42537</v>
      </c>
      <c r="B17" s="9">
        <v>0.33333333333333298</v>
      </c>
      <c r="C17" s="2">
        <v>8300.4</v>
      </c>
      <c r="D17" s="2">
        <v>3.7</v>
      </c>
      <c r="E17" s="3">
        <f t="shared" si="0"/>
        <v>-1.1170659977391625E-3</v>
      </c>
      <c r="F17" s="4">
        <f t="shared" si="1"/>
        <v>737.68605926823057</v>
      </c>
    </row>
    <row r="18" spans="1:6">
      <c r="A18" s="6">
        <v>42538</v>
      </c>
      <c r="B18" s="9">
        <v>0.33333333333333298</v>
      </c>
      <c r="C18" s="2">
        <v>8298.7999999999993</v>
      </c>
      <c r="D18" s="2">
        <v>3.7</v>
      </c>
      <c r="E18" s="3">
        <f t="shared" si="0"/>
        <v>-1.0021592807612709E-3</v>
      </c>
      <c r="F18" s="4">
        <f t="shared" si="1"/>
        <v>737.69777975336228</v>
      </c>
    </row>
    <row r="19" spans="1:6">
      <c r="A19" s="6">
        <v>42544</v>
      </c>
      <c r="B19" s="9">
        <v>0.33333333333333298</v>
      </c>
      <c r="C19" s="2">
        <v>8272.5</v>
      </c>
      <c r="D19" s="2">
        <v>4.0999999999999996</v>
      </c>
      <c r="E19" s="3">
        <f t="shared" si="0"/>
        <v>1.2912522013798361E-3</v>
      </c>
      <c r="F19" s="4">
        <f t="shared" si="1"/>
        <v>737.93170772454073</v>
      </c>
    </row>
    <row r="20" spans="1:6">
      <c r="A20" s="7">
        <v>42551</v>
      </c>
      <c r="B20" s="9">
        <v>0.33333333333333298</v>
      </c>
      <c r="C20" s="2">
        <v>8305</v>
      </c>
      <c r="D20" s="2">
        <v>4.5999999999999996</v>
      </c>
      <c r="E20" s="3">
        <f t="shared" si="0"/>
        <v>-5.3812670507636523E-4</v>
      </c>
      <c r="F20" s="4">
        <f t="shared" si="1"/>
        <v>737.74511107608214</v>
      </c>
    </row>
    <row r="21" spans="1:6">
      <c r="A21" s="7">
        <v>42561</v>
      </c>
      <c r="B21" s="9">
        <v>0.33333333333333298</v>
      </c>
      <c r="C21" s="2">
        <v>8315.7000000000007</v>
      </c>
      <c r="D21" s="2">
        <v>5.3</v>
      </c>
      <c r="E21" s="3">
        <f t="shared" si="0"/>
        <v>-5.9919073067686221E-4</v>
      </c>
      <c r="F21" s="4">
        <f t="shared" si="1"/>
        <v>737.73888254547091</v>
      </c>
    </row>
    <row r="22" spans="1:6">
      <c r="A22" s="7">
        <v>42571</v>
      </c>
      <c r="B22" s="9">
        <v>0.33333333333333298</v>
      </c>
      <c r="C22" s="2">
        <v>8333.2999999999993</v>
      </c>
      <c r="D22" s="2">
        <v>6.5</v>
      </c>
      <c r="E22" s="3">
        <f t="shared" si="0"/>
        <v>-6.5018759936317366E-4</v>
      </c>
      <c r="F22" s="4">
        <f t="shared" si="1"/>
        <v>737.73368086486494</v>
      </c>
    </row>
    <row r="23" spans="1:6">
      <c r="A23" s="7">
        <v>42581</v>
      </c>
      <c r="B23" s="9">
        <v>0.33333333333333298</v>
      </c>
      <c r="C23" s="2">
        <v>8333.7000000000007</v>
      </c>
      <c r="D23" s="2">
        <v>7.5</v>
      </c>
      <c r="E23" s="3">
        <f t="shared" si="0"/>
        <v>3.3141155322189558E-4</v>
      </c>
      <c r="F23" s="4">
        <f t="shared" si="1"/>
        <v>737.83380397842859</v>
      </c>
    </row>
    <row r="24" spans="1:6">
      <c r="A24" s="7">
        <v>42592</v>
      </c>
      <c r="B24" s="9">
        <v>0.33333333333333298</v>
      </c>
      <c r="C24" s="2">
        <v>8342.2999999999993</v>
      </c>
      <c r="D24" s="2">
        <v>8.3000000000000007</v>
      </c>
      <c r="E24" s="3">
        <f t="shared" ref="E24:E45" si="2">($B$2*C24^2+$B$3*C24+$B$4)-$B$5*D24-$E$7</f>
        <v>5.2249217951233495E-4</v>
      </c>
      <c r="F24" s="4">
        <f t="shared" si="1"/>
        <v>737.85329420231017</v>
      </c>
    </row>
    <row r="25" spans="1:6">
      <c r="A25" s="7">
        <v>42602</v>
      </c>
      <c r="B25" s="9">
        <v>0.33333333333333298</v>
      </c>
      <c r="C25" s="2">
        <v>8356.1</v>
      </c>
      <c r="D25" s="2">
        <v>9.3000000000000007</v>
      </c>
      <c r="E25" s="3">
        <f t="shared" si="2"/>
        <v>5.4267933634323529E-4</v>
      </c>
      <c r="F25" s="4">
        <f t="shared" si="1"/>
        <v>737.85535329230697</v>
      </c>
    </row>
    <row r="26" spans="1:6">
      <c r="A26" s="7">
        <v>42612</v>
      </c>
      <c r="B26" s="9">
        <v>0.33333333333333298</v>
      </c>
      <c r="C26" s="2">
        <v>8357</v>
      </c>
      <c r="D26" s="2">
        <v>9.9</v>
      </c>
      <c r="E26" s="3">
        <f t="shared" si="2"/>
        <v>1.0842996898595553E-3</v>
      </c>
      <c r="F26" s="4">
        <f t="shared" si="1"/>
        <v>737.91059856836569</v>
      </c>
    </row>
    <row r="27" spans="1:6">
      <c r="A27" s="7">
        <v>42623</v>
      </c>
      <c r="B27" s="9">
        <v>0.33333333333333298</v>
      </c>
      <c r="C27" s="2">
        <v>8375</v>
      </c>
      <c r="D27" s="2">
        <v>10.8</v>
      </c>
      <c r="E27" s="3">
        <f t="shared" si="2"/>
        <v>7.0253529132352499E-4</v>
      </c>
      <c r="F27" s="4">
        <f t="shared" si="1"/>
        <v>737.87165859971492</v>
      </c>
    </row>
    <row r="28" spans="1:6">
      <c r="A28" s="6">
        <v>42633</v>
      </c>
      <c r="B28" s="9">
        <v>0.33333333333333331</v>
      </c>
      <c r="C28" s="2">
        <v>8374.5</v>
      </c>
      <c r="D28" s="2">
        <v>11.4</v>
      </c>
      <c r="E28" s="3">
        <f t="shared" si="2"/>
        <v>1.3445756570457414E-3</v>
      </c>
      <c r="F28" s="4">
        <f t="shared" si="1"/>
        <v>737.93714671701866</v>
      </c>
    </row>
    <row r="29" spans="1:6">
      <c r="A29" s="7">
        <v>42643</v>
      </c>
      <c r="B29" s="9">
        <v>0.33333333333333331</v>
      </c>
      <c r="C29" s="2">
        <v>8392.7000000000007</v>
      </c>
      <c r="D29" s="2">
        <v>11.8</v>
      </c>
      <c r="E29" s="3">
        <f t="shared" si="2"/>
        <v>4.4375771522832397E-4</v>
      </c>
      <c r="F29" s="4">
        <f t="shared" si="1"/>
        <v>737.84526328695324</v>
      </c>
    </row>
    <row r="30" spans="1:6">
      <c r="A30" s="7">
        <v>42883</v>
      </c>
      <c r="B30" s="9">
        <v>0.33333333333333331</v>
      </c>
      <c r="C30" s="2">
        <v>8409.7999999999993</v>
      </c>
      <c r="D30" s="2">
        <v>12.4</v>
      </c>
      <c r="E30" s="3">
        <f t="shared" si="2"/>
        <v>-1.757096277217457E-4</v>
      </c>
      <c r="F30" s="4">
        <f t="shared" si="1"/>
        <v>737.78207761797239</v>
      </c>
    </row>
    <row r="31" spans="1:6">
      <c r="A31" s="7">
        <v>42885</v>
      </c>
      <c r="B31" s="9">
        <v>0.33333333333333331</v>
      </c>
      <c r="C31" s="2">
        <v>8413</v>
      </c>
      <c r="D31" s="2">
        <v>12.4</v>
      </c>
      <c r="E31" s="3">
        <f t="shared" si="2"/>
        <v>-4.0502621246042703E-4</v>
      </c>
      <c r="F31" s="4">
        <f t="shared" si="1"/>
        <v>737.75868732632898</v>
      </c>
    </row>
    <row r="32" spans="1:6">
      <c r="A32" s="7">
        <v>42896</v>
      </c>
      <c r="B32" s="9">
        <v>0.33333333333333331</v>
      </c>
      <c r="C32" s="2">
        <v>8399.2000000000007</v>
      </c>
      <c r="D32" s="2">
        <v>12.2</v>
      </c>
      <c r="E32" s="3">
        <f t="shared" si="2"/>
        <v>3.8194173444749263E-4</v>
      </c>
      <c r="F32" s="4">
        <f t="shared" si="1"/>
        <v>737.83895805691361</v>
      </c>
    </row>
    <row r="33" spans="1:6">
      <c r="A33" s="7">
        <v>42906</v>
      </c>
      <c r="B33" s="9">
        <v>0.33333333333333331</v>
      </c>
      <c r="C33" s="2">
        <v>8397.2000000000007</v>
      </c>
      <c r="D33" s="2">
        <v>12</v>
      </c>
      <c r="E33" s="3">
        <f t="shared" si="2"/>
        <v>3.2323986364824267E-4</v>
      </c>
      <c r="F33" s="4">
        <f t="shared" si="1"/>
        <v>737.83297046609209</v>
      </c>
    </row>
    <row r="34" spans="1:6">
      <c r="A34" s="7">
        <v>42916</v>
      </c>
      <c r="B34" s="9">
        <v>0.33333333333333331</v>
      </c>
      <c r="C34" s="2">
        <v>8398.2999999999993</v>
      </c>
      <c r="D34" s="2">
        <v>11.8</v>
      </c>
      <c r="E34" s="3">
        <f t="shared" si="2"/>
        <v>4.2330035142770783E-5</v>
      </c>
      <c r="F34" s="4">
        <f t="shared" si="1"/>
        <v>737.80431766358447</v>
      </c>
    </row>
    <row r="35" spans="1:6">
      <c r="A35" s="7">
        <v>42926</v>
      </c>
      <c r="B35" s="9">
        <v>0.33333333333333331</v>
      </c>
      <c r="C35" s="2">
        <v>8414</v>
      </c>
      <c r="D35" s="2">
        <v>11.1</v>
      </c>
      <c r="E35" s="3">
        <f t="shared" si="2"/>
        <v>-1.7900838287574078E-3</v>
      </c>
      <c r="F35" s="4">
        <f t="shared" si="1"/>
        <v>737.61741144946666</v>
      </c>
    </row>
    <row r="36" spans="1:6">
      <c r="A36" s="7">
        <v>42936</v>
      </c>
      <c r="B36" s="9">
        <v>0.33333333333333331</v>
      </c>
      <c r="C36" s="2">
        <v>8399.6</v>
      </c>
      <c r="D36" s="2">
        <v>11.4</v>
      </c>
      <c r="E36" s="3">
        <f t="shared" si="2"/>
        <v>-4.5497510477917821E-4</v>
      </c>
      <c r="F36" s="4">
        <f t="shared" si="1"/>
        <v>737.75359253931242</v>
      </c>
    </row>
    <row r="37" spans="1:6">
      <c r="A37" s="7">
        <v>42946</v>
      </c>
      <c r="B37" s="9">
        <v>0.33333333333333331</v>
      </c>
      <c r="C37" s="2">
        <v>8396</v>
      </c>
      <c r="D37" s="2">
        <v>11.3</v>
      </c>
      <c r="E37" s="3">
        <f t="shared" si="2"/>
        <v>-2.9795665237738328E-4</v>
      </c>
      <c r="F37" s="4">
        <f t="shared" si="1"/>
        <v>737.76960842145741</v>
      </c>
    </row>
    <row r="38" spans="1:6">
      <c r="A38" s="7">
        <v>42957</v>
      </c>
      <c r="B38" s="9">
        <v>0.33333333333333331</v>
      </c>
      <c r="C38" s="2">
        <v>8383.6</v>
      </c>
      <c r="D38" s="2">
        <v>11</v>
      </c>
      <c r="E38" s="3">
        <f t="shared" si="2"/>
        <v>2.8792498378398673E-4</v>
      </c>
      <c r="F38" s="4">
        <f t="shared" si="1"/>
        <v>737.82936834834595</v>
      </c>
    </row>
    <row r="39" spans="1:6">
      <c r="A39" s="7">
        <v>42967</v>
      </c>
      <c r="B39" s="9">
        <v>0.33333333333333331</v>
      </c>
      <c r="C39" s="2">
        <v>8391.7999999999993</v>
      </c>
      <c r="D39" s="2">
        <v>10.9</v>
      </c>
      <c r="E39" s="3">
        <f t="shared" si="2"/>
        <v>-4.0099935972509951E-4</v>
      </c>
      <c r="F39" s="4">
        <f t="shared" si="1"/>
        <v>737.75909806530797</v>
      </c>
    </row>
    <row r="40" spans="1:6">
      <c r="A40" s="7">
        <v>42977</v>
      </c>
      <c r="B40" s="9">
        <v>0.33333333333333331</v>
      </c>
      <c r="C40" s="2">
        <v>8377.5</v>
      </c>
      <c r="D40" s="2">
        <v>11.2</v>
      </c>
      <c r="E40" s="3">
        <f t="shared" si="2"/>
        <v>9.2738247062988319E-4</v>
      </c>
      <c r="F40" s="4">
        <f t="shared" si="1"/>
        <v>737.89459301200418</v>
      </c>
    </row>
    <row r="41" spans="1:6">
      <c r="A41" s="7">
        <v>42988</v>
      </c>
      <c r="B41" s="9">
        <v>0.33333333333333331</v>
      </c>
      <c r="C41" s="2">
        <v>8369.6</v>
      </c>
      <c r="D41" s="2">
        <v>10.8</v>
      </c>
      <c r="E41" s="3">
        <f t="shared" si="2"/>
        <v>1.0898002546567143E-3</v>
      </c>
      <c r="F41" s="4">
        <f t="shared" si="1"/>
        <v>737.91115962597496</v>
      </c>
    </row>
    <row r="42" spans="1:6">
      <c r="A42" s="7">
        <v>42998</v>
      </c>
      <c r="B42" s="9">
        <v>0.33333333333333331</v>
      </c>
      <c r="C42" s="2">
        <v>8382.7000000000007</v>
      </c>
      <c r="D42" s="2">
        <v>10.5</v>
      </c>
      <c r="E42" s="3">
        <f t="shared" si="2"/>
        <v>-1.5269791707765712E-4</v>
      </c>
      <c r="F42" s="4">
        <f t="shared" si="1"/>
        <v>737.78442481245804</v>
      </c>
    </row>
    <row r="43" spans="1:6">
      <c r="A43" s="7">
        <v>43008</v>
      </c>
      <c r="B43" s="9">
        <v>0.33333333333333331</v>
      </c>
      <c r="C43" s="2">
        <v>8383.6</v>
      </c>
      <c r="D43" s="2">
        <v>10.7</v>
      </c>
      <c r="E43" s="3">
        <f t="shared" si="2"/>
        <v>-1.5167116216012466E-5</v>
      </c>
      <c r="F43" s="4">
        <f t="shared" si="1"/>
        <v>737.79845295414589</v>
      </c>
    </row>
    <row r="44" spans="1:6">
      <c r="A44" s="7">
        <v>43018</v>
      </c>
      <c r="B44" s="9">
        <v>0.33333333333333331</v>
      </c>
      <c r="C44" s="2">
        <v>8377.2000000000007</v>
      </c>
      <c r="D44" s="2">
        <v>10.3</v>
      </c>
      <c r="E44" s="3">
        <f t="shared" si="2"/>
        <v>3.9618786816211088E-5</v>
      </c>
      <c r="F44" s="4">
        <f t="shared" si="1"/>
        <v>737.80404111625523</v>
      </c>
    </row>
    <row r="45" spans="1:6">
      <c r="A45" s="7">
        <v>43230</v>
      </c>
      <c r="B45" s="9">
        <v>0.33333333333333331</v>
      </c>
      <c r="C45" s="2">
        <v>8378.2000000000007</v>
      </c>
      <c r="D45" s="2">
        <v>9.5</v>
      </c>
      <c r="E45" s="3">
        <f t="shared" si="2"/>
        <v>-8.4033504773317613E-4</v>
      </c>
      <c r="F45" s="4">
        <f t="shared" si="1"/>
        <v>737.71428582513113</v>
      </c>
    </row>
    <row r="46" spans="1:6">
      <c r="A46" s="7">
        <v>43240</v>
      </c>
      <c r="B46" s="9">
        <v>0.33333333333333331</v>
      </c>
      <c r="C46" s="2">
        <v>8376</v>
      </c>
      <c r="D46" s="2">
        <v>9.6999999999999993</v>
      </c>
      <c r="E46" s="3">
        <f t="shared" ref="E46:E54" si="3">($B$2*C46^2+$B$3*C46+$B$4)-$B$5*D46-$E$7</f>
        <v>-4.8051369853752829E-4</v>
      </c>
      <c r="F46" s="4">
        <f t="shared" si="1"/>
        <v>737.75098760274909</v>
      </c>
    </row>
    <row r="47" spans="1:6">
      <c r="A47" s="7">
        <v>43250</v>
      </c>
      <c r="B47" s="9">
        <v>0.33333333333333331</v>
      </c>
      <c r="C47" s="2">
        <v>8370.2000000000007</v>
      </c>
      <c r="D47" s="2">
        <v>9.6999999999999993</v>
      </c>
      <c r="E47" s="3">
        <f t="shared" si="3"/>
        <v>-6.4568885553957511E-5</v>
      </c>
      <c r="F47" s="4">
        <f t="shared" si="1"/>
        <v>737.79341397367341</v>
      </c>
    </row>
    <row r="48" spans="1:6">
      <c r="A48" s="7">
        <v>43261</v>
      </c>
      <c r="B48" s="9">
        <v>0.33333333333333331</v>
      </c>
      <c r="C48" s="2">
        <v>8379.4</v>
      </c>
      <c r="D48" s="2">
        <v>9.6</v>
      </c>
      <c r="E48" s="3">
        <f t="shared" si="3"/>
        <v>-8.2535239600534105E-4</v>
      </c>
      <c r="F48" s="4">
        <f t="shared" si="1"/>
        <v>737.71581405560744</v>
      </c>
    </row>
    <row r="49" spans="1:6">
      <c r="A49" s="7">
        <v>43271</v>
      </c>
      <c r="B49" s="9">
        <v>0.33333333333333331</v>
      </c>
      <c r="C49" s="2">
        <v>8381.9</v>
      </c>
      <c r="D49" s="2">
        <v>9.6999999999999993</v>
      </c>
      <c r="E49" s="3">
        <f t="shared" si="3"/>
        <v>-9.0358204014107796E-4</v>
      </c>
      <c r="F49" s="4">
        <f t="shared" si="1"/>
        <v>737.7078346319056</v>
      </c>
    </row>
    <row r="50" spans="1:6">
      <c r="A50" s="7">
        <v>43281</v>
      </c>
      <c r="B50" s="9">
        <v>0.33333333333333331</v>
      </c>
      <c r="C50" s="2">
        <v>8376.7999999999993</v>
      </c>
      <c r="D50" s="2">
        <v>9.5</v>
      </c>
      <c r="E50" s="3">
        <f t="shared" si="3"/>
        <v>-7.3994313050596006E-4</v>
      </c>
      <c r="F50" s="4">
        <f t="shared" si="1"/>
        <v>737.7245258006883</v>
      </c>
    </row>
    <row r="51" spans="1:6">
      <c r="A51" s="7">
        <v>43291</v>
      </c>
      <c r="B51" s="9">
        <v>0.33333333333333331</v>
      </c>
      <c r="C51" s="2">
        <v>8383.2999999999993</v>
      </c>
      <c r="D51" s="2">
        <v>10.5</v>
      </c>
      <c r="E51" s="3">
        <f t="shared" si="3"/>
        <v>-1.9571844149317286E-4</v>
      </c>
      <c r="F51" s="4">
        <f t="shared" si="1"/>
        <v>737.78003671896761</v>
      </c>
    </row>
    <row r="52" spans="1:6">
      <c r="A52" s="7">
        <v>43301</v>
      </c>
      <c r="B52" s="9">
        <v>0.33333333333333331</v>
      </c>
      <c r="C52" s="2">
        <v>8374.7000000000007</v>
      </c>
      <c r="D52" s="2">
        <v>9.6</v>
      </c>
      <c r="E52" s="3">
        <f t="shared" si="3"/>
        <v>-4.8831945090643814E-4</v>
      </c>
      <c r="F52" s="4">
        <f t="shared" si="1"/>
        <v>737.75019141600751</v>
      </c>
    </row>
    <row r="53" spans="1:6">
      <c r="A53" s="7">
        <v>43311</v>
      </c>
      <c r="B53" s="9">
        <v>0.33333333333333331</v>
      </c>
      <c r="C53" s="2">
        <v>8367.1</v>
      </c>
      <c r="D53" s="2">
        <v>9.4</v>
      </c>
      <c r="E53" s="3">
        <f t="shared" si="3"/>
        <v>-1.4532649628395261E-4</v>
      </c>
      <c r="F53" s="4">
        <f t="shared" si="1"/>
        <v>737.78517669737903</v>
      </c>
    </row>
    <row r="54" spans="1:6">
      <c r="A54" s="7">
        <v>43322</v>
      </c>
      <c r="B54" s="9">
        <v>0.33333333333333331</v>
      </c>
      <c r="C54" s="2">
        <v>8364.1</v>
      </c>
      <c r="D54" s="2">
        <v>9.3000000000000007</v>
      </c>
      <c r="E54" s="3">
        <f t="shared" si="3"/>
        <v>-3.1182079994404588E-5</v>
      </c>
      <c r="F54" s="4">
        <f t="shared" si="1"/>
        <v>737.79681942784055</v>
      </c>
    </row>
    <row r="55" spans="1:6">
      <c r="A55" s="7">
        <v>43332</v>
      </c>
      <c r="B55" s="9">
        <v>0.33333333333333331</v>
      </c>
      <c r="C55" s="2">
        <v>8372.7000000000007</v>
      </c>
      <c r="D55" s="2">
        <v>9.1999999999999993</v>
      </c>
      <c r="E55" s="3">
        <f t="shared" ref="E55:E72" si="4">($B$2*C55^2+$B$3*C55+$B$4)-$B$5*D55-$E$7</f>
        <v>-7.4901467158371149E-4</v>
      </c>
      <c r="F55" s="4">
        <f t="shared" ref="F55:F72" si="5">$D$1+102*E55</f>
        <v>737.72360050349846</v>
      </c>
    </row>
    <row r="56" spans="1:6">
      <c r="A56" s="7">
        <v>43342</v>
      </c>
      <c r="B56" s="9">
        <v>0.33333333333333331</v>
      </c>
      <c r="C56" s="2">
        <v>8371.1</v>
      </c>
      <c r="D56" s="2">
        <v>9.1</v>
      </c>
      <c r="E56" s="3">
        <f t="shared" si="4"/>
        <v>-7.3529930844471597E-4</v>
      </c>
      <c r="F56" s="4">
        <f t="shared" si="5"/>
        <v>737.72499947053859</v>
      </c>
    </row>
    <row r="57" spans="1:6">
      <c r="A57" s="7">
        <v>43353</v>
      </c>
      <c r="B57" s="9">
        <v>0.33333333333333331</v>
      </c>
      <c r="C57" s="2">
        <v>8369.2000000000007</v>
      </c>
      <c r="D57" s="2">
        <v>8.9</v>
      </c>
      <c r="E57" s="3">
        <f t="shared" si="4"/>
        <v>-8.0109514078061106E-4</v>
      </c>
      <c r="F57" s="4">
        <f t="shared" si="5"/>
        <v>737.71828829564038</v>
      </c>
    </row>
    <row r="58" spans="1:6">
      <c r="A58" s="7">
        <v>43363</v>
      </c>
      <c r="B58" s="9">
        <v>0.33333333333333331</v>
      </c>
      <c r="C58" s="2">
        <v>8352.4</v>
      </c>
      <c r="D58" s="2">
        <v>8.6999999999999993</v>
      </c>
      <c r="E58" s="3">
        <f t="shared" si="4"/>
        <v>2.0193610149924629E-4</v>
      </c>
      <c r="F58" s="4">
        <f t="shared" si="5"/>
        <v>737.82059748235292</v>
      </c>
    </row>
    <row r="59" spans="1:6">
      <c r="A59" s="7">
        <v>43373</v>
      </c>
      <c r="B59" s="9">
        <v>0.33333333333333331</v>
      </c>
      <c r="C59" s="2">
        <v>8380.1</v>
      </c>
      <c r="D59" s="2">
        <v>8.8000000000000007</v>
      </c>
      <c r="E59" s="3">
        <f t="shared" si="4"/>
        <v>-1.6837917672935729E-3</v>
      </c>
      <c r="F59" s="4">
        <f t="shared" si="5"/>
        <v>737.62825323973595</v>
      </c>
    </row>
    <row r="60" spans="1:6">
      <c r="A60" s="7">
        <v>43383</v>
      </c>
      <c r="B60" s="9">
        <v>0.33333333333333331</v>
      </c>
      <c r="C60" s="2">
        <v>8380.7000000000007</v>
      </c>
      <c r="D60" s="2">
        <v>8.6999999999999993</v>
      </c>
      <c r="E60" s="3">
        <f t="shared" si="4"/>
        <v>-1.8278451582028551E-3</v>
      </c>
      <c r="F60" s="4">
        <f t="shared" si="5"/>
        <v>737.61355979386326</v>
      </c>
    </row>
    <row r="61" spans="1:6">
      <c r="A61" s="7">
        <v>43393</v>
      </c>
      <c r="B61" s="9">
        <v>0.33333333333333331</v>
      </c>
      <c r="C61" s="2">
        <v>8381.4</v>
      </c>
      <c r="D61" s="2">
        <v>8.6999999999999993</v>
      </c>
      <c r="E61" s="3">
        <f t="shared" si="4"/>
        <v>-1.8780376657030126E-3</v>
      </c>
      <c r="F61" s="4">
        <f t="shared" si="5"/>
        <v>737.60844015809823</v>
      </c>
    </row>
    <row r="62" spans="1:6">
      <c r="A62" s="7">
        <v>43605</v>
      </c>
      <c r="B62" s="9">
        <v>0.33333333333333331</v>
      </c>
      <c r="C62" s="2">
        <v>8397.5</v>
      </c>
      <c r="D62" s="2">
        <v>8.1999999999999993</v>
      </c>
      <c r="E62" s="3">
        <f t="shared" si="4"/>
        <v>-3.5374310198701929E-3</v>
      </c>
      <c r="F62" s="4">
        <f t="shared" si="5"/>
        <v>737.4391820359732</v>
      </c>
    </row>
    <row r="63" spans="1:6">
      <c r="A63" s="7">
        <v>43615</v>
      </c>
      <c r="B63" s="9">
        <v>0.33333333333333331</v>
      </c>
      <c r="C63" s="2">
        <v>8399.2000000000007</v>
      </c>
      <c r="D63" s="2">
        <v>8.4</v>
      </c>
      <c r="E63" s="3">
        <f t="shared" si="4"/>
        <v>-3.4572248655525065E-3</v>
      </c>
      <c r="F63" s="4">
        <f t="shared" si="5"/>
        <v>737.44736306371362</v>
      </c>
    </row>
    <row r="64" spans="1:6">
      <c r="A64" s="7">
        <v>43626</v>
      </c>
      <c r="B64" s="9">
        <v>0.33333333333333331</v>
      </c>
      <c r="C64" s="2">
        <v>8404.2000000000007</v>
      </c>
      <c r="D64" s="2">
        <v>8.4</v>
      </c>
      <c r="E64" s="3">
        <f t="shared" si="4"/>
        <v>-3.8155993849395328E-3</v>
      </c>
      <c r="F64" s="4">
        <f t="shared" si="5"/>
        <v>737.41080886273608</v>
      </c>
    </row>
    <row r="65" spans="1:6">
      <c r="A65" s="7">
        <v>43636</v>
      </c>
      <c r="B65" s="9">
        <v>0.33333333333333331</v>
      </c>
      <c r="C65" s="2">
        <v>8407.6</v>
      </c>
      <c r="D65" s="2">
        <v>8.6</v>
      </c>
      <c r="E65" s="3">
        <f t="shared" si="4"/>
        <v>-3.8572128263728162E-3</v>
      </c>
      <c r="F65" s="4">
        <f t="shared" si="5"/>
        <v>737.40656429170997</v>
      </c>
    </row>
    <row r="66" spans="1:6">
      <c r="A66" s="7">
        <v>43646</v>
      </c>
      <c r="B66" s="1">
        <v>0.33333333333333331</v>
      </c>
      <c r="C66" s="2">
        <v>8407.2000000000007</v>
      </c>
      <c r="D66" s="2">
        <v>9</v>
      </c>
      <c r="E66" s="3">
        <f t="shared" si="4"/>
        <v>-3.4244232312356827E-3</v>
      </c>
      <c r="F66" s="4">
        <f t="shared" si="5"/>
        <v>737.45070883041387</v>
      </c>
    </row>
    <row r="67" spans="1:6">
      <c r="A67" s="7">
        <v>43656</v>
      </c>
      <c r="B67" s="1">
        <v>0.33333333333333331</v>
      </c>
      <c r="C67" s="2">
        <v>8399.7999999999993</v>
      </c>
      <c r="D67" s="2">
        <v>9.1999999999999993</v>
      </c>
      <c r="E67" s="3">
        <f t="shared" si="4"/>
        <v>-2.6919860410658941E-3</v>
      </c>
      <c r="F67" s="4">
        <f t="shared" si="5"/>
        <v>737.52541742381118</v>
      </c>
    </row>
    <row r="68" spans="1:6">
      <c r="A68" s="7">
        <v>43666</v>
      </c>
      <c r="B68" s="1">
        <v>0.33333333333333331</v>
      </c>
      <c r="C68" s="2">
        <v>8399</v>
      </c>
      <c r="D68" s="2">
        <v>8.8000000000000007</v>
      </c>
      <c r="E68" s="3">
        <f t="shared" si="4"/>
        <v>-3.0387663626124314E-3</v>
      </c>
      <c r="F68" s="4">
        <f t="shared" si="5"/>
        <v>737.4900458310135</v>
      </c>
    </row>
    <row r="69" spans="1:6">
      <c r="A69" s="7">
        <v>43676</v>
      </c>
      <c r="B69" s="1">
        <v>0.33333333333333331</v>
      </c>
      <c r="C69" s="2">
        <v>8395.2999999999993</v>
      </c>
      <c r="D69" s="2">
        <v>8.6</v>
      </c>
      <c r="E69" s="3">
        <f t="shared" si="4"/>
        <v>-2.9756072381883075E-3</v>
      </c>
      <c r="F69" s="4">
        <f t="shared" si="5"/>
        <v>737.49648806170478</v>
      </c>
    </row>
    <row r="70" spans="1:6">
      <c r="A70" s="7">
        <v>43687</v>
      </c>
      <c r="B70" s="9">
        <v>0.33333333333333331</v>
      </c>
      <c r="C70" s="2">
        <v>8375.2999999999993</v>
      </c>
      <c r="D70" s="2">
        <v>8.3000000000000007</v>
      </c>
      <c r="E70" s="3">
        <f t="shared" si="4"/>
        <v>-1.8447457414563773E-3</v>
      </c>
      <c r="F70" s="4">
        <f t="shared" si="5"/>
        <v>737.61183593437136</v>
      </c>
    </row>
    <row r="71" spans="1:6">
      <c r="A71" s="7">
        <v>43697</v>
      </c>
      <c r="B71" s="1">
        <v>0.33333333333333331</v>
      </c>
      <c r="C71" s="2">
        <v>8337.7999999999993</v>
      </c>
      <c r="D71" s="2">
        <v>7.8</v>
      </c>
      <c r="E71" s="3">
        <f t="shared" si="4"/>
        <v>3.4026102869740699E-4</v>
      </c>
      <c r="F71" s="4">
        <f t="shared" si="5"/>
        <v>737.83470662492709</v>
      </c>
    </row>
    <row r="72" spans="1:6">
      <c r="A72" s="7">
        <v>43707</v>
      </c>
      <c r="B72" s="9">
        <v>0.33333333333333331</v>
      </c>
      <c r="C72" s="2">
        <v>8294.4</v>
      </c>
      <c r="D72" s="2">
        <v>7.3</v>
      </c>
      <c r="E72" s="3">
        <f t="shared" si="4"/>
        <v>2.9509577227977285E-3</v>
      </c>
      <c r="F72" s="4">
        <f t="shared" si="5"/>
        <v>738.10099768772534</v>
      </c>
    </row>
    <row r="73" spans="1:6">
      <c r="B73" s="9"/>
    </row>
    <row r="74" spans="1:6">
      <c r="B74" s="9"/>
    </row>
    <row r="75" spans="1:6">
      <c r="B75" s="9"/>
    </row>
    <row r="76" spans="1:6">
      <c r="B76" s="9"/>
    </row>
    <row r="77" spans="1:6">
      <c r="B77" s="9"/>
    </row>
    <row r="78" spans="1:6">
      <c r="B78" s="9"/>
    </row>
    <row r="79" spans="1:6">
      <c r="B79" s="9"/>
    </row>
    <row r="80" spans="1:6">
      <c r="B80" s="9"/>
    </row>
    <row r="81" spans="2:2">
      <c r="B81" s="9"/>
    </row>
    <row r="82" spans="2:2">
      <c r="B82" s="9"/>
    </row>
    <row r="83" spans="2:2">
      <c r="B83" s="9"/>
    </row>
    <row r="84" spans="2:2">
      <c r="B84" s="9"/>
    </row>
    <row r="85" spans="2:2">
      <c r="B85" s="9"/>
    </row>
    <row r="86" spans="2:2">
      <c r="B86" s="9"/>
    </row>
    <row r="87" spans="2:2">
      <c r="B87" s="9"/>
    </row>
    <row r="88" spans="2:2">
      <c r="B88" s="9"/>
    </row>
    <row r="89" spans="2:2">
      <c r="B89" s="9"/>
    </row>
    <row r="90" spans="2:2">
      <c r="B90" s="9"/>
    </row>
    <row r="91" spans="2:2">
      <c r="B91" s="9"/>
    </row>
    <row r="92" spans="2:2">
      <c r="B92" s="9"/>
    </row>
    <row r="93" spans="2:2">
      <c r="B93" s="9"/>
    </row>
    <row r="94" spans="2:2">
      <c r="B94" s="9"/>
    </row>
    <row r="95" spans="2:2">
      <c r="B95" s="9"/>
    </row>
    <row r="96" spans="2:2">
      <c r="B96" s="9"/>
    </row>
    <row r="97" spans="2:2">
      <c r="B97" s="9"/>
    </row>
    <row r="98" spans="2:2">
      <c r="B98" s="9"/>
    </row>
    <row r="99" spans="2:2">
      <c r="B99" s="9"/>
    </row>
    <row r="100" spans="2:2">
      <c r="B100" s="9"/>
    </row>
    <row r="101" spans="2:2">
      <c r="B101" s="9"/>
    </row>
    <row r="102" spans="2:2">
      <c r="B102" s="9"/>
    </row>
    <row r="103" spans="2:2">
      <c r="B103" s="9"/>
    </row>
    <row r="104" spans="2:2">
      <c r="B104" s="9"/>
    </row>
    <row r="105" spans="2:2">
      <c r="B105" s="9"/>
    </row>
    <row r="106" spans="2:2">
      <c r="B106" s="9"/>
    </row>
    <row r="107" spans="2:2">
      <c r="B107" s="9"/>
    </row>
    <row r="108" spans="2:2">
      <c r="B108" s="9"/>
    </row>
    <row r="109" spans="2:2">
      <c r="B109" s="9"/>
    </row>
    <row r="110" spans="2:2">
      <c r="B110" s="9"/>
    </row>
    <row r="111" spans="2:2">
      <c r="B111" s="9"/>
    </row>
    <row r="112" spans="2:2">
      <c r="B112" s="9"/>
    </row>
    <row r="113" spans="2:2">
      <c r="B113" s="9"/>
    </row>
    <row r="114" spans="2:2">
      <c r="B114" s="9"/>
    </row>
    <row r="115" spans="2:2">
      <c r="B115" s="9"/>
    </row>
    <row r="116" spans="2:2">
      <c r="B116" s="9"/>
    </row>
    <row r="117" spans="2:2">
      <c r="B117" s="9"/>
    </row>
    <row r="118" spans="2:2">
      <c r="B118" s="9"/>
    </row>
    <row r="119" spans="2:2">
      <c r="B119" s="9"/>
    </row>
    <row r="120" spans="2:2">
      <c r="B120" s="9"/>
    </row>
    <row r="121" spans="2:2">
      <c r="B121" s="9"/>
    </row>
    <row r="122" spans="2:2">
      <c r="B122" s="9"/>
    </row>
    <row r="123" spans="2:2">
      <c r="B123" s="9"/>
    </row>
    <row r="124" spans="2:2">
      <c r="B124" s="9"/>
    </row>
    <row r="125" spans="2:2">
      <c r="B125" s="9"/>
    </row>
    <row r="126" spans="2:2">
      <c r="B126" s="9"/>
    </row>
    <row r="127" spans="2:2">
      <c r="B127" s="9"/>
    </row>
    <row r="128" spans="2:2">
      <c r="B128" s="9"/>
    </row>
    <row r="129" spans="2:2">
      <c r="B129" s="9"/>
    </row>
    <row r="130" spans="2:2">
      <c r="B130" s="9"/>
    </row>
    <row r="131" spans="2:2">
      <c r="B131" s="9"/>
    </row>
    <row r="132" spans="2:2">
      <c r="B132" s="9"/>
    </row>
    <row r="133" spans="2:2">
      <c r="B133" s="9"/>
    </row>
    <row r="134" spans="2:2">
      <c r="B134" s="9"/>
    </row>
    <row r="135" spans="2:2">
      <c r="B135" s="9"/>
    </row>
    <row r="136" spans="2:2">
      <c r="B136" s="9"/>
    </row>
    <row r="137" spans="2:2">
      <c r="B137" s="9"/>
    </row>
    <row r="138" spans="2:2">
      <c r="B138" s="9"/>
    </row>
    <row r="139" spans="2:2">
      <c r="B139" s="9"/>
    </row>
    <row r="140" spans="2:2">
      <c r="B140" s="9"/>
    </row>
    <row r="141" spans="2:2">
      <c r="B141" s="9"/>
    </row>
    <row r="142" spans="2:2">
      <c r="B142" s="9"/>
    </row>
    <row r="143" spans="2:2">
      <c r="B143" s="9"/>
    </row>
    <row r="144" spans="2:2">
      <c r="B144" s="9"/>
    </row>
    <row r="145" spans="2:2">
      <c r="B145" s="9"/>
    </row>
    <row r="146" spans="2:2">
      <c r="B146" s="9"/>
    </row>
    <row r="147" spans="2:2">
      <c r="B147" s="9"/>
    </row>
    <row r="148" spans="2:2">
      <c r="B148" s="9"/>
    </row>
    <row r="149" spans="2:2">
      <c r="B149" s="9"/>
    </row>
    <row r="150" spans="2:2">
      <c r="B150" s="9"/>
    </row>
    <row r="151" spans="2:2">
      <c r="B151" s="9"/>
    </row>
    <row r="152" spans="2:2">
      <c r="B152" s="9"/>
    </row>
    <row r="153" spans="2:2">
      <c r="B153" s="9"/>
    </row>
    <row r="154" spans="2:2">
      <c r="B154" s="9"/>
    </row>
    <row r="155" spans="2:2">
      <c r="B155" s="9"/>
    </row>
    <row r="156" spans="2:2">
      <c r="B156" s="9"/>
    </row>
    <row r="157" spans="2:2">
      <c r="B157" s="9"/>
    </row>
    <row r="158" spans="2:2">
      <c r="B158" s="9"/>
    </row>
    <row r="159" spans="2:2">
      <c r="B159" s="9"/>
    </row>
    <row r="160" spans="2:2">
      <c r="B160" s="9"/>
    </row>
    <row r="161" spans="2:2">
      <c r="B161" s="9"/>
    </row>
    <row r="162" spans="2:2">
      <c r="B162" s="9"/>
    </row>
    <row r="163" spans="2:2">
      <c r="B163" s="9"/>
    </row>
    <row r="164" spans="2:2">
      <c r="B164" s="9"/>
    </row>
    <row r="165" spans="2:2">
      <c r="B165" s="9"/>
    </row>
    <row r="166" spans="2:2">
      <c r="B166" s="9"/>
    </row>
    <row r="167" spans="2:2">
      <c r="B167" s="9"/>
    </row>
    <row r="168" spans="2:2">
      <c r="B168" s="9"/>
    </row>
    <row r="169" spans="2:2">
      <c r="B169" s="9"/>
    </row>
    <row r="170" spans="2:2">
      <c r="B170" s="9"/>
    </row>
    <row r="171" spans="2:2">
      <c r="B171" s="9"/>
    </row>
    <row r="172" spans="2:2">
      <c r="B172" s="9"/>
    </row>
    <row r="173" spans="2:2">
      <c r="B173" s="9"/>
    </row>
    <row r="174" spans="2:2">
      <c r="B174" s="9"/>
    </row>
    <row r="175" spans="2:2">
      <c r="B175" s="9"/>
    </row>
    <row r="176" spans="2:2">
      <c r="B176" s="9"/>
    </row>
  </sheetData>
  <phoneticPr fontId="4" type="noConversion"/>
  <pageMargins left="0.69930555555555596" right="0.69930555555555596" top="0.75" bottom="0.75" header="0.3" footer="0.3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6"/>
  <sheetViews>
    <sheetView topLeftCell="A64" workbookViewId="0">
      <selection activeCell="E82" sqref="E82"/>
    </sheetView>
  </sheetViews>
  <sheetFormatPr defaultColWidth="9" defaultRowHeight="13.5"/>
  <cols>
    <col min="1" max="1" width="12.25" customWidth="1"/>
    <col min="2" max="2" width="13.125" style="17" customWidth="1"/>
    <col min="5" max="5" width="10.875" customWidth="1"/>
  </cols>
  <sheetData>
    <row r="1" spans="1:7">
      <c r="A1" t="s">
        <v>0</v>
      </c>
      <c r="B1" s="17">
        <v>11221</v>
      </c>
      <c r="C1" t="s">
        <v>1</v>
      </c>
      <c r="D1">
        <v>736</v>
      </c>
    </row>
    <row r="2" spans="1:7">
      <c r="A2" t="s">
        <v>2</v>
      </c>
      <c r="B2" s="17">
        <f>5.3387*10^-10</f>
        <v>5.3387000000000004E-10</v>
      </c>
    </row>
    <row r="3" spans="1:7">
      <c r="A3" t="s">
        <v>3</v>
      </c>
      <c r="B3" s="17">
        <v>-1.96345E-4</v>
      </c>
    </row>
    <row r="4" spans="1:7">
      <c r="A4" t="s">
        <v>4</v>
      </c>
      <c r="B4" s="17">
        <v>1.5784787300000001</v>
      </c>
    </row>
    <row r="5" spans="1:7">
      <c r="A5" t="s">
        <v>5</v>
      </c>
      <c r="B5" s="17">
        <v>-3.4751560000000001E-3</v>
      </c>
    </row>
    <row r="6" spans="1:7">
      <c r="A6" t="s">
        <v>6</v>
      </c>
      <c r="B6" s="17" t="s">
        <v>7</v>
      </c>
      <c r="C6" t="s">
        <v>8</v>
      </c>
      <c r="D6" t="s">
        <v>9</v>
      </c>
      <c r="E6" t="s">
        <v>10</v>
      </c>
      <c r="F6" t="s">
        <v>11</v>
      </c>
      <c r="G6" t="s">
        <v>12</v>
      </c>
    </row>
    <row r="7" spans="1:7">
      <c r="A7" s="7">
        <v>42230</v>
      </c>
      <c r="B7" s="9">
        <v>0.58333333333333304</v>
      </c>
      <c r="C7" s="2">
        <v>8242.6</v>
      </c>
      <c r="D7" s="2">
        <v>21.7</v>
      </c>
      <c r="E7" s="3">
        <f>($B$2*C7^2+$B$3*C7+$B$4)-$B$5*D7</f>
        <v>7.1767688782721051E-2</v>
      </c>
      <c r="G7" t="s">
        <v>13</v>
      </c>
    </row>
    <row r="8" spans="1:7">
      <c r="A8" s="7">
        <v>42230</v>
      </c>
      <c r="B8" s="9">
        <v>0.875</v>
      </c>
      <c r="C8" s="2">
        <v>8257.2000000000007</v>
      </c>
      <c r="D8" s="2">
        <v>22.5</v>
      </c>
      <c r="E8" s="3">
        <f>($B$2*C8^2+$B$3*C8+$B$4)-$B$5*D8-$E$7</f>
        <v>4.2095524099505788E-5</v>
      </c>
      <c r="F8" s="4">
        <f>$D$1+102*E8</f>
        <v>736.00429374345811</v>
      </c>
      <c r="G8" t="s">
        <v>17</v>
      </c>
    </row>
    <row r="9" spans="1:7">
      <c r="A9" s="7">
        <v>42231</v>
      </c>
      <c r="B9" s="9">
        <v>0.41666666666666702</v>
      </c>
      <c r="C9" s="2">
        <v>8211.5</v>
      </c>
      <c r="D9" s="2">
        <v>30.8</v>
      </c>
      <c r="E9" s="3">
        <f t="shared" ref="E9:E64" si="0">($B$2*C9^2+$B$3*C9+$B$4)-$B$5*D9-$E$7</f>
        <v>3.7457055803586617E-2</v>
      </c>
      <c r="F9" s="4">
        <f t="shared" ref="F9:F64" si="1">$D$1+102*E9</f>
        <v>739.82061969196582</v>
      </c>
      <c r="G9" t="s">
        <v>25</v>
      </c>
    </row>
    <row r="10" spans="1:7">
      <c r="A10" s="7">
        <v>42232</v>
      </c>
      <c r="B10" s="9">
        <v>0.41666666666666702</v>
      </c>
      <c r="C10" s="2">
        <v>8289.2999999999993</v>
      </c>
      <c r="D10" s="2">
        <v>36.700000000000003</v>
      </c>
      <c r="E10" s="3">
        <f t="shared" si="0"/>
        <v>4.3370197350655337E-2</v>
      </c>
      <c r="F10" s="4">
        <f t="shared" si="1"/>
        <v>740.42376012976683</v>
      </c>
    </row>
    <row r="11" spans="1:7">
      <c r="A11" s="7">
        <v>42233</v>
      </c>
      <c r="B11" s="9">
        <v>0.41666666666666702</v>
      </c>
      <c r="C11" s="2">
        <v>8275.2000000000007</v>
      </c>
      <c r="D11" s="2">
        <v>35.6</v>
      </c>
      <c r="E11" s="3">
        <f t="shared" si="0"/>
        <v>4.2191299867083573E-2</v>
      </c>
      <c r="F11" s="4">
        <f t="shared" si="1"/>
        <v>740.30351258644248</v>
      </c>
    </row>
    <row r="12" spans="1:7">
      <c r="A12" s="7">
        <v>42234</v>
      </c>
      <c r="B12" s="9">
        <v>0.41666666666666702</v>
      </c>
      <c r="C12" s="2">
        <v>8260.5</v>
      </c>
      <c r="D12" s="2">
        <v>34.9</v>
      </c>
      <c r="E12" s="3">
        <f t="shared" si="0"/>
        <v>4.2515191828946433E-2</v>
      </c>
      <c r="F12" s="4">
        <f t="shared" si="1"/>
        <v>740.33654956655255</v>
      </c>
    </row>
    <row r="13" spans="1:7">
      <c r="A13" s="7">
        <v>42235</v>
      </c>
      <c r="B13" s="9">
        <v>0.41666666666666702</v>
      </c>
      <c r="C13" s="2">
        <v>8242.2000000000007</v>
      </c>
      <c r="D13" s="2">
        <v>33.9</v>
      </c>
      <c r="E13" s="3">
        <f t="shared" si="0"/>
        <v>4.2471920903929705E-2</v>
      </c>
      <c r="F13" s="4">
        <f t="shared" si="1"/>
        <v>740.3321359322008</v>
      </c>
    </row>
    <row r="14" spans="1:7">
      <c r="A14" s="7">
        <v>42236</v>
      </c>
      <c r="B14" s="9">
        <v>0.41666666666666702</v>
      </c>
      <c r="C14" s="2">
        <v>8222.6</v>
      </c>
      <c r="D14" s="2">
        <v>32.9</v>
      </c>
      <c r="E14" s="3">
        <f t="shared" si="0"/>
        <v>4.2672841673519951E-2</v>
      </c>
      <c r="F14" s="4">
        <f t="shared" si="1"/>
        <v>740.35262985069903</v>
      </c>
    </row>
    <row r="15" spans="1:7">
      <c r="A15" s="7">
        <v>42237</v>
      </c>
      <c r="B15" s="9">
        <v>0.41666666666666702</v>
      </c>
      <c r="C15" s="2">
        <v>8205.2000000000007</v>
      </c>
      <c r="D15" s="2">
        <v>32</v>
      </c>
      <c r="E15" s="3">
        <f t="shared" si="0"/>
        <v>4.2809000886723625E-2</v>
      </c>
      <c r="F15" s="4">
        <f t="shared" si="1"/>
        <v>740.36651809044577</v>
      </c>
    </row>
    <row r="16" spans="1:7">
      <c r="A16" s="7">
        <v>42238</v>
      </c>
      <c r="B16" s="9">
        <v>0.41666666666666702</v>
      </c>
      <c r="C16" s="2">
        <v>8187.3</v>
      </c>
      <c r="D16" s="2">
        <v>31.1</v>
      </c>
      <c r="E16" s="3">
        <f t="shared" si="0"/>
        <v>4.3039284781571235E-2</v>
      </c>
      <c r="F16" s="4">
        <f t="shared" si="1"/>
        <v>740.39000704772025</v>
      </c>
    </row>
    <row r="17" spans="1:7">
      <c r="A17" s="7">
        <v>42245</v>
      </c>
      <c r="B17" s="9">
        <v>0.41666666666666702</v>
      </c>
      <c r="C17" s="2">
        <v>8092.5</v>
      </c>
      <c r="D17" s="2">
        <v>26.8</v>
      </c>
      <c r="E17" s="3">
        <f t="shared" si="0"/>
        <v>4.5885685042466526E-2</v>
      </c>
      <c r="F17" s="4">
        <f t="shared" si="1"/>
        <v>740.68033987433159</v>
      </c>
    </row>
    <row r="18" spans="1:7">
      <c r="A18" s="7">
        <v>42252</v>
      </c>
      <c r="B18" s="9">
        <v>0.41666666666666602</v>
      </c>
      <c r="C18" s="2">
        <v>8197.2000000000007</v>
      </c>
      <c r="D18" s="2">
        <v>24.1</v>
      </c>
      <c r="E18" s="3">
        <f t="shared" si="0"/>
        <v>1.6855974492419587E-2</v>
      </c>
      <c r="F18" s="4">
        <f t="shared" si="1"/>
        <v>737.71930939822676</v>
      </c>
    </row>
    <row r="19" spans="1:7">
      <c r="A19" s="7">
        <v>42259</v>
      </c>
      <c r="B19" s="9">
        <v>0.41666666666666602</v>
      </c>
      <c r="C19" s="2">
        <v>8165.8</v>
      </c>
      <c r="D19" s="2">
        <v>22.2</v>
      </c>
      <c r="E19" s="3">
        <f t="shared" si="0"/>
        <v>1.6144109647385815E-2</v>
      </c>
      <c r="F19" s="4">
        <f t="shared" si="1"/>
        <v>737.64669918403331</v>
      </c>
    </row>
    <row r="20" spans="1:7">
      <c r="A20" s="7">
        <v>42266</v>
      </c>
      <c r="B20" s="9">
        <v>0.41666666666666602</v>
      </c>
      <c r="C20" s="2">
        <v>8144.4</v>
      </c>
      <c r="D20" s="2">
        <v>20.7</v>
      </c>
      <c r="E20" s="3">
        <f t="shared" si="0"/>
        <v>1.4946817580842181E-2</v>
      </c>
      <c r="F20" s="4">
        <f t="shared" si="1"/>
        <v>737.52457539324587</v>
      </c>
    </row>
    <row r="21" spans="1:7">
      <c r="A21" s="7">
        <v>42273</v>
      </c>
      <c r="B21" s="9">
        <v>0.41666666666666502</v>
      </c>
      <c r="C21" s="2">
        <v>8111.1</v>
      </c>
      <c r="D21" s="2">
        <v>19.3</v>
      </c>
      <c r="E21" s="3">
        <f t="shared" si="0"/>
        <v>1.6330899498801538E-2</v>
      </c>
      <c r="F21" s="4">
        <f t="shared" si="1"/>
        <v>737.66575174887771</v>
      </c>
    </row>
    <row r="22" spans="1:7">
      <c r="A22" s="7">
        <v>42280</v>
      </c>
      <c r="B22" s="9">
        <v>0.41666666666666502</v>
      </c>
      <c r="C22" s="2">
        <v>8098.9</v>
      </c>
      <c r="D22" s="2">
        <v>18</v>
      </c>
      <c r="E22" s="3">
        <f t="shared" si="0"/>
        <v>1.4103026499861823E-2</v>
      </c>
      <c r="F22" s="4">
        <f t="shared" si="1"/>
        <v>737.43850870298593</v>
      </c>
    </row>
    <row r="23" spans="1:7">
      <c r="A23" s="7">
        <v>42287</v>
      </c>
      <c r="B23" s="9">
        <v>0.41666666666666502</v>
      </c>
      <c r="C23" s="2">
        <v>8076.6</v>
      </c>
      <c r="D23" s="2">
        <v>17.3</v>
      </c>
      <c r="E23" s="3">
        <f t="shared" si="0"/>
        <v>1.5856336603535998E-2</v>
      </c>
      <c r="F23" s="4">
        <f t="shared" si="1"/>
        <v>737.6173463335607</v>
      </c>
    </row>
    <row r="24" spans="1:7">
      <c r="A24" s="7">
        <v>42294</v>
      </c>
      <c r="B24" s="9">
        <v>0.41666666666666702</v>
      </c>
      <c r="C24" s="2">
        <v>8118.2</v>
      </c>
      <c r="D24" s="2">
        <v>9</v>
      </c>
      <c r="E24" s="3">
        <f t="shared" si="0"/>
        <v>-2.0795740012822285E-2</v>
      </c>
      <c r="F24" s="4">
        <f t="shared" si="1"/>
        <v>733.87883451869209</v>
      </c>
    </row>
    <row r="25" spans="1:7">
      <c r="A25" s="7">
        <v>42297</v>
      </c>
      <c r="B25" s="9">
        <v>0.41666666666666702</v>
      </c>
      <c r="C25" s="2">
        <v>8118.3</v>
      </c>
      <c r="D25" s="2">
        <v>8.9</v>
      </c>
      <c r="E25" s="3">
        <f t="shared" si="0"/>
        <v>-2.1162023294796786E-2</v>
      </c>
      <c r="F25" s="4">
        <f t="shared" si="1"/>
        <v>733.84147362393071</v>
      </c>
    </row>
    <row r="26" spans="1:7">
      <c r="A26" s="7">
        <v>42301</v>
      </c>
      <c r="B26" s="9">
        <v>0.41666666666666702</v>
      </c>
      <c r="C26" s="2">
        <v>8115.1</v>
      </c>
      <c r="D26" s="2">
        <v>8.6999999999999993</v>
      </c>
      <c r="E26" s="3">
        <f t="shared" si="0"/>
        <v>-2.1256483375622241E-2</v>
      </c>
      <c r="F26" s="4">
        <f t="shared" si="1"/>
        <v>733.83183869568654</v>
      </c>
    </row>
    <row r="27" spans="1:7">
      <c r="A27" s="7">
        <v>42521</v>
      </c>
      <c r="B27" s="9">
        <v>0.41666666666666702</v>
      </c>
      <c r="C27" s="2">
        <v>7911.7</v>
      </c>
      <c r="D27" s="2">
        <v>3.6</v>
      </c>
      <c r="E27" s="3">
        <f t="shared" si="0"/>
        <v>-7.8354269305661028E-4</v>
      </c>
      <c r="F27" s="4">
        <f t="shared" si="1"/>
        <v>735.92007864530819</v>
      </c>
    </row>
    <row r="28" spans="1:7">
      <c r="A28" s="6">
        <v>42531</v>
      </c>
      <c r="B28" s="9">
        <v>0.41666666666666702</v>
      </c>
      <c r="C28" s="2">
        <v>7891</v>
      </c>
      <c r="D28" s="2">
        <v>3.7</v>
      </c>
      <c r="E28" s="3">
        <f t="shared" si="0"/>
        <v>3.4536770467489958E-3</v>
      </c>
      <c r="F28" s="4">
        <f t="shared" si="1"/>
        <v>736.35227505876844</v>
      </c>
    </row>
    <row r="29" spans="1:7">
      <c r="A29" s="6">
        <v>42541</v>
      </c>
      <c r="B29" s="9">
        <v>0.41666666666666702</v>
      </c>
      <c r="C29" s="2">
        <v>7810.9</v>
      </c>
      <c r="D29" s="2">
        <v>3.8</v>
      </c>
      <c r="E29" s="3">
        <f t="shared" si="0"/>
        <v>1.8856967001173841E-2</v>
      </c>
      <c r="F29" s="4">
        <f t="shared" si="1"/>
        <v>737.9234106341197</v>
      </c>
      <c r="G29" s="5" t="s">
        <v>26</v>
      </c>
    </row>
    <row r="30" spans="1:7">
      <c r="A30" s="7">
        <v>42551</v>
      </c>
      <c r="B30" s="9">
        <v>0.41666666666666702</v>
      </c>
      <c r="C30" s="2">
        <v>7854.1</v>
      </c>
      <c r="D30" s="2">
        <v>4</v>
      </c>
      <c r="E30" s="3">
        <f t="shared" si="0"/>
        <v>1.1431178978533546E-2</v>
      </c>
      <c r="F30" s="4">
        <f t="shared" si="1"/>
        <v>737.16598025581038</v>
      </c>
    </row>
    <row r="31" spans="1:7">
      <c r="A31" s="7">
        <v>42561</v>
      </c>
      <c r="B31" s="9">
        <v>0.41666666666666702</v>
      </c>
      <c r="C31" s="2">
        <v>7882.7</v>
      </c>
      <c r="D31" s="2">
        <v>4.3</v>
      </c>
      <c r="E31" s="3">
        <f t="shared" si="0"/>
        <v>7.0985389734313648E-3</v>
      </c>
      <c r="F31" s="4">
        <f t="shared" si="1"/>
        <v>736.72405097528997</v>
      </c>
    </row>
    <row r="32" spans="1:7">
      <c r="A32" s="7">
        <v>42571</v>
      </c>
      <c r="B32" s="9">
        <v>0.41666666666666702</v>
      </c>
      <c r="C32" s="2">
        <v>7882.4</v>
      </c>
      <c r="D32" s="2">
        <v>4.7</v>
      </c>
      <c r="E32" s="3">
        <f t="shared" si="0"/>
        <v>8.5449799192503367E-3</v>
      </c>
      <c r="F32" s="4">
        <f t="shared" si="1"/>
        <v>736.87158795176356</v>
      </c>
    </row>
    <row r="33" spans="1:6">
      <c r="A33" s="7">
        <v>42581</v>
      </c>
      <c r="B33" s="9">
        <v>0.41666666666666702</v>
      </c>
      <c r="C33" s="2">
        <v>7885.1</v>
      </c>
      <c r="D33" s="2">
        <v>5.5</v>
      </c>
      <c r="E33" s="3">
        <f t="shared" si="0"/>
        <v>1.0817701266357643E-2</v>
      </c>
      <c r="F33" s="4">
        <f t="shared" si="1"/>
        <v>737.10340552916853</v>
      </c>
    </row>
    <row r="34" spans="1:6">
      <c r="A34" s="7">
        <v>42592</v>
      </c>
      <c r="B34" s="9">
        <v>0.41666666666666702</v>
      </c>
      <c r="C34" s="2">
        <v>7892.7</v>
      </c>
      <c r="D34" s="2">
        <v>5.6</v>
      </c>
      <c r="E34" s="3">
        <f t="shared" si="0"/>
        <v>9.7370119014113105E-3</v>
      </c>
      <c r="F34" s="4">
        <f t="shared" si="1"/>
        <v>736.99317521394391</v>
      </c>
    </row>
    <row r="35" spans="1:6">
      <c r="A35" s="7">
        <v>42602</v>
      </c>
      <c r="B35" s="9">
        <v>0.41666666666666702</v>
      </c>
      <c r="C35" s="2">
        <v>7904</v>
      </c>
      <c r="D35" s="2">
        <v>6.5</v>
      </c>
      <c r="E35" s="3">
        <f t="shared" si="0"/>
        <v>1.0741251043199007E-2</v>
      </c>
      <c r="F35" s="4">
        <f t="shared" si="1"/>
        <v>737.09560760640625</v>
      </c>
    </row>
    <row r="36" spans="1:6">
      <c r="A36" s="7">
        <v>42612</v>
      </c>
      <c r="B36" s="9">
        <v>0.41666666666666702</v>
      </c>
      <c r="C36" s="2">
        <v>7905.3</v>
      </c>
      <c r="D36" s="2">
        <v>7</v>
      </c>
      <c r="E36" s="3">
        <f t="shared" si="0"/>
        <v>1.2234552687487216E-2</v>
      </c>
      <c r="F36" s="4">
        <f t="shared" si="1"/>
        <v>737.24792437412373</v>
      </c>
    </row>
    <row r="37" spans="1:6">
      <c r="A37" s="7">
        <v>42623</v>
      </c>
      <c r="B37" s="9">
        <v>0.41666666666666702</v>
      </c>
      <c r="C37" s="2">
        <v>7910.4</v>
      </c>
      <c r="D37" s="2">
        <v>7.6</v>
      </c>
      <c r="E37" s="3">
        <f t="shared" si="0"/>
        <v>1.3361348779058202E-2</v>
      </c>
      <c r="F37" s="4">
        <f t="shared" si="1"/>
        <v>737.36285757546398</v>
      </c>
    </row>
    <row r="38" spans="1:6">
      <c r="A38" s="7">
        <v>42633</v>
      </c>
      <c r="B38" s="9">
        <v>0.41666666666666669</v>
      </c>
      <c r="C38" s="2">
        <v>7906</v>
      </c>
      <c r="D38" s="2">
        <v>8.1999999999999993</v>
      </c>
      <c r="E38" s="3">
        <f t="shared" si="0"/>
        <v>1.6273207212598922E-2</v>
      </c>
      <c r="F38" s="4">
        <f t="shared" si="1"/>
        <v>737.65986713568509</v>
      </c>
    </row>
    <row r="39" spans="1:6">
      <c r="A39" s="7">
        <v>42643</v>
      </c>
      <c r="B39" s="9">
        <v>0.41666666666666669</v>
      </c>
      <c r="C39" s="2">
        <v>7929.4</v>
      </c>
      <c r="D39" s="2">
        <v>8.6999999999999993</v>
      </c>
      <c r="E39" s="3">
        <f t="shared" si="0"/>
        <v>1.3614136865552351E-2</v>
      </c>
      <c r="F39" s="4">
        <f t="shared" si="1"/>
        <v>737.38864196028635</v>
      </c>
    </row>
    <row r="40" spans="1:6">
      <c r="A40" s="7">
        <v>42883</v>
      </c>
      <c r="B40" s="9">
        <v>0.41666666666666669</v>
      </c>
      <c r="C40" s="2">
        <v>8003.1</v>
      </c>
      <c r="D40" s="2">
        <v>11.8</v>
      </c>
      <c r="E40" s="3">
        <f t="shared" si="0"/>
        <v>1.0543377599769421E-2</v>
      </c>
      <c r="F40" s="4">
        <f t="shared" si="1"/>
        <v>737.07542451517645</v>
      </c>
    </row>
    <row r="41" spans="1:6">
      <c r="A41" s="7">
        <v>42885</v>
      </c>
      <c r="B41" s="9">
        <v>0.41666666666666669</v>
      </c>
      <c r="C41" s="2">
        <v>8004.3</v>
      </c>
      <c r="D41" s="2">
        <v>11.7</v>
      </c>
      <c r="E41" s="3">
        <f t="shared" si="0"/>
        <v>9.9705030445350756E-3</v>
      </c>
      <c r="F41" s="4">
        <f t="shared" si="1"/>
        <v>737.01699131054261</v>
      </c>
    </row>
    <row r="42" spans="1:6">
      <c r="A42" s="7">
        <v>42896</v>
      </c>
      <c r="B42" s="9">
        <v>0.41666666666666669</v>
      </c>
      <c r="C42" s="2">
        <v>8005.1</v>
      </c>
      <c r="D42" s="2">
        <v>11.6</v>
      </c>
      <c r="E42" s="3">
        <f t="shared" si="0"/>
        <v>9.4727489952375621E-3</v>
      </c>
      <c r="F42" s="4">
        <f t="shared" si="1"/>
        <v>736.96622039751423</v>
      </c>
    </row>
    <row r="43" spans="1:6">
      <c r="A43" s="7">
        <v>42906</v>
      </c>
      <c r="B43" s="9">
        <v>0.41666666666666669</v>
      </c>
      <c r="C43" s="2">
        <v>8002.6</v>
      </c>
      <c r="D43" s="2">
        <v>11.4</v>
      </c>
      <c r="E43" s="3">
        <f t="shared" si="0"/>
        <v>9.247215218239957E-3</v>
      </c>
      <c r="F43" s="4">
        <f t="shared" si="1"/>
        <v>736.94321595226052</v>
      </c>
    </row>
    <row r="44" spans="1:6">
      <c r="A44" s="7">
        <v>42916</v>
      </c>
      <c r="B44" s="9">
        <v>0.41666666666666669</v>
      </c>
      <c r="C44" s="2">
        <v>7991</v>
      </c>
      <c r="D44" s="2">
        <v>11.2</v>
      </c>
      <c r="E44" s="3">
        <f t="shared" si="0"/>
        <v>1.0730739380748838E-2</v>
      </c>
      <c r="F44" s="4">
        <f t="shared" si="1"/>
        <v>737.09453541683638</v>
      </c>
    </row>
    <row r="45" spans="1:6">
      <c r="A45" s="7">
        <v>42926</v>
      </c>
      <c r="B45" s="9">
        <v>0.41666666666666669</v>
      </c>
      <c r="C45" s="2">
        <v>7999.2</v>
      </c>
      <c r="D45" s="2">
        <v>11</v>
      </c>
      <c r="E45" s="3">
        <f t="shared" si="0"/>
        <v>8.4956800229559759E-3</v>
      </c>
      <c r="F45" s="4">
        <f t="shared" si="1"/>
        <v>736.86655936234149</v>
      </c>
    </row>
    <row r="46" spans="1:6">
      <c r="A46" s="7">
        <v>42936</v>
      </c>
      <c r="B46" s="9">
        <v>0.41666666666666669</v>
      </c>
      <c r="C46" s="2">
        <v>7993.9</v>
      </c>
      <c r="D46" s="2">
        <v>10.8</v>
      </c>
      <c r="E46" s="3">
        <f t="shared" si="0"/>
        <v>8.7960246705817563E-3</v>
      </c>
      <c r="F46" s="4">
        <f t="shared" si="1"/>
        <v>736.8971945163994</v>
      </c>
    </row>
    <row r="47" spans="1:6">
      <c r="A47" s="7">
        <v>42946</v>
      </c>
      <c r="B47" s="9">
        <v>0.41666666666666669</v>
      </c>
      <c r="C47" s="2">
        <v>7993.2</v>
      </c>
      <c r="D47" s="2">
        <v>10.3</v>
      </c>
      <c r="E47" s="3">
        <f t="shared" si="0"/>
        <v>7.1899136474277148E-3</v>
      </c>
      <c r="F47" s="4">
        <f t="shared" si="1"/>
        <v>736.73337119203768</v>
      </c>
    </row>
    <row r="48" spans="1:6">
      <c r="A48" s="7">
        <v>42957</v>
      </c>
      <c r="B48" s="9">
        <v>0.41666666666666669</v>
      </c>
      <c r="C48" s="2">
        <v>7984.7</v>
      </c>
      <c r="D48" s="2">
        <v>10.3</v>
      </c>
      <c r="E48" s="3">
        <f t="shared" si="0"/>
        <v>8.7863401149071985E-3</v>
      </c>
      <c r="F48" s="4">
        <f t="shared" si="1"/>
        <v>736.89620669172052</v>
      </c>
    </row>
    <row r="49" spans="1:6">
      <c r="A49" s="7">
        <v>42967</v>
      </c>
      <c r="B49" s="9">
        <v>0.41666666666666669</v>
      </c>
      <c r="C49" s="2">
        <v>7982.4</v>
      </c>
      <c r="D49" s="2">
        <v>10.199999999999999</v>
      </c>
      <c r="E49" s="3">
        <f t="shared" si="0"/>
        <v>8.8708119968503585E-3</v>
      </c>
      <c r="F49" s="4">
        <f t="shared" si="1"/>
        <v>736.90482282367873</v>
      </c>
    </row>
    <row r="50" spans="1:6">
      <c r="A50" s="7">
        <v>42977</v>
      </c>
      <c r="B50" s="9">
        <v>0.41666666666666669</v>
      </c>
      <c r="C50" s="2">
        <v>7977.6</v>
      </c>
      <c r="D50" s="2">
        <v>10.6</v>
      </c>
      <c r="E50" s="3">
        <f t="shared" si="0"/>
        <v>1.1162431683890028E-2</v>
      </c>
      <c r="F50" s="4">
        <f t="shared" si="1"/>
        <v>737.13856803175679</v>
      </c>
    </row>
    <row r="51" spans="1:6">
      <c r="A51" s="7">
        <v>42988</v>
      </c>
      <c r="B51" s="9">
        <v>0.41666666666666669</v>
      </c>
      <c r="C51" s="2">
        <v>7973.2</v>
      </c>
      <c r="D51" s="2">
        <v>10.199999999999999</v>
      </c>
      <c r="E51" s="3">
        <f t="shared" si="0"/>
        <v>1.0598818408067867E-2</v>
      </c>
      <c r="F51" s="4">
        <f t="shared" si="1"/>
        <v>737.08107947762289</v>
      </c>
    </row>
    <row r="52" spans="1:6">
      <c r="A52" s="7">
        <v>42998</v>
      </c>
      <c r="B52" s="9">
        <v>0.41666666666666669</v>
      </c>
      <c r="C52" s="2">
        <v>7977.5</v>
      </c>
      <c r="D52" s="2">
        <v>9.6999999999999993</v>
      </c>
      <c r="E52" s="3">
        <f t="shared" si="0"/>
        <v>8.0535739889664171E-3</v>
      </c>
      <c r="F52" s="4">
        <f t="shared" si="1"/>
        <v>736.82146454687461</v>
      </c>
    </row>
    <row r="53" spans="1:6">
      <c r="A53" s="7">
        <v>43008</v>
      </c>
      <c r="B53" s="9">
        <v>0.41666666666666669</v>
      </c>
      <c r="C53" s="2">
        <v>7980.7</v>
      </c>
      <c r="D53" s="2">
        <v>10.1</v>
      </c>
      <c r="E53" s="3">
        <f t="shared" si="0"/>
        <v>8.8425951225154231E-3</v>
      </c>
      <c r="F53" s="4">
        <f t="shared" si="1"/>
        <v>736.90194470249662</v>
      </c>
    </row>
    <row r="54" spans="1:6">
      <c r="A54" s="7">
        <v>43018</v>
      </c>
      <c r="B54" s="9">
        <v>0.41666666666666669</v>
      </c>
      <c r="C54" s="2">
        <v>7970.9</v>
      </c>
      <c r="D54" s="2">
        <v>9.4</v>
      </c>
      <c r="E54" s="3">
        <f t="shared" si="0"/>
        <v>8.2507093317338021E-3</v>
      </c>
      <c r="F54" s="4">
        <f t="shared" si="1"/>
        <v>736.84157235183682</v>
      </c>
    </row>
    <row r="55" spans="1:6">
      <c r="A55" s="7">
        <v>43230</v>
      </c>
      <c r="B55" s="9">
        <v>0.41666666666666669</v>
      </c>
      <c r="C55" s="2">
        <v>7970.9</v>
      </c>
      <c r="D55" s="2">
        <v>9.1</v>
      </c>
      <c r="E55" s="3">
        <f t="shared" si="0"/>
        <v>7.2081625317337861E-3</v>
      </c>
      <c r="F55" s="4">
        <f t="shared" si="1"/>
        <v>736.73523257823683</v>
      </c>
    </row>
    <row r="56" spans="1:6">
      <c r="A56" s="7">
        <v>43240</v>
      </c>
      <c r="B56" s="9">
        <v>0.41666666666666669</v>
      </c>
      <c r="C56" s="2">
        <v>7971.2</v>
      </c>
      <c r="D56" s="2">
        <v>9.1</v>
      </c>
      <c r="E56" s="3">
        <f t="shared" si="0"/>
        <v>7.1518123344117002E-3</v>
      </c>
      <c r="F56" s="4">
        <f t="shared" si="1"/>
        <v>736.72948485811003</v>
      </c>
    </row>
    <row r="57" spans="1:6">
      <c r="A57" s="7">
        <v>43250</v>
      </c>
      <c r="B57" s="9">
        <v>0.41666666666666669</v>
      </c>
      <c r="C57" s="2">
        <v>7969.8</v>
      </c>
      <c r="D57" s="2">
        <v>9.1</v>
      </c>
      <c r="E57" s="3">
        <f t="shared" si="0"/>
        <v>7.4147807440737012E-3</v>
      </c>
      <c r="F57" s="4">
        <f t="shared" si="1"/>
        <v>736.7563076358955</v>
      </c>
    </row>
    <row r="58" spans="1:6">
      <c r="A58" s="7">
        <v>43261</v>
      </c>
      <c r="B58" s="9">
        <v>0.41666666666666669</v>
      </c>
      <c r="C58" s="2">
        <v>7965.4</v>
      </c>
      <c r="D58" s="2">
        <v>8.9</v>
      </c>
      <c r="E58" s="3">
        <f t="shared" si="0"/>
        <v>7.5462353130882759E-3</v>
      </c>
      <c r="F58" s="4">
        <f t="shared" si="1"/>
        <v>736.76971600193497</v>
      </c>
    </row>
    <row r="59" spans="1:6">
      <c r="A59" s="7">
        <v>43271</v>
      </c>
      <c r="B59" s="9">
        <v>0.41666666666666669</v>
      </c>
      <c r="C59" s="2">
        <v>7911.5</v>
      </c>
      <c r="D59" s="2">
        <v>9</v>
      </c>
      <c r="E59" s="3">
        <f t="shared" si="0"/>
        <v>1.8019879200586536E-2</v>
      </c>
      <c r="F59" s="4">
        <f t="shared" si="1"/>
        <v>737.83802767845987</v>
      </c>
    </row>
    <row r="60" spans="1:6">
      <c r="A60" s="7">
        <v>43281</v>
      </c>
      <c r="B60" s="9">
        <v>0.41666666666666669</v>
      </c>
      <c r="C60" s="2">
        <v>7916.3</v>
      </c>
      <c r="D60" s="2">
        <v>8.8000000000000007</v>
      </c>
      <c r="E60" s="3">
        <f t="shared" si="0"/>
        <v>1.6422951940999297E-2</v>
      </c>
      <c r="F60" s="4">
        <f t="shared" si="1"/>
        <v>737.67514109798196</v>
      </c>
    </row>
    <row r="61" spans="1:6">
      <c r="A61" s="7">
        <v>43291</v>
      </c>
      <c r="B61" s="9">
        <v>0.41666666666666669</v>
      </c>
      <c r="C61" s="2">
        <v>7930.7</v>
      </c>
      <c r="D61" s="2">
        <v>9.4</v>
      </c>
      <c r="E61" s="3">
        <f t="shared" si="0"/>
        <v>1.5802504966615422E-2</v>
      </c>
      <c r="F61" s="4">
        <f t="shared" si="1"/>
        <v>737.61185550659479</v>
      </c>
    </row>
    <row r="62" spans="1:6">
      <c r="A62" s="7">
        <v>43301</v>
      </c>
      <c r="B62" s="9">
        <v>0.41666666666666669</v>
      </c>
      <c r="C62" s="2">
        <v>7933.1</v>
      </c>
      <c r="D62" s="2">
        <v>8.3000000000000007</v>
      </c>
      <c r="E62" s="3">
        <f t="shared" si="0"/>
        <v>1.1528931463189632E-2</v>
      </c>
      <c r="F62" s="4">
        <f t="shared" si="1"/>
        <v>737.1759510092453</v>
      </c>
    </row>
    <row r="63" spans="1:6">
      <c r="A63" s="7">
        <v>43311</v>
      </c>
      <c r="B63" s="9">
        <v>0.41666666666666669</v>
      </c>
      <c r="C63" s="2">
        <v>7930.1</v>
      </c>
      <c r="D63" s="2">
        <v>8.5</v>
      </c>
      <c r="E63" s="3">
        <f t="shared" si="0"/>
        <v>1.2787591003437557E-2</v>
      </c>
      <c r="F63" s="4">
        <f t="shared" si="1"/>
        <v>737.30433428235062</v>
      </c>
    </row>
    <row r="64" spans="1:6">
      <c r="A64" s="7">
        <v>43322</v>
      </c>
      <c r="B64" s="9">
        <v>0.41666666666666669</v>
      </c>
      <c r="C64" s="2">
        <v>7911.6</v>
      </c>
      <c r="D64" s="2">
        <v>8.4</v>
      </c>
      <c r="E64" s="3">
        <f t="shared" si="0"/>
        <v>1.5915995848426123E-2</v>
      </c>
      <c r="F64" s="4">
        <f t="shared" si="1"/>
        <v>737.62343157653947</v>
      </c>
    </row>
    <row r="65" spans="1:6">
      <c r="A65" s="7">
        <v>43332</v>
      </c>
      <c r="B65" s="9">
        <v>0.41666666666666669</v>
      </c>
      <c r="C65" s="2">
        <v>7917.7</v>
      </c>
      <c r="D65" s="2">
        <v>8.1999999999999993</v>
      </c>
      <c r="E65" s="3">
        <f t="shared" ref="E65:E82" si="2">($B$2*C65^2+$B$3*C65+$B$4)-$B$5*D65-$E$7</f>
        <v>1.4074809957611206E-2</v>
      </c>
      <c r="F65" s="4">
        <f t="shared" ref="F65:F82" si="3">$D$1+102*E65</f>
        <v>737.43563061567636</v>
      </c>
    </row>
    <row r="66" spans="1:6">
      <c r="A66" s="7">
        <v>43342</v>
      </c>
      <c r="B66" s="9">
        <v>0.41666666666666669</v>
      </c>
      <c r="C66" s="2">
        <v>7913.6</v>
      </c>
      <c r="D66" s="2">
        <v>8.1</v>
      </c>
      <c r="E66" s="3">
        <f t="shared" si="2"/>
        <v>1.4497656247474108E-2</v>
      </c>
      <c r="F66" s="4">
        <f t="shared" si="3"/>
        <v>737.47876093724233</v>
      </c>
    </row>
    <row r="67" spans="1:6">
      <c r="A67" s="7">
        <v>43353</v>
      </c>
      <c r="B67" s="9">
        <v>0.41666666666666669</v>
      </c>
      <c r="C67" s="2">
        <v>7908.1</v>
      </c>
      <c r="D67" s="2">
        <v>7.9</v>
      </c>
      <c r="E67" s="3">
        <f t="shared" si="2"/>
        <v>1.4836065527089617E-2</v>
      </c>
      <c r="F67" s="4">
        <f t="shared" si="3"/>
        <v>737.51327868376313</v>
      </c>
    </row>
    <row r="68" spans="1:6">
      <c r="A68" s="7">
        <v>43363</v>
      </c>
      <c r="B68" s="9">
        <v>0.41666666666666669</v>
      </c>
      <c r="C68" s="2">
        <v>7888.5</v>
      </c>
      <c r="D68" s="2">
        <v>7.8</v>
      </c>
      <c r="E68" s="3">
        <f t="shared" si="2"/>
        <v>1.8171618642586346E-2</v>
      </c>
      <c r="F68" s="4">
        <f t="shared" si="3"/>
        <v>737.85350510154376</v>
      </c>
    </row>
    <row r="69" spans="1:6">
      <c r="A69" s="7">
        <v>43373</v>
      </c>
      <c r="B69" s="9">
        <v>0.41666666666666669</v>
      </c>
      <c r="C69" s="2">
        <v>7898.7</v>
      </c>
      <c r="D69" s="2">
        <v>7.5</v>
      </c>
      <c r="E69" s="3">
        <f t="shared" si="2"/>
        <v>1.5212321629719375E-2</v>
      </c>
      <c r="F69" s="4">
        <f t="shared" si="3"/>
        <v>737.55165680623134</v>
      </c>
    </row>
    <row r="70" spans="1:6">
      <c r="A70" s="7">
        <v>43383</v>
      </c>
      <c r="B70" s="9">
        <v>0.41666666666666669</v>
      </c>
      <c r="C70" s="2">
        <v>7898.8</v>
      </c>
      <c r="D70" s="2">
        <v>7.5</v>
      </c>
      <c r="E70" s="3">
        <f t="shared" si="2"/>
        <v>1.5193530510851774E-2</v>
      </c>
      <c r="F70" s="4">
        <f t="shared" si="3"/>
        <v>737.54974011210686</v>
      </c>
    </row>
    <row r="71" spans="1:6">
      <c r="A71" s="7">
        <v>43393</v>
      </c>
      <c r="B71" s="9">
        <v>0.41666666666666669</v>
      </c>
      <c r="C71" s="2">
        <v>7899.1</v>
      </c>
      <c r="D71" s="2">
        <v>7.3</v>
      </c>
      <c r="E71" s="3">
        <f t="shared" si="2"/>
        <v>1.4442126018313725E-2</v>
      </c>
      <c r="F71" s="4">
        <f t="shared" si="3"/>
        <v>737.47309685386801</v>
      </c>
    </row>
    <row r="72" spans="1:6">
      <c r="A72" s="7">
        <v>43605</v>
      </c>
      <c r="B72" s="9">
        <v>0.41666666666666669</v>
      </c>
      <c r="C72" s="2">
        <v>7915.3</v>
      </c>
      <c r="D72" s="2">
        <v>7.1</v>
      </c>
      <c r="E72" s="3">
        <f t="shared" si="2"/>
        <v>1.0703079724707312E-2</v>
      </c>
      <c r="F72" s="4">
        <f t="shared" si="3"/>
        <v>737.09171413192018</v>
      </c>
    </row>
    <row r="73" spans="1:6">
      <c r="A73" s="7">
        <v>43615</v>
      </c>
      <c r="B73" s="9">
        <v>0.41666666666666669</v>
      </c>
      <c r="C73" s="2">
        <v>7917.2</v>
      </c>
      <c r="D73" s="2">
        <v>7.1</v>
      </c>
      <c r="E73" s="3">
        <f t="shared" si="2"/>
        <v>1.0346083968579736E-2</v>
      </c>
      <c r="F73" s="4">
        <f t="shared" si="3"/>
        <v>737.05530056479517</v>
      </c>
    </row>
    <row r="74" spans="1:6">
      <c r="A74" s="7">
        <v>43626</v>
      </c>
      <c r="B74" s="9">
        <v>0.41666666666666669</v>
      </c>
      <c r="C74" s="2">
        <v>7920.3</v>
      </c>
      <c r="D74" s="2">
        <v>7.4</v>
      </c>
      <c r="E74" s="3">
        <f t="shared" si="2"/>
        <v>1.0806172283567256E-2</v>
      </c>
      <c r="F74" s="4">
        <f t="shared" si="3"/>
        <v>737.10222957292387</v>
      </c>
    </row>
    <row r="75" spans="1:6">
      <c r="A75" s="7">
        <v>43636</v>
      </c>
      <c r="B75" s="9">
        <v>0.41666666666666669</v>
      </c>
      <c r="C75" s="2">
        <v>7922.5</v>
      </c>
      <c r="D75" s="2">
        <v>7.6</v>
      </c>
      <c r="E75" s="3">
        <f t="shared" si="2"/>
        <v>1.1087852073966509E-2</v>
      </c>
      <c r="F75" s="4">
        <f t="shared" si="3"/>
        <v>737.13096091154455</v>
      </c>
    </row>
    <row r="76" spans="1:6">
      <c r="A76" s="7">
        <v>43646</v>
      </c>
      <c r="B76" s="9">
        <v>0.41666666666666669</v>
      </c>
      <c r="C76" s="2">
        <v>7918.3</v>
      </c>
      <c r="D76" s="2">
        <v>7.2</v>
      </c>
      <c r="E76" s="3">
        <f t="shared" si="2"/>
        <v>1.0486919576803144E-2</v>
      </c>
      <c r="F76" s="4">
        <f t="shared" si="3"/>
        <v>737.06966579683387</v>
      </c>
    </row>
    <row r="77" spans="1:6">
      <c r="A77" s="7">
        <v>43656</v>
      </c>
      <c r="B77" s="9">
        <v>0.41666666666666669</v>
      </c>
      <c r="C77" s="2">
        <v>7907.5</v>
      </c>
      <c r="D77" s="2">
        <v>7</v>
      </c>
      <c r="E77" s="3">
        <f t="shared" si="2"/>
        <v>1.182116604246633E-2</v>
      </c>
      <c r="F77" s="4">
        <f t="shared" si="3"/>
        <v>737.20575893633156</v>
      </c>
    </row>
    <row r="78" spans="1:6">
      <c r="A78" s="7">
        <v>43666</v>
      </c>
      <c r="B78" s="9">
        <v>0.41666666666666669</v>
      </c>
      <c r="C78" s="2">
        <v>7899.1</v>
      </c>
      <c r="D78" s="2">
        <v>6.9</v>
      </c>
      <c r="E78" s="3">
        <f t="shared" si="2"/>
        <v>1.3052063618313736E-2</v>
      </c>
      <c r="F78" s="4">
        <f t="shared" si="3"/>
        <v>737.33131048906796</v>
      </c>
    </row>
    <row r="79" spans="1:6">
      <c r="A79" s="7">
        <v>43676</v>
      </c>
      <c r="B79" s="9">
        <v>0.41666666666666669</v>
      </c>
      <c r="C79" s="2">
        <v>7897.8</v>
      </c>
      <c r="D79" s="2">
        <v>6.8</v>
      </c>
      <c r="E79" s="3">
        <f t="shared" si="2"/>
        <v>1.2948832980009872E-2</v>
      </c>
      <c r="F79" s="4">
        <f t="shared" si="3"/>
        <v>737.32078096396106</v>
      </c>
    </row>
    <row r="80" spans="1:6">
      <c r="A80" s="7">
        <v>43687</v>
      </c>
      <c r="B80" s="9">
        <v>0.41666666666666669</v>
      </c>
      <c r="C80" s="2">
        <v>7889.8</v>
      </c>
      <c r="D80" s="2">
        <v>6.8</v>
      </c>
      <c r="E80" s="3">
        <f t="shared" si="2"/>
        <v>1.4452164771913634E-2</v>
      </c>
      <c r="F80" s="4">
        <f t="shared" si="3"/>
        <v>737.47412080673519</v>
      </c>
    </row>
    <row r="81" spans="1:6">
      <c r="A81" s="7">
        <v>43697</v>
      </c>
      <c r="B81" s="9">
        <v>0.41666666666666669</v>
      </c>
      <c r="C81" s="2">
        <v>7862.3</v>
      </c>
      <c r="D81" s="2">
        <v>6.6</v>
      </c>
      <c r="E81" s="3">
        <f t="shared" si="2"/>
        <v>1.8925357797171166E-2</v>
      </c>
      <c r="F81" s="4">
        <f t="shared" si="3"/>
        <v>737.9303864953115</v>
      </c>
    </row>
    <row r="82" spans="1:6">
      <c r="A82" s="7">
        <v>43707</v>
      </c>
      <c r="B82" s="9">
        <v>0.41666666666666669</v>
      </c>
      <c r="C82" s="2">
        <v>7849.7</v>
      </c>
      <c r="D82" s="2">
        <v>6.5</v>
      </c>
      <c r="E82" s="3">
        <f t="shared" si="2"/>
        <v>2.0946098312627504E-2</v>
      </c>
      <c r="F82" s="4">
        <f t="shared" si="3"/>
        <v>738.13650202788801</v>
      </c>
    </row>
    <row r="83" spans="1:6">
      <c r="B83" s="9"/>
    </row>
    <row r="84" spans="1:6">
      <c r="B84" s="9"/>
    </row>
    <row r="85" spans="1:6">
      <c r="B85" s="9"/>
    </row>
    <row r="86" spans="1:6">
      <c r="B86" s="9"/>
    </row>
    <row r="87" spans="1:6">
      <c r="B87" s="9"/>
    </row>
    <row r="88" spans="1:6">
      <c r="B88" s="9"/>
    </row>
    <row r="89" spans="1:6">
      <c r="B89" s="9"/>
    </row>
    <row r="90" spans="1:6">
      <c r="B90" s="9"/>
    </row>
    <row r="91" spans="1:6">
      <c r="B91" s="9"/>
    </row>
    <row r="92" spans="1:6">
      <c r="B92" s="9"/>
    </row>
    <row r="93" spans="1:6">
      <c r="B93" s="9"/>
    </row>
    <row r="94" spans="1:6">
      <c r="B94" s="9"/>
    </row>
    <row r="95" spans="1:6">
      <c r="B95" s="9"/>
    </row>
    <row r="96" spans="1:6">
      <c r="B96" s="9"/>
    </row>
    <row r="97" spans="2:2">
      <c r="B97" s="9"/>
    </row>
    <row r="98" spans="2:2">
      <c r="B98" s="9"/>
    </row>
    <row r="99" spans="2:2">
      <c r="B99" s="9"/>
    </row>
    <row r="100" spans="2:2">
      <c r="B100" s="9"/>
    </row>
    <row r="101" spans="2:2">
      <c r="B101" s="9"/>
    </row>
    <row r="102" spans="2:2">
      <c r="B102" s="9"/>
    </row>
    <row r="103" spans="2:2">
      <c r="B103" s="9"/>
    </row>
    <row r="104" spans="2:2">
      <c r="B104" s="9"/>
    </row>
    <row r="105" spans="2:2">
      <c r="B105" s="9"/>
    </row>
    <row r="106" spans="2:2">
      <c r="B106" s="9"/>
    </row>
    <row r="107" spans="2:2">
      <c r="B107" s="9"/>
    </row>
    <row r="108" spans="2:2">
      <c r="B108" s="9"/>
    </row>
    <row r="109" spans="2:2">
      <c r="B109" s="9"/>
    </row>
    <row r="110" spans="2:2">
      <c r="B110" s="9"/>
    </row>
    <row r="111" spans="2:2">
      <c r="B111" s="9"/>
    </row>
    <row r="112" spans="2:2">
      <c r="B112" s="9"/>
    </row>
    <row r="113" spans="2:2">
      <c r="B113" s="9"/>
    </row>
    <row r="114" spans="2:2">
      <c r="B114" s="9"/>
    </row>
    <row r="115" spans="2:2">
      <c r="B115" s="9"/>
    </row>
    <row r="116" spans="2:2">
      <c r="B116" s="9"/>
    </row>
    <row r="117" spans="2:2">
      <c r="B117" s="9"/>
    </row>
    <row r="118" spans="2:2">
      <c r="B118" s="9"/>
    </row>
    <row r="119" spans="2:2">
      <c r="B119" s="9"/>
    </row>
    <row r="120" spans="2:2">
      <c r="B120" s="9"/>
    </row>
    <row r="121" spans="2:2">
      <c r="B121" s="9"/>
    </row>
    <row r="122" spans="2:2">
      <c r="B122" s="9"/>
    </row>
    <row r="123" spans="2:2">
      <c r="B123" s="9"/>
    </row>
    <row r="124" spans="2:2">
      <c r="B124" s="9"/>
    </row>
    <row r="125" spans="2:2">
      <c r="B125" s="9"/>
    </row>
    <row r="126" spans="2:2">
      <c r="B126" s="9"/>
    </row>
    <row r="127" spans="2:2">
      <c r="B127" s="9"/>
    </row>
    <row r="128" spans="2:2">
      <c r="B128" s="9"/>
    </row>
    <row r="129" spans="2:2">
      <c r="B129" s="9"/>
    </row>
    <row r="130" spans="2:2">
      <c r="B130" s="9"/>
    </row>
    <row r="131" spans="2:2">
      <c r="B131" s="9"/>
    </row>
    <row r="132" spans="2:2">
      <c r="B132" s="9"/>
    </row>
    <row r="133" spans="2:2">
      <c r="B133" s="9"/>
    </row>
    <row r="134" spans="2:2">
      <c r="B134" s="9"/>
    </row>
    <row r="135" spans="2:2">
      <c r="B135" s="9"/>
    </row>
    <row r="136" spans="2:2">
      <c r="B136" s="9"/>
    </row>
    <row r="137" spans="2:2">
      <c r="B137" s="9"/>
    </row>
    <row r="138" spans="2:2">
      <c r="B138" s="9"/>
    </row>
    <row r="139" spans="2:2">
      <c r="B139" s="9"/>
    </row>
    <row r="140" spans="2:2">
      <c r="B140" s="9"/>
    </row>
    <row r="141" spans="2:2">
      <c r="B141" s="9"/>
    </row>
    <row r="142" spans="2:2">
      <c r="B142" s="9"/>
    </row>
    <row r="143" spans="2:2">
      <c r="B143" s="9"/>
    </row>
    <row r="144" spans="2:2">
      <c r="B144" s="9"/>
    </row>
    <row r="145" spans="2:2">
      <c r="B145" s="9"/>
    </row>
    <row r="146" spans="2:2">
      <c r="B146" s="9"/>
    </row>
    <row r="147" spans="2:2">
      <c r="B147" s="9"/>
    </row>
    <row r="148" spans="2:2">
      <c r="B148" s="9"/>
    </row>
    <row r="149" spans="2:2">
      <c r="B149" s="9"/>
    </row>
    <row r="150" spans="2:2">
      <c r="B150" s="9"/>
    </row>
    <row r="151" spans="2:2">
      <c r="B151" s="9"/>
    </row>
    <row r="152" spans="2:2">
      <c r="B152" s="9"/>
    </row>
    <row r="153" spans="2:2">
      <c r="B153" s="9"/>
    </row>
    <row r="154" spans="2:2">
      <c r="B154" s="9"/>
    </row>
    <row r="155" spans="2:2">
      <c r="B155" s="9"/>
    </row>
    <row r="156" spans="2:2">
      <c r="B156" s="9"/>
    </row>
    <row r="157" spans="2:2">
      <c r="B157" s="9"/>
    </row>
    <row r="158" spans="2:2">
      <c r="B158" s="9"/>
    </row>
    <row r="159" spans="2:2">
      <c r="B159" s="9"/>
    </row>
    <row r="160" spans="2:2">
      <c r="B160" s="9"/>
    </row>
    <row r="161" spans="2:2">
      <c r="B161" s="9"/>
    </row>
    <row r="162" spans="2:2">
      <c r="B162" s="9"/>
    </row>
    <row r="163" spans="2:2">
      <c r="B163" s="9"/>
    </row>
    <row r="164" spans="2:2">
      <c r="B164" s="9"/>
    </row>
    <row r="165" spans="2:2">
      <c r="B165" s="9"/>
    </row>
    <row r="166" spans="2:2">
      <c r="B166" s="9"/>
    </row>
    <row r="167" spans="2:2">
      <c r="B167" s="9"/>
    </row>
    <row r="168" spans="2:2">
      <c r="B168" s="9"/>
    </row>
    <row r="169" spans="2:2">
      <c r="B169" s="9"/>
    </row>
    <row r="170" spans="2:2">
      <c r="B170" s="9"/>
    </row>
    <row r="171" spans="2:2">
      <c r="B171" s="9"/>
    </row>
    <row r="172" spans="2:2">
      <c r="B172" s="9"/>
    </row>
    <row r="173" spans="2:2">
      <c r="B173" s="9"/>
    </row>
    <row r="174" spans="2:2">
      <c r="B174" s="9"/>
    </row>
    <row r="175" spans="2:2">
      <c r="B175" s="9"/>
    </row>
    <row r="176" spans="2:2">
      <c r="B176" s="9"/>
    </row>
  </sheetData>
  <phoneticPr fontId="4" type="noConversion"/>
  <pageMargins left="0.69930555555555596" right="0.69930555555555596" top="0.75" bottom="0.75" header="0.3" footer="0.3"/>
  <pageSetup paperSize="9" orientation="portrait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2"/>
  <sheetViews>
    <sheetView topLeftCell="A58" workbookViewId="0">
      <selection activeCell="A80" sqref="A80:B82"/>
    </sheetView>
  </sheetViews>
  <sheetFormatPr defaultColWidth="9" defaultRowHeight="13.5"/>
  <cols>
    <col min="1" max="1" width="11.625" customWidth="1"/>
    <col min="2" max="2" width="14.25" customWidth="1"/>
    <col min="5" max="5" width="10.125" customWidth="1"/>
    <col min="6" max="6" width="10" customWidth="1"/>
    <col min="7" max="7" width="11" customWidth="1"/>
  </cols>
  <sheetData>
    <row r="1" spans="1:7">
      <c r="A1" t="s">
        <v>0</v>
      </c>
      <c r="B1">
        <v>11214</v>
      </c>
      <c r="C1" t="s">
        <v>1</v>
      </c>
      <c r="D1">
        <v>731</v>
      </c>
    </row>
    <row r="2" spans="1:7">
      <c r="A2" t="s">
        <v>2</v>
      </c>
      <c r="B2">
        <f>3.80333*10^-11</f>
        <v>3.8033299999999995E-11</v>
      </c>
    </row>
    <row r="3" spans="1:7">
      <c r="A3" t="s">
        <v>3</v>
      </c>
      <c r="B3">
        <v>-1.7578599999999999E-4</v>
      </c>
    </row>
    <row r="4" spans="1:7">
      <c r="A4" t="s">
        <v>4</v>
      </c>
      <c r="B4">
        <v>1.5993869199999999</v>
      </c>
    </row>
    <row r="5" spans="1:7">
      <c r="A5" t="s">
        <v>5</v>
      </c>
      <c r="B5">
        <v>-3.180923E-3</v>
      </c>
    </row>
    <row r="6" spans="1:7">
      <c r="A6" t="s">
        <v>6</v>
      </c>
      <c r="B6" t="s">
        <v>7</v>
      </c>
      <c r="C6" t="s">
        <v>8</v>
      </c>
      <c r="D6" t="s">
        <v>9</v>
      </c>
      <c r="E6" t="s">
        <v>10</v>
      </c>
      <c r="F6" t="s">
        <v>11</v>
      </c>
      <c r="G6" t="s">
        <v>12</v>
      </c>
    </row>
    <row r="7" spans="1:7">
      <c r="A7" s="7">
        <v>42230</v>
      </c>
      <c r="B7" s="1">
        <v>0.58333333333333304</v>
      </c>
      <c r="C7" s="2">
        <v>9156.9</v>
      </c>
      <c r="D7" s="2">
        <v>21.6</v>
      </c>
      <c r="E7" s="3">
        <f>($B$2*C7^2+$B$3*C7+$B$4)-$B$5*D7</f>
        <v>6.162908063480646E-2</v>
      </c>
      <c r="G7" t="s">
        <v>13</v>
      </c>
    </row>
    <row r="8" spans="1:7">
      <c r="A8" s="7">
        <v>42230</v>
      </c>
      <c r="B8" s="1">
        <v>0.875</v>
      </c>
      <c r="C8" s="2">
        <v>9163</v>
      </c>
      <c r="D8" s="2">
        <v>22</v>
      </c>
      <c r="E8" s="3">
        <f>($B$2*C8^2+$B$3*C8+$B$4)-$B$5*D8-$E$7</f>
        <v>2.0432487414139E-4</v>
      </c>
      <c r="F8" s="4">
        <f>$D$1+102*E8</f>
        <v>731.02084113716239</v>
      </c>
      <c r="G8" t="s">
        <v>17</v>
      </c>
    </row>
    <row r="9" spans="1:7">
      <c r="A9" s="7">
        <v>42231</v>
      </c>
      <c r="B9" s="1">
        <v>0.41666666666666702</v>
      </c>
      <c r="C9" s="2">
        <v>8949.1</v>
      </c>
      <c r="D9" s="2">
        <v>30.2</v>
      </c>
      <c r="E9" s="3">
        <f t="shared" ref="E9:E29" si="0">($B$2*C9^2+$B$3*C9+$B$4)-$B$5*D9-$E$7</f>
        <v>6.3741171092787402E-2</v>
      </c>
      <c r="F9" s="4">
        <f t="shared" ref="F9:F64" si="1">$D$1+102*E9</f>
        <v>737.50159945146436</v>
      </c>
      <c r="G9" t="s">
        <v>25</v>
      </c>
    </row>
    <row r="10" spans="1:7">
      <c r="A10" s="7">
        <v>42232</v>
      </c>
      <c r="B10" s="1">
        <v>0.41666666666666702</v>
      </c>
      <c r="C10" s="2">
        <v>9029.9</v>
      </c>
      <c r="D10" s="2">
        <v>36.299999999999997</v>
      </c>
      <c r="E10" s="3">
        <f t="shared" si="0"/>
        <v>6.8996543689404277E-2</v>
      </c>
      <c r="F10" s="4">
        <f t="shared" si="1"/>
        <v>738.03764745631929</v>
      </c>
    </row>
    <row r="11" spans="1:7">
      <c r="A11" s="7">
        <v>42233</v>
      </c>
      <c r="B11" s="1">
        <v>0.41666666666666702</v>
      </c>
      <c r="C11" s="2">
        <v>8997.5</v>
      </c>
      <c r="D11" s="2">
        <v>34.700000000000003</v>
      </c>
      <c r="E11" s="3">
        <f t="shared" si="0"/>
        <v>6.9580318504401856E-2</v>
      </c>
      <c r="F11" s="4">
        <f t="shared" si="1"/>
        <v>738.09719248744898</v>
      </c>
    </row>
    <row r="12" spans="1:7">
      <c r="A12" s="7">
        <v>42234</v>
      </c>
      <c r="B12" s="1">
        <v>0.41666666666666702</v>
      </c>
      <c r="C12" s="2">
        <v>8935.7999999999993</v>
      </c>
      <c r="D12" s="2">
        <v>32.200000000000003</v>
      </c>
      <c r="E12" s="3">
        <f t="shared" si="0"/>
        <v>7.243192394328421E-2</v>
      </c>
      <c r="F12" s="4">
        <f t="shared" si="1"/>
        <v>738.38805624221504</v>
      </c>
    </row>
    <row r="13" spans="1:7">
      <c r="A13" s="7">
        <v>42235</v>
      </c>
      <c r="B13" s="1">
        <v>0.41666666666666702</v>
      </c>
      <c r="C13" s="2">
        <v>8896.5</v>
      </c>
      <c r="D13" s="2">
        <v>30.4</v>
      </c>
      <c r="E13" s="3">
        <f t="shared" si="0"/>
        <v>7.3587998249511621E-2</v>
      </c>
      <c r="F13" s="4">
        <f t="shared" si="1"/>
        <v>738.50597582145019</v>
      </c>
    </row>
    <row r="14" spans="1:7">
      <c r="A14" s="7">
        <v>42236</v>
      </c>
      <c r="B14" s="1">
        <v>0.41666666666666702</v>
      </c>
      <c r="C14" s="2">
        <v>8859</v>
      </c>
      <c r="D14" s="2">
        <v>28.5</v>
      </c>
      <c r="E14" s="3">
        <f t="shared" si="0"/>
        <v>7.4110895789830711E-2</v>
      </c>
      <c r="F14" s="4">
        <f t="shared" si="1"/>
        <v>738.55931137056268</v>
      </c>
    </row>
    <row r="15" spans="1:7">
      <c r="A15" s="7">
        <v>42237</v>
      </c>
      <c r="B15" s="1">
        <v>0.41666666666666702</v>
      </c>
      <c r="C15" s="2">
        <v>8829.2000000000007</v>
      </c>
      <c r="D15" s="2">
        <v>27.1</v>
      </c>
      <c r="E15" s="3">
        <f t="shared" si="0"/>
        <v>7.4875978719442488E-2</v>
      </c>
      <c r="F15" s="4">
        <f t="shared" si="1"/>
        <v>738.63734982938308</v>
      </c>
    </row>
    <row r="16" spans="1:7">
      <c r="A16" s="7">
        <v>42238</v>
      </c>
      <c r="B16" s="1">
        <v>0.41666666666666702</v>
      </c>
      <c r="C16" s="2">
        <v>8804</v>
      </c>
      <c r="D16" s="2">
        <v>26</v>
      </c>
      <c r="E16" s="3">
        <f t="shared" si="0"/>
        <v>7.5789870270046494E-2</v>
      </c>
      <c r="F16" s="4">
        <f t="shared" si="1"/>
        <v>738.7305667675447</v>
      </c>
    </row>
    <row r="17" spans="1:6">
      <c r="A17" s="7">
        <v>42245</v>
      </c>
      <c r="B17" s="1">
        <v>0.41666666666666702</v>
      </c>
      <c r="C17" s="2">
        <v>8701.7999999999993</v>
      </c>
      <c r="D17" s="2">
        <v>20.399999999999999</v>
      </c>
      <c r="E17" s="3">
        <f t="shared" si="0"/>
        <v>7.5873985568377406E-2</v>
      </c>
      <c r="F17" s="4">
        <f t="shared" si="1"/>
        <v>738.73914652797453</v>
      </c>
    </row>
    <row r="18" spans="1:6">
      <c r="A18" s="7">
        <v>42252</v>
      </c>
      <c r="B18" s="1">
        <v>0.41666666666666602</v>
      </c>
      <c r="C18" s="2">
        <v>8709.2999999999993</v>
      </c>
      <c r="D18" s="2">
        <v>17.399999999999999</v>
      </c>
      <c r="E18" s="3">
        <f t="shared" si="0"/>
        <v>6.5017788080299815E-2</v>
      </c>
      <c r="F18" s="4">
        <f t="shared" si="1"/>
        <v>737.63181438419053</v>
      </c>
    </row>
    <row r="19" spans="1:6">
      <c r="A19" s="7">
        <v>42259</v>
      </c>
      <c r="B19" s="1">
        <v>0.41666666666666602</v>
      </c>
      <c r="C19" s="2">
        <v>8679.5</v>
      </c>
      <c r="D19" s="2">
        <v>15.5</v>
      </c>
      <c r="E19" s="3">
        <f t="shared" si="0"/>
        <v>6.4192748847578002E-2</v>
      </c>
      <c r="F19" s="4">
        <f t="shared" si="1"/>
        <v>737.54766038245293</v>
      </c>
    </row>
    <row r="20" spans="1:6">
      <c r="A20" s="7">
        <v>42266</v>
      </c>
      <c r="B20" s="1">
        <v>0.41666666666666602</v>
      </c>
      <c r="C20" s="2">
        <v>8666</v>
      </c>
      <c r="D20" s="2">
        <v>14.3</v>
      </c>
      <c r="E20" s="3">
        <f t="shared" si="0"/>
        <v>6.2739846208408556E-2</v>
      </c>
      <c r="F20" s="4">
        <f t="shared" si="1"/>
        <v>737.39946431325768</v>
      </c>
    </row>
    <row r="21" spans="1:6">
      <c r="A21" s="7">
        <v>42273</v>
      </c>
      <c r="B21" s="1">
        <v>0.41666666666666502</v>
      </c>
      <c r="C21" s="2">
        <v>8651.1</v>
      </c>
      <c r="D21" s="2">
        <v>13.5</v>
      </c>
      <c r="E21" s="3">
        <f t="shared" si="0"/>
        <v>6.2804505674162764E-2</v>
      </c>
      <c r="F21" s="4">
        <f t="shared" si="1"/>
        <v>737.4060595787646</v>
      </c>
    </row>
    <row r="22" spans="1:6">
      <c r="A22" s="7">
        <v>42280</v>
      </c>
      <c r="B22" s="1">
        <v>0.41666666666666502</v>
      </c>
      <c r="C22" s="2">
        <v>8642</v>
      </c>
      <c r="D22" s="2">
        <v>13</v>
      </c>
      <c r="E22" s="3">
        <f t="shared" si="0"/>
        <v>6.2807711579854986E-2</v>
      </c>
      <c r="F22" s="4">
        <f t="shared" si="1"/>
        <v>737.40638658114517</v>
      </c>
    </row>
    <row r="23" spans="1:6">
      <c r="A23" s="7">
        <v>42287</v>
      </c>
      <c r="B23" s="1">
        <v>0.41666666666666502</v>
      </c>
      <c r="C23" s="2">
        <v>8636.1</v>
      </c>
      <c r="D23" s="2">
        <v>13</v>
      </c>
      <c r="E23" s="3">
        <f t="shared" si="0"/>
        <v>6.3840971835206317E-2</v>
      </c>
      <c r="F23" s="4">
        <f t="shared" si="1"/>
        <v>737.51177912719106</v>
      </c>
    </row>
    <row r="24" spans="1:6">
      <c r="A24" s="7">
        <v>42294</v>
      </c>
      <c r="B24" s="9">
        <v>0.41666666666666702</v>
      </c>
      <c r="C24" s="2">
        <v>8623.5</v>
      </c>
      <c r="D24" s="2">
        <v>12.3</v>
      </c>
      <c r="E24" s="3">
        <f t="shared" si="0"/>
        <v>6.3820958196943445E-2</v>
      </c>
      <c r="F24" s="4">
        <f t="shared" si="1"/>
        <v>737.50973773608825</v>
      </c>
    </row>
    <row r="25" spans="1:6">
      <c r="A25" s="7">
        <v>42297</v>
      </c>
      <c r="B25" s="9">
        <v>0.41666666666666702</v>
      </c>
      <c r="C25" s="2">
        <v>8623.6</v>
      </c>
      <c r="D25" s="2">
        <v>12.2</v>
      </c>
      <c r="E25" s="3">
        <f t="shared" si="0"/>
        <v>6.3485352893356356E-2</v>
      </c>
      <c r="F25" s="4">
        <f t="shared" si="1"/>
        <v>737.47550599512238</v>
      </c>
    </row>
    <row r="26" spans="1:6">
      <c r="A26" s="7">
        <v>42301</v>
      </c>
      <c r="B26" s="9">
        <v>0.41666666666666702</v>
      </c>
      <c r="C26" s="2">
        <v>8624</v>
      </c>
      <c r="D26" s="2">
        <v>12.1</v>
      </c>
      <c r="E26" s="3">
        <f t="shared" si="0"/>
        <v>6.3097208586614537E-2</v>
      </c>
      <c r="F26" s="4">
        <f t="shared" si="1"/>
        <v>737.43591527583465</v>
      </c>
    </row>
    <row r="27" spans="1:6">
      <c r="A27" s="7">
        <v>42521</v>
      </c>
      <c r="B27" s="1">
        <v>0.41666666666666702</v>
      </c>
      <c r="C27" s="2">
        <v>8586.4</v>
      </c>
      <c r="D27" s="2">
        <v>5.5</v>
      </c>
      <c r="E27" s="3">
        <f t="shared" si="0"/>
        <v>4.8688058618296656E-2</v>
      </c>
      <c r="F27" s="4">
        <f t="shared" si="1"/>
        <v>735.96618197906628</v>
      </c>
    </row>
    <row r="28" spans="1:6">
      <c r="A28" s="6">
        <v>42531</v>
      </c>
      <c r="B28" s="1">
        <v>0.41666666666666702</v>
      </c>
      <c r="C28" s="2">
        <v>8575.9</v>
      </c>
      <c r="D28" s="2">
        <v>5.4</v>
      </c>
      <c r="E28" s="3">
        <f t="shared" si="0"/>
        <v>5.0208865559798588E-2</v>
      </c>
      <c r="F28" s="4">
        <f t="shared" si="1"/>
        <v>736.12130428709941</v>
      </c>
    </row>
    <row r="29" spans="1:6">
      <c r="A29" s="6">
        <v>42541</v>
      </c>
      <c r="B29" s="1">
        <v>0.41666666666666702</v>
      </c>
      <c r="C29" s="2">
        <v>8475.1</v>
      </c>
      <c r="D29" s="2">
        <v>5.4</v>
      </c>
      <c r="E29" s="3">
        <f t="shared" si="0"/>
        <v>6.7862724975329913E-2</v>
      </c>
      <c r="F29" s="4">
        <f t="shared" si="1"/>
        <v>737.92199794748365</v>
      </c>
    </row>
    <row r="30" spans="1:6">
      <c r="A30" s="19">
        <v>42551</v>
      </c>
      <c r="B30" s="20">
        <v>0.41666666666666702</v>
      </c>
      <c r="C30" s="21">
        <v>8520.7000000000007</v>
      </c>
      <c r="D30" s="21">
        <v>5.3</v>
      </c>
      <c r="E30" s="3">
        <f>($B$2*C30^2+$B$3*C30+$B$4)-$B$5*D30-$E$7</f>
        <v>5.9558267205352261E-2</v>
      </c>
      <c r="F30" s="4">
        <f t="shared" si="1"/>
        <v>737.07494325494588</v>
      </c>
    </row>
    <row r="31" spans="1:6">
      <c r="A31" s="7">
        <v>42561</v>
      </c>
      <c r="B31" s="9">
        <v>0.41666666666666702</v>
      </c>
      <c r="C31" s="21">
        <v>8543.2000000000007</v>
      </c>
      <c r="D31" s="21">
        <v>5.3</v>
      </c>
      <c r="E31" s="3">
        <f>($B$2*C31^2+$B$3*C31+$B$4)-$B$5*D31-$E$7</f>
        <v>5.5617684624979374E-2</v>
      </c>
      <c r="F31" s="4">
        <f t="shared" si="1"/>
        <v>736.67300383174791</v>
      </c>
    </row>
    <row r="32" spans="1:6">
      <c r="A32" s="19">
        <v>42571</v>
      </c>
      <c r="B32" s="20">
        <v>0.41666666666666702</v>
      </c>
      <c r="C32" s="21">
        <v>8532.2999999999993</v>
      </c>
      <c r="D32" s="21">
        <v>5.3</v>
      </c>
      <c r="E32" s="3">
        <f>($B$2*C32^2+$B$3*C32+$B$4)-$B$5*D32-$E$7</f>
        <v>5.7526673154985469E-2</v>
      </c>
      <c r="F32" s="4">
        <f t="shared" si="1"/>
        <v>736.86772066180856</v>
      </c>
    </row>
    <row r="33" spans="1:6">
      <c r="A33" s="7">
        <v>42581</v>
      </c>
      <c r="B33" s="9">
        <v>0.41666666666666702</v>
      </c>
      <c r="C33" s="21">
        <v>8524.7999999999993</v>
      </c>
      <c r="D33" s="21">
        <v>5.3</v>
      </c>
      <c r="E33" s="3">
        <f>($B$2*C33^2+$B$3*C33+$B$4)-$B$5*D33-$E$7</f>
        <v>5.8840202621474685E-2</v>
      </c>
      <c r="F33" s="4">
        <f t="shared" si="1"/>
        <v>737.00170066739042</v>
      </c>
    </row>
    <row r="34" spans="1:6">
      <c r="A34" s="19">
        <v>42592</v>
      </c>
      <c r="B34" s="22">
        <v>0.41666666666666702</v>
      </c>
      <c r="C34" s="21">
        <v>8522.7000000000007</v>
      </c>
      <c r="D34" s="21">
        <v>5.3</v>
      </c>
      <c r="E34" s="3">
        <f t="shared" ref="E34:E55" si="2">($B$2*C34^2+$B$3*C34+$B$4)-$B$5*D34-$E$7</f>
        <v>5.9207991638842578E-2</v>
      </c>
      <c r="F34" s="4">
        <f t="shared" si="1"/>
        <v>737.03921514716194</v>
      </c>
    </row>
    <row r="35" spans="1:6">
      <c r="A35" s="19">
        <v>42602</v>
      </c>
      <c r="B35" s="22">
        <v>0.41666666666666702</v>
      </c>
      <c r="C35" s="21">
        <v>8519.2000000000007</v>
      </c>
      <c r="D35" s="21">
        <v>5.4</v>
      </c>
      <c r="E35" s="3">
        <f t="shared" si="2"/>
        <v>6.0139066379909123E-2</v>
      </c>
      <c r="F35" s="4">
        <f t="shared" si="1"/>
        <v>737.13418477075072</v>
      </c>
    </row>
    <row r="36" spans="1:6">
      <c r="A36" s="19">
        <v>42612</v>
      </c>
      <c r="B36" s="22">
        <v>0.41666666666666702</v>
      </c>
      <c r="C36" s="21">
        <v>8512.5</v>
      </c>
      <c r="D36" s="21">
        <v>5.4</v>
      </c>
      <c r="E36" s="3">
        <f t="shared" si="2"/>
        <v>6.1312492509146888E-2</v>
      </c>
      <c r="F36" s="4">
        <f t="shared" si="1"/>
        <v>737.25387423593293</v>
      </c>
    </row>
    <row r="37" spans="1:6">
      <c r="A37" s="19">
        <v>42623</v>
      </c>
      <c r="B37" s="22">
        <v>0.41666666666666702</v>
      </c>
      <c r="C37" s="21">
        <v>8505.5</v>
      </c>
      <c r="D37" s="21">
        <v>5.5</v>
      </c>
      <c r="E37" s="3">
        <f t="shared" si="2"/>
        <v>6.285655605425082E-2</v>
      </c>
      <c r="F37" s="4">
        <f t="shared" si="1"/>
        <v>737.41136871753361</v>
      </c>
    </row>
    <row r="38" spans="1:6">
      <c r="A38" s="19">
        <v>42633</v>
      </c>
      <c r="B38" s="22">
        <v>0.41666666666666669</v>
      </c>
      <c r="C38" s="21">
        <v>8493.2999999999993</v>
      </c>
      <c r="D38" s="21">
        <v>5.6</v>
      </c>
      <c r="E38" s="3">
        <f t="shared" si="2"/>
        <v>6.5311350004638752E-2</v>
      </c>
      <c r="F38" s="4">
        <f t="shared" si="1"/>
        <v>737.66175770047312</v>
      </c>
    </row>
    <row r="39" spans="1:6">
      <c r="A39" s="19">
        <v>42643</v>
      </c>
      <c r="B39" s="22">
        <v>0.41666666666666669</v>
      </c>
      <c r="C39" s="26">
        <v>8512</v>
      </c>
      <c r="D39" s="21">
        <v>5.8</v>
      </c>
      <c r="E39" s="3">
        <f t="shared" si="2"/>
        <v>6.2672430960188708E-2</v>
      </c>
      <c r="F39" s="4">
        <f t="shared" si="1"/>
        <v>737.39258795793921</v>
      </c>
    </row>
    <row r="40" spans="1:6">
      <c r="A40" s="19">
        <v>42883</v>
      </c>
      <c r="B40" s="22">
        <v>0.41666666666666669</v>
      </c>
      <c r="C40" s="26">
        <v>8591</v>
      </c>
      <c r="D40" s="21">
        <v>9.4</v>
      </c>
      <c r="E40" s="3">
        <f t="shared" si="2"/>
        <v>6.0288047959050906E-2</v>
      </c>
      <c r="F40" s="4">
        <f t="shared" si="1"/>
        <v>737.14938089182317</v>
      </c>
    </row>
    <row r="41" spans="1:6">
      <c r="A41" s="19">
        <v>42885</v>
      </c>
      <c r="B41" s="22">
        <v>0.41666666666666669</v>
      </c>
      <c r="C41" s="26">
        <v>8593.6</v>
      </c>
      <c r="D41" s="21">
        <v>9.4</v>
      </c>
      <c r="E41" s="3">
        <f t="shared" si="2"/>
        <v>5.9832703685373689E-2</v>
      </c>
      <c r="F41" s="4">
        <f t="shared" si="1"/>
        <v>737.10293577590812</v>
      </c>
    </row>
    <row r="42" spans="1:6">
      <c r="A42" s="19">
        <v>42896</v>
      </c>
      <c r="B42" s="22">
        <v>0.41666666666666669</v>
      </c>
      <c r="C42" s="26">
        <v>8595.7999999999993</v>
      </c>
      <c r="D42" s="21">
        <v>9.3000000000000007</v>
      </c>
      <c r="E42" s="3">
        <f t="shared" si="2"/>
        <v>5.9129320478509009E-2</v>
      </c>
      <c r="F42" s="4">
        <f t="shared" si="1"/>
        <v>737.0311906888079</v>
      </c>
    </row>
    <row r="43" spans="1:6">
      <c r="A43" s="19">
        <v>42906</v>
      </c>
      <c r="B43" s="22">
        <v>0.41666666666666669</v>
      </c>
      <c r="C43" s="26">
        <v>8595.7999999999993</v>
      </c>
      <c r="D43" s="21">
        <v>9.3000000000000007</v>
      </c>
      <c r="E43" s="3">
        <f t="shared" si="2"/>
        <v>5.9129320478509009E-2</v>
      </c>
      <c r="F43" s="4">
        <f t="shared" si="1"/>
        <v>737.0311906888079</v>
      </c>
    </row>
    <row r="44" spans="1:6">
      <c r="A44" s="19">
        <v>42916</v>
      </c>
      <c r="B44" s="22">
        <v>0.41666666666666669</v>
      </c>
      <c r="C44" s="26">
        <v>8585.7999999999993</v>
      </c>
      <c r="D44" s="21">
        <v>9.1999999999999993</v>
      </c>
      <c r="E44" s="3">
        <f t="shared" si="2"/>
        <v>6.0562553449036466E-2</v>
      </c>
      <c r="F44" s="4">
        <f t="shared" si="1"/>
        <v>737.1773804518017</v>
      </c>
    </row>
    <row r="45" spans="1:6">
      <c r="A45" s="19">
        <v>42926</v>
      </c>
      <c r="B45" s="22">
        <v>0.41666666666666669</v>
      </c>
      <c r="C45" s="26">
        <v>8597.6</v>
      </c>
      <c r="D45" s="21">
        <v>9.1999999999999993</v>
      </c>
      <c r="E45" s="3">
        <f t="shared" si="2"/>
        <v>5.8495990437641282E-2</v>
      </c>
      <c r="F45" s="4">
        <f t="shared" si="1"/>
        <v>736.96659102463946</v>
      </c>
    </row>
    <row r="46" spans="1:6">
      <c r="A46" s="19">
        <v>42936</v>
      </c>
      <c r="B46" s="22">
        <v>0.41666666666666669</v>
      </c>
      <c r="C46" s="26">
        <v>8593.2999999999993</v>
      </c>
      <c r="D46" s="21">
        <v>9.1</v>
      </c>
      <c r="E46" s="3">
        <f t="shared" si="2"/>
        <v>5.8930966483016642E-2</v>
      </c>
      <c r="F46" s="4">
        <f t="shared" si="1"/>
        <v>737.01095858126769</v>
      </c>
    </row>
    <row r="47" spans="1:6">
      <c r="A47" s="7">
        <v>42946</v>
      </c>
      <c r="B47" s="1">
        <v>0.41666666666666669</v>
      </c>
      <c r="C47" s="26">
        <v>8597.5</v>
      </c>
      <c r="D47" s="21">
        <v>9</v>
      </c>
      <c r="E47" s="3">
        <f t="shared" si="2"/>
        <v>5.7877319039001729E-2</v>
      </c>
      <c r="F47" s="4">
        <f t="shared" si="1"/>
        <v>736.90348654197817</v>
      </c>
    </row>
    <row r="48" spans="1:6">
      <c r="A48" s="7">
        <v>42957</v>
      </c>
      <c r="B48" s="1">
        <v>0.41666666666666669</v>
      </c>
      <c r="C48" s="26">
        <v>8589.6</v>
      </c>
      <c r="D48" s="21">
        <v>8.9</v>
      </c>
      <c r="E48" s="3">
        <f t="shared" si="2"/>
        <v>5.8942772050171205E-2</v>
      </c>
      <c r="F48" s="4">
        <f t="shared" si="1"/>
        <v>737.01216274911746</v>
      </c>
    </row>
    <row r="49" spans="1:6">
      <c r="A49" s="7">
        <v>42967</v>
      </c>
      <c r="B49" s="1">
        <v>0.41666666666666669</v>
      </c>
      <c r="C49" s="26">
        <v>8592.1</v>
      </c>
      <c r="D49" s="21">
        <v>8.9</v>
      </c>
      <c r="E49" s="3">
        <f t="shared" si="2"/>
        <v>5.8504940742047734E-2</v>
      </c>
      <c r="F49" s="4">
        <f t="shared" si="1"/>
        <v>736.96750395568893</v>
      </c>
    </row>
    <row r="50" spans="1:6">
      <c r="A50" s="7">
        <v>42977</v>
      </c>
      <c r="B50" s="1">
        <v>0.41666666666666669</v>
      </c>
      <c r="C50" s="26">
        <v>8586.4</v>
      </c>
      <c r="D50" s="21">
        <v>9.5</v>
      </c>
      <c r="E50" s="3">
        <f t="shared" si="2"/>
        <v>6.1411750618296651E-2</v>
      </c>
      <c r="F50" s="4">
        <f t="shared" si="1"/>
        <v>737.26399856306625</v>
      </c>
    </row>
    <row r="51" spans="1:6">
      <c r="A51" s="7">
        <v>42988</v>
      </c>
      <c r="B51" s="1">
        <v>0.41666666666666669</v>
      </c>
      <c r="C51" s="26">
        <v>8582.9</v>
      </c>
      <c r="D51" s="21">
        <v>8.8000000000000007</v>
      </c>
      <c r="E51" s="3">
        <f t="shared" si="2"/>
        <v>5.9798070000315048E-2</v>
      </c>
      <c r="F51" s="4">
        <f t="shared" si="1"/>
        <v>737.09940314003211</v>
      </c>
    </row>
    <row r="52" spans="1:6">
      <c r="A52" s="7">
        <v>42998</v>
      </c>
      <c r="B52" s="1">
        <v>0.41666666666666669</v>
      </c>
      <c r="C52" s="26">
        <v>8587.4</v>
      </c>
      <c r="D52" s="21">
        <v>8.6</v>
      </c>
      <c r="E52" s="3">
        <f t="shared" si="2"/>
        <v>5.8373787094584365E-2</v>
      </c>
      <c r="F52" s="4">
        <f t="shared" si="1"/>
        <v>736.95412628364761</v>
      </c>
    </row>
    <row r="53" spans="1:6">
      <c r="A53" s="7">
        <v>43008</v>
      </c>
      <c r="B53" s="1">
        <v>0.41666666666666669</v>
      </c>
      <c r="C53" s="26">
        <v>8586.1</v>
      </c>
      <c r="D53" s="21">
        <v>8.5</v>
      </c>
      <c r="E53" s="3">
        <f t="shared" si="2"/>
        <v>5.8283367480243528E-2</v>
      </c>
      <c r="F53" s="4">
        <f t="shared" si="1"/>
        <v>736.94490348298484</v>
      </c>
    </row>
    <row r="54" spans="1:6">
      <c r="A54" s="7">
        <v>43018</v>
      </c>
      <c r="B54" s="1">
        <v>0.41666666666666669</v>
      </c>
      <c r="C54" s="26">
        <v>8584.2000000000007</v>
      </c>
      <c r="D54" s="21">
        <v>8.4</v>
      </c>
      <c r="E54" s="3">
        <f t="shared" si="2"/>
        <v>5.8298027798218577E-2</v>
      </c>
      <c r="F54" s="4">
        <f t="shared" si="1"/>
        <v>736.94639883541834</v>
      </c>
    </row>
    <row r="55" spans="1:6">
      <c r="A55" s="7">
        <v>43230</v>
      </c>
      <c r="B55" s="1">
        <v>0.41666666666666669</v>
      </c>
      <c r="C55" s="26">
        <v>8581.2999999999993</v>
      </c>
      <c r="D55" s="21">
        <v>8.1</v>
      </c>
      <c r="E55" s="3">
        <f t="shared" si="2"/>
        <v>5.7851637002446388E-2</v>
      </c>
      <c r="F55" s="4">
        <f t="shared" si="1"/>
        <v>736.90086697424954</v>
      </c>
    </row>
    <row r="56" spans="1:6">
      <c r="A56" s="7">
        <v>43240</v>
      </c>
      <c r="B56" s="1">
        <v>0.41666666666666669</v>
      </c>
      <c r="C56" s="26">
        <v>8583.7000000000007</v>
      </c>
      <c r="D56" s="21">
        <v>8.1</v>
      </c>
      <c r="E56" s="3">
        <f>($B$2*C56^2+$B$3*C56+$B$4)-$B$5*D56-$E$7</f>
        <v>5.7431317422272865E-2</v>
      </c>
      <c r="F56" s="4">
        <f t="shared" si="1"/>
        <v>736.8579943770718</v>
      </c>
    </row>
    <row r="57" spans="1:6">
      <c r="A57" s="7">
        <v>43250</v>
      </c>
      <c r="B57" s="1">
        <v>0.41666666666666669</v>
      </c>
      <c r="C57" s="26">
        <v>8580.5</v>
      </c>
      <c r="D57" s="21">
        <v>8.1</v>
      </c>
      <c r="E57" s="3">
        <f>($B$2*C57^2+$B$3*C57+$B$4)-$B$5*D57-$E$7</f>
        <v>5.7991743626535974E-2</v>
      </c>
      <c r="F57" s="4">
        <f t="shared" si="1"/>
        <v>736.91515784990668</v>
      </c>
    </row>
    <row r="58" spans="1:6">
      <c r="A58" s="7">
        <v>43261</v>
      </c>
      <c r="B58" s="1">
        <v>0.41666666666666669</v>
      </c>
      <c r="C58" s="26">
        <v>8575.6</v>
      </c>
      <c r="D58" s="21">
        <v>8</v>
      </c>
      <c r="E58" s="3">
        <f>($B$2*C58^2+$B$3*C58+$B$4)-$B$5*D58-$E$7</f>
        <v>5.8531805461355127E-2</v>
      </c>
      <c r="F58" s="4">
        <f t="shared" si="1"/>
        <v>736.97024415705823</v>
      </c>
    </row>
    <row r="59" spans="1:6">
      <c r="A59" s="7">
        <v>43271</v>
      </c>
      <c r="B59" s="1">
        <v>0.41666666666666669</v>
      </c>
      <c r="C59" s="26">
        <v>8517.1</v>
      </c>
      <c r="D59" s="21">
        <v>8.1</v>
      </c>
      <c r="E59" s="3">
        <f>($B$2*C59^2+$B$3*C59+$B$4)-$B$5*D59-$E$7</f>
        <v>6.9095348391820799E-2</v>
      </c>
      <c r="F59" s="4">
        <f t="shared" si="1"/>
        <v>738.0477255359657</v>
      </c>
    </row>
    <row r="60" spans="1:6">
      <c r="A60" s="7">
        <v>43281</v>
      </c>
      <c r="B60" s="1">
        <v>0.41666666666666669</v>
      </c>
      <c r="C60" s="26">
        <v>8524.7000000000007</v>
      </c>
      <c r="D60" s="21">
        <v>7.9</v>
      </c>
      <c r="E60" s="3">
        <f>($B$2*C60^2+$B$3*C60+$B$4)-$B$5*D60-$E$7</f>
        <v>6.71281161765995E-2</v>
      </c>
      <c r="F60" s="4">
        <f t="shared" si="1"/>
        <v>737.8470678500131</v>
      </c>
    </row>
    <row r="61" spans="1:6">
      <c r="A61" s="7">
        <v>43291</v>
      </c>
      <c r="B61" s="1">
        <v>0.41666666666666669</v>
      </c>
      <c r="C61" s="26">
        <v>8544.5</v>
      </c>
      <c r="D61" s="21">
        <v>8.6999999999999993</v>
      </c>
      <c r="E61" s="3">
        <f t="shared" ref="E61:E64" si="3">($B$2*C61^2+$B$3*C61+$B$4)-$B$5*D61-$E$7</f>
        <v>6.6205145897085871E-2</v>
      </c>
      <c r="F61" s="4">
        <f t="shared" si="1"/>
        <v>737.75292488150274</v>
      </c>
    </row>
    <row r="62" spans="1:6">
      <c r="A62" s="7">
        <v>43301</v>
      </c>
      <c r="B62" s="1">
        <v>0.41666666666666669</v>
      </c>
      <c r="C62" s="26">
        <v>8548.2999999999993</v>
      </c>
      <c r="D62" s="21">
        <v>8.1</v>
      </c>
      <c r="E62" s="3">
        <f t="shared" si="3"/>
        <v>6.3631075660328829E-2</v>
      </c>
      <c r="F62" s="4">
        <f t="shared" si="1"/>
        <v>737.49036971735359</v>
      </c>
    </row>
    <row r="63" spans="1:6">
      <c r="A63" s="7">
        <v>43311</v>
      </c>
      <c r="B63" s="1">
        <v>0.41666666666666669</v>
      </c>
      <c r="C63" s="26">
        <v>8544.5</v>
      </c>
      <c r="D63" s="21">
        <v>7.8</v>
      </c>
      <c r="E63" s="3">
        <f t="shared" si="3"/>
        <v>6.3342315197085872E-2</v>
      </c>
      <c r="F63" s="4">
        <f t="shared" si="1"/>
        <v>737.46091615010278</v>
      </c>
    </row>
    <row r="64" spans="1:6">
      <c r="A64" s="7">
        <v>43322</v>
      </c>
      <c r="B64" s="1">
        <v>0.41666666666666669</v>
      </c>
      <c r="C64" s="26">
        <v>8526.2999999999993</v>
      </c>
      <c r="D64" s="21">
        <v>7.9</v>
      </c>
      <c r="E64" s="3">
        <f t="shared" si="3"/>
        <v>6.6847896185876915E-2</v>
      </c>
      <c r="F64" s="4">
        <f t="shared" si="1"/>
        <v>737.8184854109594</v>
      </c>
    </row>
    <row r="65" spans="1:6">
      <c r="A65" s="7">
        <v>43332</v>
      </c>
      <c r="B65" s="1">
        <v>0.41666666666666669</v>
      </c>
      <c r="C65" s="26">
        <v>8535.5</v>
      </c>
      <c r="D65" s="21">
        <v>7.4</v>
      </c>
      <c r="E65" s="3">
        <f t="shared" ref="E65:E82" si="4">($B$2*C65^2+$B$3*C65+$B$4)-$B$5*D65-$E$7</f>
        <v>6.3646173518210059E-2</v>
      </c>
      <c r="F65" s="4">
        <f t="shared" ref="F65:F82" si="5">$D$1+102*E65</f>
        <v>737.4919096988574</v>
      </c>
    </row>
    <row r="66" spans="1:6">
      <c r="A66" s="7">
        <v>43342</v>
      </c>
      <c r="B66" s="1">
        <v>0.41666666666666669</v>
      </c>
      <c r="C66" s="26">
        <v>8527.2000000000007</v>
      </c>
      <c r="D66" s="21">
        <v>7.4</v>
      </c>
      <c r="E66" s="3">
        <f t="shared" si="4"/>
        <v>6.5099811026670229E-2</v>
      </c>
      <c r="F66" s="4">
        <f t="shared" si="5"/>
        <v>737.64018072472038</v>
      </c>
    </row>
    <row r="67" spans="1:6">
      <c r="A67" s="7">
        <v>43353</v>
      </c>
      <c r="B67" s="1">
        <v>0.41666666666666669</v>
      </c>
      <c r="C67" s="26">
        <v>8523</v>
      </c>
      <c r="D67" s="21">
        <v>7.6</v>
      </c>
      <c r="E67" s="3">
        <f t="shared" si="4"/>
        <v>6.6471573230109465E-2</v>
      </c>
      <c r="F67" s="4">
        <f t="shared" si="5"/>
        <v>737.78010046947111</v>
      </c>
    </row>
    <row r="68" spans="1:6">
      <c r="A68" s="7">
        <v>43363</v>
      </c>
      <c r="B68" s="1">
        <v>0.41666666666666669</v>
      </c>
      <c r="C68" s="26">
        <v>8506.5</v>
      </c>
      <c r="D68" s="21">
        <v>7.5</v>
      </c>
      <c r="E68" s="3">
        <f t="shared" si="4"/>
        <v>6.9043263076750377E-2</v>
      </c>
      <c r="F68" s="4">
        <f t="shared" si="5"/>
        <v>738.04241283382851</v>
      </c>
    </row>
    <row r="69" spans="1:6">
      <c r="A69" s="7">
        <v>43373</v>
      </c>
      <c r="B69" s="1">
        <v>0.41666666666666669</v>
      </c>
      <c r="C69" s="26">
        <v>8520.4</v>
      </c>
      <c r="D69" s="21">
        <v>7.4</v>
      </c>
      <c r="E69" s="3">
        <f t="shared" si="4"/>
        <v>6.6290746866571826E-2</v>
      </c>
      <c r="F69" s="4">
        <f t="shared" si="5"/>
        <v>737.76165618039033</v>
      </c>
    </row>
    <row r="70" spans="1:6">
      <c r="A70" s="7">
        <v>43383</v>
      </c>
      <c r="B70" s="1">
        <v>0.41666666666666669</v>
      </c>
      <c r="C70" s="26">
        <v>8523.4</v>
      </c>
      <c r="D70" s="21">
        <v>7.4</v>
      </c>
      <c r="E70" s="3">
        <f t="shared" si="4"/>
        <v>6.5765333562447459E-2</v>
      </c>
      <c r="F70" s="4">
        <f t="shared" si="5"/>
        <v>737.70806402336962</v>
      </c>
    </row>
    <row r="71" spans="1:6">
      <c r="A71" s="7">
        <v>43393</v>
      </c>
      <c r="B71" s="1">
        <v>0.41666666666666669</v>
      </c>
      <c r="C71" s="26">
        <v>8524.2999999999993</v>
      </c>
      <c r="D71" s="21">
        <v>7.3</v>
      </c>
      <c r="E71" s="3">
        <f t="shared" si="4"/>
        <v>6.5289617404706929E-2</v>
      </c>
      <c r="F71" s="4">
        <f t="shared" si="5"/>
        <v>737.65954097528015</v>
      </c>
    </row>
    <row r="72" spans="1:6">
      <c r="A72" s="7">
        <v>43605</v>
      </c>
      <c r="B72" s="9">
        <v>0.41666666666666669</v>
      </c>
      <c r="C72" s="26">
        <v>8532.4</v>
      </c>
      <c r="D72" s="21">
        <v>6.8</v>
      </c>
      <c r="E72" s="3">
        <f t="shared" si="4"/>
        <v>6.2280543957670839E-2</v>
      </c>
      <c r="F72" s="4">
        <f t="shared" si="5"/>
        <v>737.35261548368237</v>
      </c>
    </row>
    <row r="73" spans="1:6">
      <c r="A73" s="7">
        <v>43615</v>
      </c>
      <c r="B73" s="9">
        <v>0.41666666666666669</v>
      </c>
      <c r="C73" s="26">
        <v>8535.7000000000007</v>
      </c>
      <c r="D73" s="21">
        <v>6.8</v>
      </c>
      <c r="E73" s="3">
        <f t="shared" si="4"/>
        <v>6.1702592373023932E-2</v>
      </c>
      <c r="F73" s="4">
        <f t="shared" si="5"/>
        <v>737.29366442204844</v>
      </c>
    </row>
    <row r="74" spans="1:6">
      <c r="A74" s="7">
        <v>43626</v>
      </c>
      <c r="B74" s="9">
        <v>0.41666666666666669</v>
      </c>
      <c r="C74" s="26">
        <v>8536.2999999999993</v>
      </c>
      <c r="D74" s="21">
        <v>7.2</v>
      </c>
      <c r="E74" s="3">
        <f t="shared" si="4"/>
        <v>6.2869879555722957E-2</v>
      </c>
      <c r="F74" s="4">
        <f t="shared" si="5"/>
        <v>737.4127277146838</v>
      </c>
    </row>
    <row r="75" spans="1:6">
      <c r="A75" s="7">
        <v>43636</v>
      </c>
      <c r="B75" s="9">
        <v>0.41666666666666669</v>
      </c>
      <c r="C75" s="26">
        <v>8537.4</v>
      </c>
      <c r="D75" s="21">
        <v>7.4</v>
      </c>
      <c r="E75" s="3">
        <f t="shared" si="4"/>
        <v>6.3313413861792511E-2</v>
      </c>
      <c r="F75" s="4">
        <f t="shared" si="5"/>
        <v>737.45796821390286</v>
      </c>
    </row>
    <row r="76" spans="1:6">
      <c r="A76" s="7">
        <v>43646</v>
      </c>
      <c r="B76" s="9">
        <v>0.41666666666666669</v>
      </c>
      <c r="C76" s="26">
        <v>8530.5</v>
      </c>
      <c r="D76" s="21">
        <v>7.2</v>
      </c>
      <c r="E76" s="3">
        <f t="shared" si="4"/>
        <v>6.3885673536720783E-2</v>
      </c>
      <c r="F76" s="4">
        <f t="shared" si="5"/>
        <v>737.51633870074556</v>
      </c>
    </row>
    <row r="77" spans="1:6">
      <c r="A77" s="7">
        <v>43656</v>
      </c>
      <c r="B77" s="9">
        <v>0.41666666666666669</v>
      </c>
      <c r="C77" s="26">
        <v>8525.6</v>
      </c>
      <c r="D77" s="21">
        <v>7</v>
      </c>
      <c r="E77" s="3">
        <f t="shared" si="4"/>
        <v>6.4107661707856894E-2</v>
      </c>
      <c r="F77" s="4">
        <f t="shared" si="5"/>
        <v>737.53898149420138</v>
      </c>
    </row>
    <row r="78" spans="1:6">
      <c r="A78" s="7">
        <v>43666</v>
      </c>
      <c r="B78" s="9">
        <v>0.41666666666666669</v>
      </c>
      <c r="C78" s="26">
        <v>8522.1</v>
      </c>
      <c r="D78" s="21">
        <v>6.8</v>
      </c>
      <c r="E78" s="3">
        <f t="shared" si="4"/>
        <v>6.4084458776847708E-2</v>
      </c>
      <c r="F78" s="4">
        <f t="shared" si="5"/>
        <v>737.53661479523851</v>
      </c>
    </row>
    <row r="79" spans="1:6">
      <c r="A79" s="7">
        <v>43676</v>
      </c>
      <c r="B79" s="9">
        <v>0.41666666666666669</v>
      </c>
      <c r="C79" s="26">
        <v>8518.2999999999993</v>
      </c>
      <c r="D79" s="21">
        <v>6.6</v>
      </c>
      <c r="E79" s="3">
        <f t="shared" si="4"/>
        <v>6.4113798186795495E-2</v>
      </c>
      <c r="F79" s="4">
        <f t="shared" si="5"/>
        <v>737.53960741505318</v>
      </c>
    </row>
    <row r="80" spans="1:6">
      <c r="A80" s="7">
        <v>43687</v>
      </c>
      <c r="B80" s="9">
        <v>0.33333333333333331</v>
      </c>
      <c r="C80" s="26">
        <v>8501.7000000000007</v>
      </c>
      <c r="D80" s="21">
        <v>6.6</v>
      </c>
      <c r="E80" s="3">
        <f t="shared" si="4"/>
        <v>6.7021100162479724E-2</v>
      </c>
      <c r="F80" s="4">
        <f t="shared" si="5"/>
        <v>737.83615221657294</v>
      </c>
    </row>
    <row r="81" spans="1:6">
      <c r="A81" s="7">
        <v>43697</v>
      </c>
      <c r="B81" s="1">
        <v>0.33333333333333331</v>
      </c>
      <c r="C81" s="26">
        <v>8481.2999999999993</v>
      </c>
      <c r="D81" s="21">
        <v>6.5</v>
      </c>
      <c r="E81" s="3">
        <f t="shared" si="4"/>
        <v>7.0275865503988316E-2</v>
      </c>
      <c r="F81" s="4">
        <f t="shared" si="5"/>
        <v>738.16813828140675</v>
      </c>
    </row>
    <row r="82" spans="1:6">
      <c r="A82" s="7">
        <v>43707</v>
      </c>
      <c r="B82" s="9">
        <v>0.33333333333333331</v>
      </c>
      <c r="C82" s="26">
        <v>8468</v>
      </c>
      <c r="D82" s="21">
        <v>6.5</v>
      </c>
      <c r="E82" s="3">
        <f t="shared" si="4"/>
        <v>7.2605245621092801E-2</v>
      </c>
      <c r="F82" s="4">
        <f t="shared" si="5"/>
        <v>738.40573505335146</v>
      </c>
    </row>
  </sheetData>
  <phoneticPr fontId="4" type="noConversion"/>
  <pageMargins left="0.69930555555555596" right="0.69930555555555596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2"/>
  <sheetViews>
    <sheetView topLeftCell="A71" workbookViewId="0">
      <selection activeCell="A77" sqref="A77:A82"/>
    </sheetView>
  </sheetViews>
  <sheetFormatPr defaultColWidth="9" defaultRowHeight="13.5"/>
  <cols>
    <col min="1" max="1" width="11.625" customWidth="1"/>
    <col min="2" max="2" width="13.875" customWidth="1"/>
    <col min="5" max="5" width="10.125" customWidth="1"/>
    <col min="6" max="6" width="10" customWidth="1"/>
    <col min="7" max="7" width="11" customWidth="1"/>
  </cols>
  <sheetData>
    <row r="1" spans="1:7">
      <c r="A1" t="s">
        <v>0</v>
      </c>
      <c r="B1">
        <v>11219</v>
      </c>
      <c r="C1" t="s">
        <v>1</v>
      </c>
      <c r="D1">
        <v>725.5</v>
      </c>
    </row>
    <row r="2" spans="1:7">
      <c r="A2" t="s">
        <v>2</v>
      </c>
      <c r="B2">
        <f>1.10889*10^-10</f>
        <v>1.10889E-10</v>
      </c>
    </row>
    <row r="3" spans="1:7">
      <c r="A3" t="s">
        <v>3</v>
      </c>
      <c r="B3">
        <v>-1.77818E-4</v>
      </c>
    </row>
    <row r="4" spans="1:7">
      <c r="A4" t="s">
        <v>4</v>
      </c>
      <c r="B4">
        <v>1.59557159</v>
      </c>
    </row>
    <row r="5" spans="1:7">
      <c r="A5" t="s">
        <v>5</v>
      </c>
      <c r="B5">
        <v>-3.1878729999999999E-3</v>
      </c>
    </row>
    <row r="6" spans="1:7">
      <c r="A6" t="s">
        <v>6</v>
      </c>
      <c r="B6" t="s">
        <v>7</v>
      </c>
      <c r="C6" t="s">
        <v>8</v>
      </c>
      <c r="D6" t="s">
        <v>9</v>
      </c>
      <c r="E6" t="s">
        <v>10</v>
      </c>
      <c r="F6" t="s">
        <v>11</v>
      </c>
      <c r="G6" t="s">
        <v>12</v>
      </c>
    </row>
    <row r="7" spans="1:7">
      <c r="A7" s="7">
        <v>42230</v>
      </c>
      <c r="B7" s="1">
        <v>0.58333333333333304</v>
      </c>
      <c r="C7" s="2">
        <v>9037.1</v>
      </c>
      <c r="D7" s="2">
        <v>21.4</v>
      </c>
      <c r="E7" s="3">
        <f>($B$2*C7^2+$B$3*C7+$B$4)-$B$5*D7</f>
        <v>6.5889237702928427E-2</v>
      </c>
      <c r="G7" t="s">
        <v>13</v>
      </c>
    </row>
    <row r="8" spans="1:7">
      <c r="A8" s="7">
        <v>42230</v>
      </c>
      <c r="B8" s="1">
        <v>0.875</v>
      </c>
      <c r="C8" s="2">
        <v>9044.6</v>
      </c>
      <c r="D8" s="2">
        <v>21.7</v>
      </c>
      <c r="E8" s="3">
        <f>($B$2*C8^2+$B$3*C8+$B$4)-$B$5*D8-$E$7</f>
        <v>-3.6223513776537097E-4</v>
      </c>
      <c r="F8" s="4">
        <f>$D$1+102*E8</f>
        <v>725.46305201594794</v>
      </c>
      <c r="G8" t="s">
        <v>17</v>
      </c>
    </row>
    <row r="9" spans="1:7">
      <c r="A9" s="7">
        <v>42231</v>
      </c>
      <c r="B9" s="1">
        <v>0.41666666666666702</v>
      </c>
      <c r="C9" s="2">
        <v>8358.6</v>
      </c>
      <c r="D9" s="2">
        <v>24.1</v>
      </c>
      <c r="E9" s="3">
        <f t="shared" ref="E9:E29" si="0">($B$2*C9^2+$B$3*C9+$B$4)-$B$5*D9-$E$7</f>
        <v>0.12794794917910204</v>
      </c>
      <c r="F9" s="4">
        <f t="shared" ref="F9:F64" si="1">$D$1+102*E9</f>
        <v>738.55069081626846</v>
      </c>
      <c r="G9" t="s">
        <v>25</v>
      </c>
    </row>
    <row r="10" spans="1:7">
      <c r="A10" s="7">
        <v>42232</v>
      </c>
      <c r="B10" s="1">
        <v>0.41666666666666702</v>
      </c>
      <c r="C10" s="2">
        <v>8386</v>
      </c>
      <c r="D10" s="2">
        <v>24.7</v>
      </c>
      <c r="E10" s="3">
        <f t="shared" si="0"/>
        <v>0.12503933587851551</v>
      </c>
      <c r="F10" s="4">
        <f t="shared" si="1"/>
        <v>738.25401225960854</v>
      </c>
    </row>
    <row r="11" spans="1:7">
      <c r="A11" s="7">
        <v>42233</v>
      </c>
      <c r="B11" s="1">
        <v>0.41666666666666702</v>
      </c>
      <c r="C11" s="2">
        <v>8352</v>
      </c>
      <c r="D11" s="2">
        <v>23.5</v>
      </c>
      <c r="E11" s="3">
        <f t="shared" si="0"/>
        <v>0.12719659423572749</v>
      </c>
      <c r="F11" s="4">
        <f t="shared" si="1"/>
        <v>738.47405261204426</v>
      </c>
    </row>
    <row r="12" spans="1:7">
      <c r="A12" s="7">
        <v>42234</v>
      </c>
      <c r="B12" s="1">
        <v>0.41666666666666702</v>
      </c>
      <c r="C12" s="2">
        <v>8326.7999999999993</v>
      </c>
      <c r="D12" s="2">
        <v>22.8</v>
      </c>
      <c r="E12" s="3">
        <f t="shared" si="0"/>
        <v>0.12939948945030705</v>
      </c>
      <c r="F12" s="4">
        <f t="shared" si="1"/>
        <v>738.69874792393136</v>
      </c>
    </row>
    <row r="13" spans="1:7">
      <c r="A13" s="7">
        <v>42235</v>
      </c>
      <c r="B13" s="1">
        <v>0.41666666666666702</v>
      </c>
      <c r="C13" s="2">
        <v>8303</v>
      </c>
      <c r="D13" s="2">
        <v>21.7</v>
      </c>
      <c r="E13" s="3">
        <f t="shared" si="0"/>
        <v>0.13008100887727267</v>
      </c>
      <c r="F13" s="4">
        <f t="shared" si="1"/>
        <v>738.76826290548183</v>
      </c>
    </row>
    <row r="14" spans="1:7">
      <c r="A14" s="7">
        <v>42236</v>
      </c>
      <c r="B14" s="1">
        <v>0.41666666666666702</v>
      </c>
      <c r="C14" s="2">
        <v>8281.6</v>
      </c>
      <c r="D14" s="2">
        <v>20.6</v>
      </c>
      <c r="E14" s="3">
        <f t="shared" si="0"/>
        <v>0.13034029811349146</v>
      </c>
      <c r="F14" s="4">
        <f t="shared" si="1"/>
        <v>738.79471040757608</v>
      </c>
    </row>
    <row r="15" spans="1:7">
      <c r="A15" s="7">
        <v>42237</v>
      </c>
      <c r="B15" s="1">
        <v>0.41666666666666702</v>
      </c>
      <c r="C15" s="2">
        <v>8265.1</v>
      </c>
      <c r="D15" s="2">
        <v>19.8</v>
      </c>
      <c r="E15" s="3">
        <f t="shared" si="0"/>
        <v>0.13069372173772242</v>
      </c>
      <c r="F15" s="4">
        <f t="shared" si="1"/>
        <v>738.83075961724774</v>
      </c>
    </row>
    <row r="16" spans="1:7">
      <c r="A16" s="7">
        <v>42238</v>
      </c>
      <c r="B16" s="1">
        <v>0.41666666666666702</v>
      </c>
      <c r="C16" s="2">
        <v>8252.2000000000007</v>
      </c>
      <c r="D16" s="2">
        <v>19.100000000000001</v>
      </c>
      <c r="E16" s="3">
        <f t="shared" si="0"/>
        <v>0.13073243536697426</v>
      </c>
      <c r="F16" s="4">
        <f t="shared" si="1"/>
        <v>738.83470840743132</v>
      </c>
    </row>
    <row r="17" spans="1:6">
      <c r="A17" s="7">
        <v>42245</v>
      </c>
      <c r="B17" s="1">
        <v>0.41666666666666702</v>
      </c>
      <c r="C17" s="2">
        <v>8200.6</v>
      </c>
      <c r="D17" s="2">
        <v>15.3</v>
      </c>
      <c r="E17" s="3">
        <f t="shared" si="0"/>
        <v>0.12769978594475168</v>
      </c>
      <c r="F17" s="4">
        <f t="shared" si="1"/>
        <v>738.5253781663647</v>
      </c>
    </row>
    <row r="18" spans="1:6">
      <c r="A18" s="7">
        <v>42252</v>
      </c>
      <c r="B18" s="1">
        <v>0.41666666666666602</v>
      </c>
      <c r="C18" s="2">
        <v>8187.7</v>
      </c>
      <c r="D18" s="2">
        <v>13.3</v>
      </c>
      <c r="E18" s="3">
        <f t="shared" si="0"/>
        <v>0.12359444920438853</v>
      </c>
      <c r="F18" s="4">
        <f t="shared" si="1"/>
        <v>738.10663381884763</v>
      </c>
    </row>
    <row r="19" spans="1:6">
      <c r="A19" s="7">
        <v>42259</v>
      </c>
      <c r="B19" s="1">
        <v>0.41666666666666602</v>
      </c>
      <c r="C19" s="2">
        <v>8166.8</v>
      </c>
      <c r="D19" s="2">
        <v>11.9</v>
      </c>
      <c r="E19" s="3">
        <f t="shared" si="0"/>
        <v>0.12280992034064289</v>
      </c>
      <c r="F19" s="4">
        <f t="shared" si="1"/>
        <v>738.02661187474553</v>
      </c>
    </row>
    <row r="20" spans="1:6">
      <c r="A20" s="7">
        <v>42266</v>
      </c>
      <c r="B20" s="1">
        <v>0.41666666666666602</v>
      </c>
      <c r="C20" s="2">
        <v>8158.6</v>
      </c>
      <c r="D20" s="2">
        <v>11</v>
      </c>
      <c r="E20" s="3">
        <f t="shared" si="0"/>
        <v>0.12138409772094208</v>
      </c>
      <c r="F20" s="4">
        <f t="shared" si="1"/>
        <v>737.88117796753613</v>
      </c>
    </row>
    <row r="21" spans="1:6">
      <c r="A21" s="7">
        <v>42273</v>
      </c>
      <c r="B21" s="1">
        <v>0.41666666666666502</v>
      </c>
      <c r="C21" s="2">
        <v>8147.4</v>
      </c>
      <c r="D21" s="2">
        <v>10.3</v>
      </c>
      <c r="E21" s="3">
        <f t="shared" si="0"/>
        <v>0.12112389687336134</v>
      </c>
      <c r="F21" s="4">
        <f t="shared" si="1"/>
        <v>737.85463748108282</v>
      </c>
    </row>
    <row r="22" spans="1:6">
      <c r="A22" s="7">
        <v>42280</v>
      </c>
      <c r="B22" s="1">
        <v>0.41666666666666502</v>
      </c>
      <c r="C22" s="2">
        <v>8137.2</v>
      </c>
      <c r="D22" s="2">
        <v>9.6999999999999993</v>
      </c>
      <c r="E22" s="3">
        <f t="shared" si="0"/>
        <v>0.12100649768666533</v>
      </c>
      <c r="F22" s="4">
        <f t="shared" si="1"/>
        <v>737.84266276403991</v>
      </c>
    </row>
    <row r="23" spans="1:6">
      <c r="A23" s="7">
        <v>42287</v>
      </c>
      <c r="B23" s="1">
        <v>0.41666666666666502</v>
      </c>
      <c r="C23" s="2">
        <v>8130</v>
      </c>
      <c r="D23" s="2">
        <v>9.6999999999999993</v>
      </c>
      <c r="E23" s="3">
        <f t="shared" si="0"/>
        <v>0.12227379954117173</v>
      </c>
      <c r="F23" s="4">
        <f t="shared" si="1"/>
        <v>737.97192755319952</v>
      </c>
    </row>
    <row r="24" spans="1:6">
      <c r="A24" s="7">
        <v>42294</v>
      </c>
      <c r="B24" s="1">
        <v>0.41666666666666702</v>
      </c>
      <c r="C24" s="2">
        <v>8118.2</v>
      </c>
      <c r="D24" s="2">
        <v>9</v>
      </c>
      <c r="E24" s="3">
        <f t="shared" si="0"/>
        <v>0.12211928023070401</v>
      </c>
      <c r="F24" s="4">
        <f t="shared" si="1"/>
        <v>737.95616658353185</v>
      </c>
    </row>
    <row r="25" spans="1:6">
      <c r="A25" s="7">
        <v>42297</v>
      </c>
      <c r="B25" s="1">
        <v>0.41666666666666702</v>
      </c>
      <c r="C25" s="2">
        <v>8118.3</v>
      </c>
      <c r="D25" s="2">
        <v>8.9</v>
      </c>
      <c r="E25" s="3">
        <f t="shared" si="0"/>
        <v>0.12178289117562896</v>
      </c>
      <c r="F25" s="4">
        <f t="shared" si="1"/>
        <v>737.92185489991414</v>
      </c>
    </row>
    <row r="26" spans="1:6">
      <c r="A26" s="7">
        <v>42301</v>
      </c>
      <c r="B26" s="1">
        <v>0.41666666666666702</v>
      </c>
      <c r="C26" s="2">
        <v>8115.1</v>
      </c>
      <c r="D26" s="2">
        <v>8.6999999999999993</v>
      </c>
      <c r="E26" s="3">
        <f t="shared" si="0"/>
        <v>0.12170857383805242</v>
      </c>
      <c r="F26" s="4">
        <f t="shared" si="1"/>
        <v>737.9142745314814</v>
      </c>
    </row>
    <row r="27" spans="1:6">
      <c r="A27" s="7">
        <v>42521</v>
      </c>
      <c r="B27" s="1">
        <v>0.41666666666666702</v>
      </c>
      <c r="C27" s="2">
        <v>8166.2</v>
      </c>
      <c r="D27" s="2">
        <v>6.6</v>
      </c>
      <c r="E27" s="3">
        <f t="shared" si="0"/>
        <v>0.10601979755062074</v>
      </c>
      <c r="F27" s="4">
        <f t="shared" si="1"/>
        <v>736.31401935016333</v>
      </c>
    </row>
    <row r="28" spans="1:6">
      <c r="A28" s="6">
        <v>42531</v>
      </c>
      <c r="B28" s="1">
        <v>0.41666666666666702</v>
      </c>
      <c r="C28" s="2">
        <v>8156</v>
      </c>
      <c r="D28" s="2">
        <v>6.5</v>
      </c>
      <c r="E28" s="3">
        <f t="shared" si="0"/>
        <v>0.10749629233577573</v>
      </c>
      <c r="F28" s="4">
        <f t="shared" si="1"/>
        <v>736.46462181824916</v>
      </c>
    </row>
    <row r="29" spans="1:6">
      <c r="A29" s="6">
        <v>42541</v>
      </c>
      <c r="B29" s="1">
        <v>0.41666666666666702</v>
      </c>
      <c r="C29" s="2">
        <v>8053.6</v>
      </c>
      <c r="D29" s="2">
        <v>6.4</v>
      </c>
      <c r="E29" s="3">
        <f t="shared" si="0"/>
        <v>0.12520200768313286</v>
      </c>
      <c r="F29" s="4">
        <f t="shared" si="1"/>
        <v>738.27060478367957</v>
      </c>
    </row>
    <row r="30" spans="1:6">
      <c r="A30" s="19">
        <v>42551</v>
      </c>
      <c r="B30" s="20">
        <v>0.41666666666666702</v>
      </c>
      <c r="C30">
        <v>8097.7</v>
      </c>
      <c r="D30">
        <v>6.7</v>
      </c>
      <c r="E30" s="3">
        <f>($B$2*C30^2+$B$3*C30+$B$4)-$B$5*D30-$E$7</f>
        <v>0.11839557894953442</v>
      </c>
      <c r="F30" s="4">
        <f t="shared" si="1"/>
        <v>737.57634905285249</v>
      </c>
    </row>
    <row r="31" spans="1:6">
      <c r="A31" s="7">
        <v>42561</v>
      </c>
      <c r="B31" s="9">
        <v>0.41666666666666702</v>
      </c>
      <c r="C31">
        <v>8123</v>
      </c>
      <c r="D31">
        <v>6.3</v>
      </c>
      <c r="E31" s="3">
        <f>($B$2*C31^2+$B$3*C31+$B$4)-$B$5*D31-$E$7</f>
        <v>0.1126671413887527</v>
      </c>
      <c r="F31" s="4">
        <f t="shared" si="1"/>
        <v>736.99204842165273</v>
      </c>
    </row>
    <row r="32" spans="1:6">
      <c r="A32" s="19">
        <v>42571</v>
      </c>
      <c r="B32" s="20">
        <v>0.41666666666666702</v>
      </c>
      <c r="C32" s="2">
        <v>8108.5</v>
      </c>
      <c r="D32" s="2">
        <v>6.2</v>
      </c>
      <c r="E32" s="3">
        <f>($B$2*C32^2+$B$3*C32+$B$4)-$B$5*D32-$E$7</f>
        <v>0.11490061661410206</v>
      </c>
      <c r="F32" s="4">
        <f t="shared" si="1"/>
        <v>737.21986289463837</v>
      </c>
    </row>
    <row r="33" spans="1:6">
      <c r="A33" s="7">
        <v>42581</v>
      </c>
      <c r="B33" s="9">
        <v>0.41666666666666702</v>
      </c>
      <c r="C33" s="2">
        <v>8099.3</v>
      </c>
      <c r="D33" s="2">
        <v>6.1</v>
      </c>
      <c r="E33" s="3">
        <f>($B$2*C33^2+$B$3*C33+$B$4)-$B$5*D33-$E$7</f>
        <v>0.11620122006014716</v>
      </c>
      <c r="F33" s="4">
        <f t="shared" si="1"/>
        <v>737.35252444613502</v>
      </c>
    </row>
    <row r="34" spans="1:6">
      <c r="A34" s="7">
        <v>42592</v>
      </c>
      <c r="B34" s="1">
        <v>0.41666666666666702</v>
      </c>
      <c r="C34">
        <v>8094.4</v>
      </c>
      <c r="D34">
        <v>6.1</v>
      </c>
      <c r="E34" s="3">
        <f t="shared" ref="E34:E55" si="2">($B$2*C34^2+$B$3*C34+$B$4)-$B$5*D34-$E$7</f>
        <v>0.1170637293144709</v>
      </c>
      <c r="F34" s="4">
        <f t="shared" si="1"/>
        <v>737.44050039007607</v>
      </c>
    </row>
    <row r="35" spans="1:6">
      <c r="A35" s="7">
        <v>42602</v>
      </c>
      <c r="B35" s="1">
        <v>0.41666666666666702</v>
      </c>
      <c r="C35">
        <v>8088.3</v>
      </c>
      <c r="D35">
        <v>6.1</v>
      </c>
      <c r="E35" s="3">
        <f t="shared" si="2"/>
        <v>0.11813747276560699</v>
      </c>
      <c r="F35" s="4">
        <f t="shared" si="1"/>
        <v>737.55002222209191</v>
      </c>
    </row>
    <row r="36" spans="1:6">
      <c r="A36" s="7">
        <v>42612</v>
      </c>
      <c r="B36" s="1">
        <v>0.41666666666666702</v>
      </c>
      <c r="C36">
        <v>8080.6</v>
      </c>
      <c r="D36">
        <v>6</v>
      </c>
      <c r="E36" s="3">
        <f t="shared" si="2"/>
        <v>0.11917407832633559</v>
      </c>
      <c r="F36" s="4">
        <f t="shared" si="1"/>
        <v>737.65575598928626</v>
      </c>
    </row>
    <row r="37" spans="1:6">
      <c r="A37" s="7">
        <v>42623</v>
      </c>
      <c r="B37" s="1">
        <v>0.41666666666666702</v>
      </c>
      <c r="C37">
        <v>8070.5</v>
      </c>
      <c r="D37">
        <v>5.9</v>
      </c>
      <c r="E37" s="3">
        <f t="shared" si="2"/>
        <v>0.12063316393512388</v>
      </c>
      <c r="F37" s="4">
        <f t="shared" si="1"/>
        <v>737.80458272138264</v>
      </c>
    </row>
    <row r="38" spans="1:6">
      <c r="A38" s="7">
        <v>42633</v>
      </c>
      <c r="B38" s="1">
        <v>0.41666666666666669</v>
      </c>
      <c r="C38">
        <v>8055.2</v>
      </c>
      <c r="D38">
        <v>5.8</v>
      </c>
      <c r="E38" s="3">
        <f t="shared" si="2"/>
        <v>0.12300763314509008</v>
      </c>
      <c r="F38" s="4">
        <f t="shared" si="1"/>
        <v>738.04677858079924</v>
      </c>
    </row>
    <row r="39" spans="1:6">
      <c r="A39" s="7">
        <v>42643</v>
      </c>
      <c r="B39" s="1">
        <v>0.41666666666666669</v>
      </c>
      <c r="C39">
        <v>8069.4</v>
      </c>
      <c r="D39">
        <v>5.8</v>
      </c>
      <c r="E39" s="3">
        <f t="shared" si="2"/>
        <v>0.12050800772401579</v>
      </c>
      <c r="F39" s="4">
        <f t="shared" si="1"/>
        <v>737.7918167878496</v>
      </c>
    </row>
    <row r="40" spans="1:6">
      <c r="A40" s="7">
        <v>42883</v>
      </c>
      <c r="B40" s="1">
        <v>0.41666666666666669</v>
      </c>
      <c r="C40">
        <v>8103</v>
      </c>
      <c r="D40">
        <v>6.6</v>
      </c>
      <c r="E40" s="3">
        <f t="shared" si="2"/>
        <v>0.11714387759047251</v>
      </c>
      <c r="F40" s="4">
        <f t="shared" si="1"/>
        <v>737.44867551422817</v>
      </c>
    </row>
    <row r="41" spans="1:6">
      <c r="A41" s="7">
        <v>42885</v>
      </c>
      <c r="B41" s="1">
        <v>0.41666666666666669</v>
      </c>
      <c r="C41">
        <v>8106.2</v>
      </c>
      <c r="D41">
        <v>6.6</v>
      </c>
      <c r="E41" s="3">
        <f t="shared" si="2"/>
        <v>0.11658061174080481</v>
      </c>
      <c r="F41" s="4">
        <f t="shared" si="1"/>
        <v>737.39122239756205</v>
      </c>
    </row>
    <row r="42" spans="1:6">
      <c r="A42" s="7">
        <v>42896</v>
      </c>
      <c r="B42" s="1">
        <v>0.41666666666666669</v>
      </c>
      <c r="C42">
        <v>8111.1</v>
      </c>
      <c r="D42">
        <v>6.7</v>
      </c>
      <c r="E42" s="3">
        <f t="shared" si="2"/>
        <v>0.11603690260968533</v>
      </c>
      <c r="F42" s="4">
        <f t="shared" si="1"/>
        <v>737.33576406618795</v>
      </c>
    </row>
    <row r="43" spans="1:6">
      <c r="A43" s="7">
        <v>42906</v>
      </c>
      <c r="B43" s="1">
        <v>0.41666666666666669</v>
      </c>
      <c r="C43">
        <v>8113.6</v>
      </c>
      <c r="D43">
        <v>6.7</v>
      </c>
      <c r="E43" s="3">
        <f t="shared" si="2"/>
        <v>0.1155968554615808</v>
      </c>
      <c r="F43" s="4">
        <f t="shared" si="1"/>
        <v>737.2908792570812</v>
      </c>
    </row>
    <row r="44" spans="1:6">
      <c r="A44" s="7">
        <v>42916</v>
      </c>
      <c r="B44" s="1">
        <v>0.41666666666666669</v>
      </c>
      <c r="C44">
        <v>8106.5</v>
      </c>
      <c r="D44">
        <v>6.8</v>
      </c>
      <c r="E44" s="3">
        <f t="shared" si="2"/>
        <v>0.11716538028383192</v>
      </c>
      <c r="F44" s="4">
        <f t="shared" si="1"/>
        <v>737.45086878895086</v>
      </c>
    </row>
    <row r="45" spans="1:6">
      <c r="A45" s="7">
        <v>42926</v>
      </c>
      <c r="B45" s="1">
        <v>0.41666666666666669</v>
      </c>
      <c r="C45">
        <v>8120.6</v>
      </c>
      <c r="D45">
        <v>6.8</v>
      </c>
      <c r="E45" s="3">
        <f t="shared" si="2"/>
        <v>0.11468351812100749</v>
      </c>
      <c r="F45" s="4">
        <f t="shared" si="1"/>
        <v>737.19771884834279</v>
      </c>
    </row>
    <row r="46" spans="1:6">
      <c r="A46" s="7">
        <v>42936</v>
      </c>
      <c r="B46" s="1">
        <v>0.41666666666666669</v>
      </c>
      <c r="C46">
        <v>8119.6</v>
      </c>
      <c r="D46">
        <v>6.2</v>
      </c>
      <c r="E46" s="3">
        <f t="shared" si="2"/>
        <v>0.11294681146146984</v>
      </c>
      <c r="F46" s="4">
        <f t="shared" si="1"/>
        <v>737.02057476906998</v>
      </c>
    </row>
    <row r="47" spans="1:6">
      <c r="A47" s="7">
        <v>42946</v>
      </c>
      <c r="B47" s="1">
        <v>0.41666666666666669</v>
      </c>
      <c r="C47">
        <v>8124.5</v>
      </c>
      <c r="D47">
        <v>6.9</v>
      </c>
      <c r="E47" s="3">
        <f t="shared" si="2"/>
        <v>0.11431584069229378</v>
      </c>
      <c r="F47" s="4">
        <f t="shared" si="1"/>
        <v>737.16021575061393</v>
      </c>
    </row>
    <row r="48" spans="1:6">
      <c r="A48" s="7">
        <v>42957</v>
      </c>
      <c r="B48" s="1">
        <v>0.41666666666666669</v>
      </c>
      <c r="C48">
        <v>8120.5</v>
      </c>
      <c r="D48">
        <v>6.9</v>
      </c>
      <c r="E48" s="3">
        <f t="shared" si="2"/>
        <v>0.11501990712507376</v>
      </c>
      <c r="F48" s="4">
        <f t="shared" si="1"/>
        <v>737.23203052675751</v>
      </c>
    </row>
    <row r="49" spans="1:6">
      <c r="A49" s="7">
        <v>42967</v>
      </c>
      <c r="B49" s="1">
        <v>0.41666666666666669</v>
      </c>
      <c r="C49">
        <v>8124.8</v>
      </c>
      <c r="D49">
        <v>7</v>
      </c>
      <c r="E49" s="3">
        <f t="shared" si="2"/>
        <v>0.11458182315288207</v>
      </c>
      <c r="F49" s="4">
        <f t="shared" si="1"/>
        <v>737.18734596159402</v>
      </c>
    </row>
    <row r="50" spans="1:6">
      <c r="A50" s="7">
        <v>42977</v>
      </c>
      <c r="B50" s="1">
        <v>0.41666666666666669</v>
      </c>
      <c r="C50">
        <v>8122.7</v>
      </c>
      <c r="D50">
        <v>8.1</v>
      </c>
      <c r="E50" s="3">
        <f t="shared" si="2"/>
        <v>0.11845811774792439</v>
      </c>
      <c r="F50" s="4">
        <f t="shared" si="1"/>
        <v>737.58272801028829</v>
      </c>
    </row>
    <row r="51" spans="1:6">
      <c r="A51" s="7">
        <v>42988</v>
      </c>
      <c r="B51" s="1">
        <v>0.41666666666666669</v>
      </c>
      <c r="C51">
        <v>8121.7</v>
      </c>
      <c r="D51">
        <v>7.3</v>
      </c>
      <c r="E51" s="3">
        <f t="shared" si="2"/>
        <v>0.11608383602265285</v>
      </c>
      <c r="F51" s="4">
        <f t="shared" si="1"/>
        <v>737.34055127431054</v>
      </c>
    </row>
    <row r="52" spans="1:6">
      <c r="A52" s="7">
        <v>42998</v>
      </c>
      <c r="B52" s="1">
        <v>0.41666666666666669</v>
      </c>
      <c r="C52">
        <v>8127.2</v>
      </c>
      <c r="D52">
        <v>7</v>
      </c>
      <c r="E52" s="3">
        <f t="shared" si="2"/>
        <v>0.11415938515614948</v>
      </c>
      <c r="F52" s="4">
        <f t="shared" si="1"/>
        <v>737.14425728592721</v>
      </c>
    </row>
    <row r="53" spans="1:6">
      <c r="A53" s="7">
        <v>43008</v>
      </c>
      <c r="B53" s="1">
        <v>0.41666666666666669</v>
      </c>
      <c r="C53">
        <v>8128.7</v>
      </c>
      <c r="D53">
        <v>6.7</v>
      </c>
      <c r="E53" s="3">
        <f t="shared" si="2"/>
        <v>0.11293900015689204</v>
      </c>
      <c r="F53" s="4">
        <f t="shared" si="1"/>
        <v>737.01977801600299</v>
      </c>
    </row>
    <row r="54" spans="1:6">
      <c r="A54" s="7">
        <v>43018</v>
      </c>
      <c r="B54" s="1">
        <v>0.41666666666666669</v>
      </c>
      <c r="C54">
        <v>8127.6</v>
      </c>
      <c r="D54">
        <v>7</v>
      </c>
      <c r="E54" s="3">
        <f t="shared" si="2"/>
        <v>0.11408897894755626</v>
      </c>
      <c r="F54" s="4">
        <f t="shared" si="1"/>
        <v>737.1370758526507</v>
      </c>
    </row>
    <row r="55" spans="1:6">
      <c r="A55" s="7">
        <v>43230</v>
      </c>
      <c r="B55" s="1">
        <v>0.41666666666666669</v>
      </c>
      <c r="C55">
        <v>8133.4</v>
      </c>
      <c r="D55">
        <v>7</v>
      </c>
      <c r="E55" s="3">
        <f t="shared" si="2"/>
        <v>0.11306809291052472</v>
      </c>
      <c r="F55" s="4">
        <f t="shared" si="1"/>
        <v>737.03294547687346</v>
      </c>
    </row>
    <row r="56" spans="1:6">
      <c r="A56" s="7">
        <v>43240</v>
      </c>
      <c r="B56" s="1">
        <v>0.41666666666666669</v>
      </c>
      <c r="C56">
        <v>8136.5</v>
      </c>
      <c r="D56">
        <v>7.1</v>
      </c>
      <c r="E56" s="3">
        <f>($B$2*C56^2+$B$3*C56+$B$4)-$B$5*D56-$E$7</f>
        <v>0.11284123728464196</v>
      </c>
      <c r="F56" s="4">
        <f t="shared" si="1"/>
        <v>737.00980620303346</v>
      </c>
    </row>
    <row r="57" spans="1:6">
      <c r="A57" s="7">
        <v>43250</v>
      </c>
      <c r="B57" s="1">
        <v>0.41666666666666669</v>
      </c>
      <c r="C57">
        <v>8133.1</v>
      </c>
      <c r="D57">
        <v>7.1</v>
      </c>
      <c r="E57" s="3">
        <f>($B$2*C57^2+$B$3*C57+$B$4)-$B$5*D57-$E$7</f>
        <v>0.11343968447774883</v>
      </c>
      <c r="F57" s="4">
        <f t="shared" si="1"/>
        <v>737.07084781673041</v>
      </c>
    </row>
    <row r="58" spans="1:6">
      <c r="A58" s="7">
        <v>43261</v>
      </c>
      <c r="B58" s="1">
        <v>0.41666666666666669</v>
      </c>
      <c r="C58">
        <v>8128.9</v>
      </c>
      <c r="D58">
        <v>7</v>
      </c>
      <c r="E58" s="3">
        <f>($B$2*C58^2+$B$3*C58+$B$4)-$B$5*D58-$E$7</f>
        <v>0.11386015901469343</v>
      </c>
      <c r="F58" s="4">
        <f t="shared" si="1"/>
        <v>737.11373621949872</v>
      </c>
    </row>
    <row r="59" spans="1:6">
      <c r="A59" s="7">
        <v>43271</v>
      </c>
      <c r="B59" s="1">
        <v>0.41666666666666669</v>
      </c>
      <c r="C59">
        <v>8070.8</v>
      </c>
      <c r="D59">
        <v>7.1</v>
      </c>
      <c r="E59" s="3">
        <f>($B$2*C59^2+$B$3*C59+$B$4)-$B$5*D59-$E$7</f>
        <v>0.12440580310290855</v>
      </c>
      <c r="F59" s="4">
        <f t="shared" si="1"/>
        <v>738.18939191649667</v>
      </c>
    </row>
    <row r="60" spans="1:6">
      <c r="A60" s="7">
        <v>43281</v>
      </c>
      <c r="B60" s="1">
        <v>0.41666666666666669</v>
      </c>
      <c r="C60">
        <v>8078.7</v>
      </c>
      <c r="D60">
        <v>7</v>
      </c>
      <c r="E60" s="3">
        <f>($B$2*C60^2+$B$3*C60+$B$4)-$B$5*D60-$E$7</f>
        <v>0.12269640093796202</v>
      </c>
      <c r="F60" s="4">
        <f t="shared" si="1"/>
        <v>738.01503289567211</v>
      </c>
    </row>
    <row r="61" spans="1:6">
      <c r="A61" s="7">
        <v>43291</v>
      </c>
      <c r="B61" s="1">
        <v>0.41666666666666669</v>
      </c>
      <c r="C61">
        <v>8099.6</v>
      </c>
      <c r="D61">
        <v>8</v>
      </c>
      <c r="E61" s="3">
        <f t="shared" ref="E61:E64" si="3">($B$2*C61^2+$B$3*C61+$B$4)-$B$5*D61-$E$7</f>
        <v>0.12220537224409372</v>
      </c>
      <c r="F61" s="4">
        <f t="shared" si="1"/>
        <v>737.9649479688976</v>
      </c>
    </row>
    <row r="62" spans="1:6">
      <c r="A62" s="7">
        <v>43301</v>
      </c>
      <c r="B62" s="1">
        <v>0.41666666666666669</v>
      </c>
      <c r="C62">
        <v>8102.2</v>
      </c>
      <c r="D62">
        <v>7.2</v>
      </c>
      <c r="E62" s="3">
        <f t="shared" si="3"/>
        <v>0.11919741820773436</v>
      </c>
      <c r="F62" s="4">
        <f t="shared" si="1"/>
        <v>737.65813665718895</v>
      </c>
    </row>
    <row r="63" spans="1:6">
      <c r="A63" s="7">
        <v>43311</v>
      </c>
      <c r="B63" s="1">
        <v>0.41666666666666669</v>
      </c>
      <c r="C63">
        <v>8101.2</v>
      </c>
      <c r="D63">
        <v>7</v>
      </c>
      <c r="E63" s="3">
        <f t="shared" si="3"/>
        <v>0.1187358648289118</v>
      </c>
      <c r="F63" s="4">
        <f t="shared" si="1"/>
        <v>737.61105821254898</v>
      </c>
    </row>
    <row r="64" spans="1:6">
      <c r="A64" s="7">
        <v>43322</v>
      </c>
      <c r="B64" s="1">
        <v>0.41666666666666669</v>
      </c>
      <c r="C64">
        <v>8083.9</v>
      </c>
      <c r="D64">
        <v>7</v>
      </c>
      <c r="E64" s="3">
        <f t="shared" si="3"/>
        <v>0.12178106706162944</v>
      </c>
      <c r="F64" s="4">
        <f t="shared" si="1"/>
        <v>737.9216688402862</v>
      </c>
    </row>
    <row r="65" spans="1:6">
      <c r="A65" s="7">
        <v>43332</v>
      </c>
      <c r="B65" s="1">
        <v>0.41666666666666669</v>
      </c>
      <c r="C65">
        <v>8094.2</v>
      </c>
      <c r="D65">
        <v>7</v>
      </c>
      <c r="E65" s="3">
        <f t="shared" ref="E65:E82" si="4">($B$2*C65^2+$B$3*C65+$B$4)-$B$5*D65-$E$7</f>
        <v>0.11996801958693765</v>
      </c>
      <c r="F65" s="4">
        <f t="shared" ref="F65:F82" si="5">$D$1+102*E65</f>
        <v>737.73673799786764</v>
      </c>
    </row>
    <row r="66" spans="1:6">
      <c r="A66" s="7">
        <v>43342</v>
      </c>
      <c r="B66" s="1">
        <v>0.41666666666666669</v>
      </c>
      <c r="C66">
        <v>8088.3</v>
      </c>
      <c r="D66">
        <v>7</v>
      </c>
      <c r="E66" s="3">
        <f t="shared" si="4"/>
        <v>0.12100655846560698</v>
      </c>
      <c r="F66" s="4">
        <f t="shared" si="5"/>
        <v>737.84266896349186</v>
      </c>
    </row>
    <row r="67" spans="1:6">
      <c r="A67" s="7">
        <v>43353</v>
      </c>
      <c r="B67" s="1">
        <v>0.41666666666666669</v>
      </c>
      <c r="C67">
        <v>8083.4</v>
      </c>
      <c r="D67">
        <v>6.9</v>
      </c>
      <c r="E67" s="3">
        <f t="shared" si="4"/>
        <v>0.12155029237376463</v>
      </c>
      <c r="F67" s="4">
        <f t="shared" si="5"/>
        <v>737.89812982212402</v>
      </c>
    </row>
    <row r="68" spans="1:6">
      <c r="A68" s="7">
        <v>43363</v>
      </c>
      <c r="B68" s="1">
        <v>0.41666666666666669</v>
      </c>
      <c r="C68">
        <v>8069.4</v>
      </c>
      <c r="D68">
        <v>6.9</v>
      </c>
      <c r="E68" s="3">
        <f t="shared" si="4"/>
        <v>0.12401466802401578</v>
      </c>
      <c r="F68" s="4">
        <f t="shared" si="5"/>
        <v>738.14949613844965</v>
      </c>
    </row>
    <row r="69" spans="1:6">
      <c r="A69" s="7">
        <v>43373</v>
      </c>
      <c r="B69" s="1">
        <v>0.41666666666666669</v>
      </c>
      <c r="C69">
        <v>8088.3</v>
      </c>
      <c r="D69">
        <v>6.7</v>
      </c>
      <c r="E69" s="3">
        <f t="shared" si="4"/>
        <v>0.12005019656560698</v>
      </c>
      <c r="F69" s="4">
        <f t="shared" si="5"/>
        <v>737.74512004969188</v>
      </c>
    </row>
    <row r="70" spans="1:6">
      <c r="A70" s="7">
        <v>43383</v>
      </c>
      <c r="B70" s="1">
        <v>0.41666666666666669</v>
      </c>
      <c r="C70">
        <v>8089.7</v>
      </c>
      <c r="D70">
        <v>6.7</v>
      </c>
      <c r="E70" s="3">
        <f t="shared" si="4"/>
        <v>0.11980376291274561</v>
      </c>
      <c r="F70" s="4">
        <f t="shared" si="5"/>
        <v>737.7199838171</v>
      </c>
    </row>
    <row r="71" spans="1:6">
      <c r="A71" s="7">
        <v>43393</v>
      </c>
      <c r="B71" s="1">
        <v>0.41666666666666669</v>
      </c>
      <c r="C71">
        <v>8091.3</v>
      </c>
      <c r="D71">
        <v>6.6</v>
      </c>
      <c r="E71" s="3">
        <f t="shared" si="4"/>
        <v>0.11920333768460001</v>
      </c>
      <c r="F71" s="4">
        <f t="shared" si="5"/>
        <v>737.65874044382917</v>
      </c>
    </row>
    <row r="72" spans="1:6">
      <c r="A72" s="7">
        <v>43605</v>
      </c>
      <c r="B72" s="9">
        <v>0.41666666666666669</v>
      </c>
      <c r="C72">
        <v>8107.4</v>
      </c>
      <c r="D72">
        <v>6.4</v>
      </c>
      <c r="E72" s="3">
        <f t="shared" si="4"/>
        <v>0.11573181303267346</v>
      </c>
      <c r="F72" s="4">
        <f t="shared" si="5"/>
        <v>737.30464492933265</v>
      </c>
    </row>
    <row r="73" spans="1:6">
      <c r="A73" s="7">
        <v>43615</v>
      </c>
      <c r="B73" s="9">
        <v>0.41666666666666669</v>
      </c>
      <c r="C73">
        <v>8110.7</v>
      </c>
      <c r="D73">
        <v>6.6</v>
      </c>
      <c r="E73" s="3">
        <f t="shared" si="4"/>
        <v>0.11578852298201325</v>
      </c>
      <c r="F73" s="4">
        <f t="shared" si="5"/>
        <v>737.3104293441653</v>
      </c>
    </row>
    <row r="74" spans="1:6">
      <c r="A74" s="7">
        <v>43626</v>
      </c>
      <c r="B74" s="9">
        <v>0.41666666666666669</v>
      </c>
      <c r="C74">
        <v>8112.6</v>
      </c>
      <c r="D74">
        <v>6.8</v>
      </c>
      <c r="E74" s="3">
        <f t="shared" si="4"/>
        <v>0.1160916614544891</v>
      </c>
      <c r="F74" s="4">
        <f t="shared" si="5"/>
        <v>737.34134946835786</v>
      </c>
    </row>
    <row r="75" spans="1:6">
      <c r="A75" s="7">
        <v>43636</v>
      </c>
      <c r="B75" s="9">
        <v>0.41666666666666669</v>
      </c>
      <c r="C75">
        <v>8114.3</v>
      </c>
      <c r="D75">
        <v>6.9</v>
      </c>
      <c r="E75" s="3">
        <f t="shared" si="4"/>
        <v>0.11611121710850331</v>
      </c>
      <c r="F75" s="4">
        <f t="shared" si="5"/>
        <v>737.34334414506736</v>
      </c>
    </row>
    <row r="76" spans="1:6">
      <c r="A76" s="7">
        <v>43646</v>
      </c>
      <c r="B76" s="9">
        <v>0.41666666666666669</v>
      </c>
      <c r="C76">
        <v>8110.5</v>
      </c>
      <c r="D76">
        <v>6.7</v>
      </c>
      <c r="E76" s="3">
        <f t="shared" si="4"/>
        <v>0.11614251413148388</v>
      </c>
      <c r="F76" s="4">
        <f t="shared" si="5"/>
        <v>737.34653644141133</v>
      </c>
    </row>
    <row r="77" spans="1:6">
      <c r="A77" s="7">
        <v>43656</v>
      </c>
      <c r="B77" s="9">
        <v>0.41666666666666669</v>
      </c>
      <c r="C77">
        <v>8105.7</v>
      </c>
      <c r="D77">
        <v>6.7</v>
      </c>
      <c r="E77" s="3">
        <f t="shared" si="4"/>
        <v>0.11698740918011516</v>
      </c>
      <c r="F77" s="4">
        <f t="shared" si="5"/>
        <v>737.43271573637173</v>
      </c>
    </row>
    <row r="78" spans="1:6">
      <c r="A78" s="7">
        <v>43666</v>
      </c>
      <c r="B78" s="9">
        <v>0.41666666666666669</v>
      </c>
      <c r="C78">
        <v>8095.3</v>
      </c>
      <c r="D78">
        <v>6.6</v>
      </c>
      <c r="E78" s="3">
        <f t="shared" si="4"/>
        <v>0.11849924534814948</v>
      </c>
      <c r="F78" s="4">
        <f t="shared" si="5"/>
        <v>737.58692302551128</v>
      </c>
    </row>
    <row r="79" spans="1:6">
      <c r="A79" s="7">
        <v>43676</v>
      </c>
      <c r="B79" s="9">
        <v>0.41666666666666669</v>
      </c>
      <c r="C79">
        <v>8090.3</v>
      </c>
      <c r="D79">
        <v>6.5</v>
      </c>
      <c r="E79" s="3">
        <f t="shared" si="4"/>
        <v>0.11906057402315751</v>
      </c>
      <c r="F79" s="4">
        <f t="shared" si="5"/>
        <v>737.64417855036208</v>
      </c>
    </row>
    <row r="80" spans="1:6">
      <c r="A80" s="7">
        <v>43687</v>
      </c>
      <c r="B80" s="9">
        <v>0.33333333333333331</v>
      </c>
      <c r="C80">
        <v>8075.2</v>
      </c>
      <c r="D80">
        <v>6.5</v>
      </c>
      <c r="E80" s="3">
        <f t="shared" si="4"/>
        <v>0.12171855792360231</v>
      </c>
      <c r="F80" s="4">
        <f t="shared" si="5"/>
        <v>737.91529290820745</v>
      </c>
    </row>
    <row r="81" spans="1:6">
      <c r="A81" s="7">
        <v>43697</v>
      </c>
      <c r="B81" s="1">
        <v>0.33333333333333331</v>
      </c>
      <c r="C81">
        <v>8057.8</v>
      </c>
      <c r="D81">
        <v>6.4</v>
      </c>
      <c r="E81" s="3">
        <f t="shared" si="4"/>
        <v>0.12446267570667849</v>
      </c>
      <c r="F81" s="4">
        <f t="shared" si="5"/>
        <v>738.19519292208122</v>
      </c>
    </row>
    <row r="82" spans="1:6">
      <c r="A82" s="7">
        <v>43707</v>
      </c>
      <c r="B82" s="9">
        <v>0.33333333333333331</v>
      </c>
      <c r="C82">
        <v>8043.6</v>
      </c>
      <c r="D82">
        <v>6.4</v>
      </c>
      <c r="E82" s="3">
        <f t="shared" si="4"/>
        <v>0.12696233765902501</v>
      </c>
      <c r="F82" s="4">
        <f t="shared" si="5"/>
        <v>738.45015844122054</v>
      </c>
    </row>
  </sheetData>
  <phoneticPr fontId="4" type="noConversion"/>
  <pageMargins left="0.69930555555555596" right="0.69930555555555596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6"/>
  <sheetViews>
    <sheetView topLeftCell="A55" workbookViewId="0">
      <selection activeCell="A70" sqref="A70:B72"/>
    </sheetView>
  </sheetViews>
  <sheetFormatPr defaultColWidth="9" defaultRowHeight="13.5"/>
  <cols>
    <col min="1" max="1" width="11.25" customWidth="1"/>
    <col min="2" max="2" width="13.125" style="17" customWidth="1"/>
    <col min="5" max="5" width="10.875" customWidth="1"/>
  </cols>
  <sheetData>
    <row r="1" spans="1:8">
      <c r="A1" t="s">
        <v>0</v>
      </c>
      <c r="B1" s="17">
        <v>50399</v>
      </c>
      <c r="C1" t="s">
        <v>1</v>
      </c>
      <c r="D1">
        <v>737.8</v>
      </c>
    </row>
    <row r="2" spans="1:8">
      <c r="A2" t="s">
        <v>2</v>
      </c>
      <c r="B2">
        <f>4.6971*10^-10</f>
        <v>4.6971000000000003E-10</v>
      </c>
    </row>
    <row r="3" spans="1:8">
      <c r="A3" t="s">
        <v>3</v>
      </c>
      <c r="B3" s="17">
        <v>-8.0801000000000001E-5</v>
      </c>
    </row>
    <row r="4" spans="1:8">
      <c r="A4" t="s">
        <v>4</v>
      </c>
      <c r="B4" s="17">
        <v>0.72956774000000002</v>
      </c>
    </row>
    <row r="5" spans="1:8">
      <c r="A5" t="s">
        <v>5</v>
      </c>
      <c r="B5" s="17">
        <v>-9.9898799999999992E-4</v>
      </c>
    </row>
    <row r="6" spans="1:8">
      <c r="A6" t="s">
        <v>6</v>
      </c>
      <c r="B6" s="17" t="s">
        <v>7</v>
      </c>
      <c r="C6" t="s">
        <v>8</v>
      </c>
      <c r="D6" t="s">
        <v>9</v>
      </c>
      <c r="E6" t="s">
        <v>10</v>
      </c>
      <c r="F6" t="s">
        <v>11</v>
      </c>
      <c r="G6" t="s">
        <v>12</v>
      </c>
      <c r="H6" s="25" t="s">
        <v>60</v>
      </c>
    </row>
    <row r="7" spans="1:8">
      <c r="A7" s="6">
        <v>42529</v>
      </c>
      <c r="B7" s="9">
        <v>0.33333333333333298</v>
      </c>
      <c r="C7" s="2">
        <v>9478.7999999999993</v>
      </c>
      <c r="D7" s="2">
        <v>12.2</v>
      </c>
      <c r="E7" s="3">
        <f>($B$2*C7^2+$B$3*C7+$B$4)-$B$5*D7</f>
        <v>1.8061214218462449E-2</v>
      </c>
      <c r="G7" t="s">
        <v>13</v>
      </c>
    </row>
    <row r="8" spans="1:8">
      <c r="A8" s="7">
        <v>42529</v>
      </c>
      <c r="B8" s="9">
        <v>0.41666666666666702</v>
      </c>
      <c r="C8" s="2">
        <v>9465</v>
      </c>
      <c r="D8" s="2">
        <v>10.1</v>
      </c>
      <c r="E8" s="3">
        <f>($B$2*C8^2+$B$3*C8+$B$4)-$B$5*D8-$E$7</f>
        <v>-1.1056146737123893E-3</v>
      </c>
      <c r="F8" s="4">
        <f>$D$1+102*E8</f>
        <v>737.68722730328125</v>
      </c>
      <c r="G8" t="s">
        <v>17</v>
      </c>
    </row>
    <row r="9" spans="1:8">
      <c r="A9" s="7">
        <v>42530</v>
      </c>
      <c r="B9" s="9">
        <v>0.75</v>
      </c>
      <c r="C9" s="2">
        <v>9411.5</v>
      </c>
      <c r="D9" s="2">
        <v>8.6</v>
      </c>
      <c r="E9" s="3">
        <f t="shared" ref="E9:E23" si="0">($B$2*C9^2+$B$3*C9+$B$4)-$B$5*D9-$E$7</f>
        <v>1.2444001026850372E-3</v>
      </c>
      <c r="F9" s="4">
        <f t="shared" ref="F9:F54" si="1">$D$1+102*E9</f>
        <v>737.92692881047378</v>
      </c>
      <c r="G9" s="5" t="s">
        <v>14</v>
      </c>
      <c r="H9">
        <v>741</v>
      </c>
    </row>
    <row r="10" spans="1:8">
      <c r="A10" s="7">
        <v>42530</v>
      </c>
      <c r="B10" s="9">
        <v>0.41666666666666702</v>
      </c>
      <c r="C10" s="2">
        <v>9398.7999999999993</v>
      </c>
      <c r="D10" s="2">
        <v>6.8</v>
      </c>
      <c r="E10" s="3">
        <f t="shared" si="0"/>
        <v>3.6018500031997219E-4</v>
      </c>
      <c r="F10" s="4">
        <f t="shared" si="1"/>
        <v>737.8367388700326</v>
      </c>
      <c r="H10">
        <v>741</v>
      </c>
    </row>
    <row r="11" spans="1:8">
      <c r="A11" s="7">
        <v>42531</v>
      </c>
      <c r="B11" s="9">
        <v>0.33333333333333298</v>
      </c>
      <c r="C11" s="2">
        <v>9400.4</v>
      </c>
      <c r="D11" s="2">
        <v>6.6</v>
      </c>
      <c r="E11" s="3">
        <f t="shared" si="0"/>
        <v>4.5234075891176923E-5</v>
      </c>
      <c r="F11" s="4">
        <f t="shared" si="1"/>
        <v>737.80461387574087</v>
      </c>
      <c r="H11">
        <v>741</v>
      </c>
    </row>
    <row r="12" spans="1:8">
      <c r="A12" s="7">
        <v>42532</v>
      </c>
      <c r="B12" s="9">
        <v>0.33333333333333298</v>
      </c>
      <c r="C12" s="2">
        <v>9402.4</v>
      </c>
      <c r="D12" s="2">
        <v>6.5</v>
      </c>
      <c r="E12" s="3">
        <f t="shared" si="0"/>
        <v>-1.9860299773273582E-4</v>
      </c>
      <c r="F12" s="4">
        <f t="shared" si="1"/>
        <v>737.77974249423119</v>
      </c>
      <c r="H12">
        <v>741</v>
      </c>
    </row>
    <row r="13" spans="1:8">
      <c r="A13" s="7">
        <v>42533</v>
      </c>
      <c r="B13" s="9">
        <v>0.33333333333333298</v>
      </c>
      <c r="C13" s="2">
        <v>9404.7000000000007</v>
      </c>
      <c r="D13" s="2">
        <v>6.6</v>
      </c>
      <c r="E13" s="3">
        <f t="shared" si="0"/>
        <v>-2.6422856696851557E-4</v>
      </c>
      <c r="F13" s="4">
        <f t="shared" si="1"/>
        <v>737.7730486861692</v>
      </c>
      <c r="H13">
        <v>741</v>
      </c>
    </row>
    <row r="14" spans="1:8">
      <c r="A14" s="7">
        <v>42534</v>
      </c>
      <c r="B14" s="9">
        <v>0.33333333333333298</v>
      </c>
      <c r="C14" s="2">
        <v>9405.1</v>
      </c>
      <c r="D14" s="2">
        <v>6.6</v>
      </c>
      <c r="E14" s="3">
        <f t="shared" si="0"/>
        <v>-2.9301490650536152E-4</v>
      </c>
      <c r="F14" s="4">
        <f t="shared" si="1"/>
        <v>737.77011247953635</v>
      </c>
      <c r="H14">
        <v>741</v>
      </c>
    </row>
    <row r="15" spans="1:8">
      <c r="A15" s="7">
        <v>42535</v>
      </c>
      <c r="B15" s="9">
        <v>0.33333333333333298</v>
      </c>
      <c r="C15" s="2">
        <v>9408.1</v>
      </c>
      <c r="D15" s="2">
        <v>6.6</v>
      </c>
      <c r="E15" s="3">
        <f t="shared" si="0"/>
        <v>-5.0890766198931001E-4</v>
      </c>
      <c r="F15" s="4">
        <f t="shared" si="1"/>
        <v>737.74809141847709</v>
      </c>
      <c r="H15">
        <v>741</v>
      </c>
    </row>
    <row r="16" spans="1:8">
      <c r="A16" s="6">
        <v>42536</v>
      </c>
      <c r="B16" s="9">
        <v>0.33333333333333298</v>
      </c>
      <c r="C16" s="2">
        <v>9410.4</v>
      </c>
      <c r="D16" s="2">
        <v>6.7</v>
      </c>
      <c r="E16" s="3">
        <f t="shared" si="0"/>
        <v>-5.7452091542881806E-4</v>
      </c>
      <c r="F16" s="4">
        <f t="shared" si="1"/>
        <v>737.74139886662624</v>
      </c>
      <c r="H16">
        <v>741</v>
      </c>
    </row>
    <row r="17" spans="1:8">
      <c r="A17" s="6">
        <v>42537</v>
      </c>
      <c r="B17" s="9">
        <v>0.33333333333333298</v>
      </c>
      <c r="C17" s="2">
        <v>9412.2000000000007</v>
      </c>
      <c r="D17" s="2">
        <v>6.7</v>
      </c>
      <c r="E17" s="3">
        <f t="shared" si="0"/>
        <v>-7.040486212261457E-4</v>
      </c>
      <c r="F17" s="4">
        <f t="shared" si="1"/>
        <v>737.72818704063491</v>
      </c>
      <c r="H17">
        <v>741</v>
      </c>
    </row>
    <row r="18" spans="1:8">
      <c r="A18" s="6">
        <v>42538</v>
      </c>
      <c r="B18" s="9">
        <v>0.33333333333333298</v>
      </c>
      <c r="C18" s="2">
        <v>9413.9</v>
      </c>
      <c r="D18" s="2">
        <v>6.8</v>
      </c>
      <c r="E18" s="3">
        <f t="shared" si="0"/>
        <v>-7.2647874859333578E-4</v>
      </c>
      <c r="F18" s="4">
        <f t="shared" si="1"/>
        <v>737.72589916764343</v>
      </c>
      <c r="H18">
        <v>741</v>
      </c>
    </row>
    <row r="19" spans="1:8">
      <c r="A19" s="6">
        <v>42544</v>
      </c>
      <c r="B19" s="9">
        <v>0.33333333333333298</v>
      </c>
      <c r="C19" s="2">
        <v>9420.1</v>
      </c>
      <c r="D19" s="2">
        <v>7.4</v>
      </c>
      <c r="E19" s="3">
        <f t="shared" si="0"/>
        <v>-5.7320373612534253E-4</v>
      </c>
      <c r="F19" s="4">
        <f t="shared" si="1"/>
        <v>737.74153321891515</v>
      </c>
      <c r="H19">
        <v>741</v>
      </c>
    </row>
    <row r="20" spans="1:8">
      <c r="A20" s="7">
        <v>42551</v>
      </c>
      <c r="B20" s="9">
        <v>0.33333333333333298</v>
      </c>
      <c r="C20" s="2">
        <v>9449.2000000000007</v>
      </c>
      <c r="D20" s="2">
        <v>8.8000000000000007</v>
      </c>
      <c r="E20" s="3">
        <f t="shared" si="0"/>
        <v>-1.2680134580481325E-3</v>
      </c>
      <c r="F20" s="4">
        <f t="shared" si="1"/>
        <v>737.67066262727906</v>
      </c>
      <c r="H20">
        <v>741</v>
      </c>
    </row>
    <row r="21" spans="1:8">
      <c r="A21" s="7">
        <v>42561</v>
      </c>
      <c r="B21" s="9">
        <v>0.33333333333333298</v>
      </c>
      <c r="C21" s="2">
        <v>9465.9</v>
      </c>
      <c r="D21" s="2">
        <v>10.199999999999999</v>
      </c>
      <c r="E21" s="3">
        <f t="shared" si="0"/>
        <v>-1.0704339439773676E-3</v>
      </c>
      <c r="F21" s="4">
        <f t="shared" si="1"/>
        <v>737.69081573771427</v>
      </c>
      <c r="H21">
        <v>741.5</v>
      </c>
    </row>
    <row r="22" spans="1:8">
      <c r="A22" s="7">
        <v>42571</v>
      </c>
      <c r="B22" s="9">
        <v>0.33333333333333298</v>
      </c>
      <c r="C22" s="2">
        <v>9472.6</v>
      </c>
      <c r="D22" s="2">
        <v>12</v>
      </c>
      <c r="E22" s="3">
        <f t="shared" si="0"/>
        <v>2.4597829501715046E-4</v>
      </c>
      <c r="F22" s="4">
        <f t="shared" si="1"/>
        <v>737.82508978609167</v>
      </c>
      <c r="H22">
        <v>742</v>
      </c>
    </row>
    <row r="23" spans="1:8">
      <c r="A23" s="7">
        <v>42581</v>
      </c>
      <c r="B23" s="9">
        <v>0.33333333333333298</v>
      </c>
      <c r="C23" s="2">
        <v>9495.1</v>
      </c>
      <c r="D23" s="2">
        <v>12.6</v>
      </c>
      <c r="E23" s="3">
        <f t="shared" si="0"/>
        <v>-7.72191741725263E-4</v>
      </c>
      <c r="F23" s="4">
        <f t="shared" si="1"/>
        <v>737.72123644234398</v>
      </c>
      <c r="H23">
        <v>742</v>
      </c>
    </row>
    <row r="24" spans="1:8">
      <c r="A24" s="7">
        <v>42592</v>
      </c>
      <c r="B24" s="9">
        <v>0.33333333333333298</v>
      </c>
      <c r="C24" s="2">
        <v>9498.7000000000007</v>
      </c>
      <c r="D24" s="2">
        <v>12.9</v>
      </c>
      <c r="E24" s="3">
        <f t="shared" ref="E24:E45" si="2">($B$2*C24^2+$B$3*C24+$B$4)-$B$5*D24-$E$7</f>
        <v>-7.3126126165261318E-4</v>
      </c>
      <c r="F24" s="4">
        <f t="shared" si="1"/>
        <v>737.72541135131144</v>
      </c>
      <c r="H24">
        <v>743.95</v>
      </c>
    </row>
    <row r="25" spans="1:8">
      <c r="A25" s="7">
        <v>42602</v>
      </c>
      <c r="B25" s="9">
        <v>0.33333333333333298</v>
      </c>
      <c r="C25" s="2">
        <v>9495.6</v>
      </c>
      <c r="D25" s="2">
        <v>13.2</v>
      </c>
      <c r="E25" s="3">
        <f t="shared" si="2"/>
        <v>-2.0873938087693361E-4</v>
      </c>
      <c r="F25" s="4">
        <f t="shared" si="1"/>
        <v>737.77870858315055</v>
      </c>
      <c r="H25">
        <v>747.2</v>
      </c>
    </row>
    <row r="26" spans="1:8">
      <c r="A26" s="7">
        <v>42612</v>
      </c>
      <c r="B26" s="9">
        <v>0.33333333333333298</v>
      </c>
      <c r="C26" s="2">
        <v>9481.2000000000007</v>
      </c>
      <c r="D26" s="2">
        <v>13.2</v>
      </c>
      <c r="E26" s="3">
        <f t="shared" si="2"/>
        <v>8.264392838399845E-4</v>
      </c>
      <c r="F26" s="4">
        <f t="shared" si="1"/>
        <v>737.88429680695162</v>
      </c>
      <c r="H26">
        <v>747.7</v>
      </c>
    </row>
    <row r="27" spans="1:8">
      <c r="A27" s="6">
        <v>42623</v>
      </c>
      <c r="B27" s="9">
        <v>0.33333333333333298</v>
      </c>
      <c r="C27" s="2">
        <v>9490.5</v>
      </c>
      <c r="D27" s="2">
        <v>13.2</v>
      </c>
      <c r="E27" s="3">
        <f t="shared" si="2"/>
        <v>1.5786411786513493E-4</v>
      </c>
      <c r="F27" s="4">
        <f t="shared" si="1"/>
        <v>737.81610214002217</v>
      </c>
      <c r="H27">
        <v>747.7</v>
      </c>
    </row>
    <row r="28" spans="1:8">
      <c r="A28" s="6">
        <v>42633</v>
      </c>
      <c r="B28" s="9">
        <v>0.33333333333333331</v>
      </c>
      <c r="C28" s="2">
        <v>9480.1</v>
      </c>
      <c r="D28" s="2">
        <v>13.1</v>
      </c>
      <c r="E28" s="3">
        <f t="shared" si="2"/>
        <v>8.0562464039453732E-4</v>
      </c>
      <c r="F28" s="4">
        <f t="shared" si="1"/>
        <v>737.88217371332019</v>
      </c>
    </row>
    <row r="29" spans="1:8">
      <c r="A29" s="7">
        <v>42643</v>
      </c>
      <c r="B29" s="9">
        <v>0.33333333333333331</v>
      </c>
      <c r="C29" s="2">
        <v>9495.4</v>
      </c>
      <c r="D29" s="2">
        <v>13.1</v>
      </c>
      <c r="E29" s="3">
        <f t="shared" si="2"/>
        <v>-2.9426203339881149E-4</v>
      </c>
      <c r="F29" s="4">
        <f t="shared" si="1"/>
        <v>737.76998527259332</v>
      </c>
    </row>
    <row r="30" spans="1:8">
      <c r="A30" s="7">
        <v>42883</v>
      </c>
      <c r="B30" s="9">
        <v>0.33333333333333331</v>
      </c>
      <c r="C30" s="2">
        <v>9489.7999999999993</v>
      </c>
      <c r="D30" s="2">
        <v>11.1</v>
      </c>
      <c r="E30" s="3">
        <f t="shared" si="2"/>
        <v>-1.8896906478339248E-3</v>
      </c>
      <c r="F30" s="4">
        <f t="shared" si="1"/>
        <v>737.60725155392095</v>
      </c>
    </row>
    <row r="31" spans="1:8">
      <c r="A31" s="7">
        <v>42885</v>
      </c>
      <c r="B31" s="9">
        <v>0.33333333333333331</v>
      </c>
      <c r="C31" s="2">
        <v>9489.5</v>
      </c>
      <c r="D31" s="2">
        <v>11.1</v>
      </c>
      <c r="E31" s="3">
        <f t="shared" si="2"/>
        <v>-1.8681247779349375E-3</v>
      </c>
      <c r="F31" s="4">
        <f t="shared" si="1"/>
        <v>737.60945127265063</v>
      </c>
    </row>
    <row r="32" spans="1:8">
      <c r="A32" s="7">
        <v>42896</v>
      </c>
      <c r="B32" s="9">
        <v>0.33333333333333331</v>
      </c>
      <c r="C32" s="2">
        <v>9478.9</v>
      </c>
      <c r="D32" s="2">
        <v>10.9</v>
      </c>
      <c r="E32" s="3">
        <f t="shared" si="2"/>
        <v>-1.3058740378732725E-3</v>
      </c>
      <c r="F32" s="4">
        <f t="shared" si="1"/>
        <v>737.66680084813686</v>
      </c>
    </row>
    <row r="33" spans="1:6">
      <c r="A33" s="7">
        <v>42906</v>
      </c>
      <c r="B33" s="9">
        <v>0.33333333333333331</v>
      </c>
      <c r="C33" s="2">
        <v>9468.2000000000007</v>
      </c>
      <c r="D33" s="2">
        <v>10.3</v>
      </c>
      <c r="E33" s="3">
        <f t="shared" si="2"/>
        <v>-1.1359223109220634E-3</v>
      </c>
      <c r="F33" s="4">
        <f t="shared" si="1"/>
        <v>737.6841359242859</v>
      </c>
    </row>
    <row r="34" spans="1:6">
      <c r="A34" s="7">
        <v>42916</v>
      </c>
      <c r="B34" s="9">
        <v>0.33333333333333331</v>
      </c>
      <c r="C34" s="2">
        <v>9461.5</v>
      </c>
      <c r="D34" s="2">
        <v>10.5</v>
      </c>
      <c r="E34" s="3">
        <f t="shared" si="2"/>
        <v>-4.5433085581490437E-4</v>
      </c>
      <c r="F34" s="4">
        <f t="shared" si="1"/>
        <v>737.75365825270683</v>
      </c>
    </row>
    <row r="35" spans="1:6">
      <c r="A35" s="7">
        <v>42926</v>
      </c>
      <c r="B35" s="9">
        <v>0.33333333333333331</v>
      </c>
      <c r="C35" s="2">
        <v>9476.4</v>
      </c>
      <c r="D35" s="2">
        <v>10.3</v>
      </c>
      <c r="E35" s="3">
        <f t="shared" si="2"/>
        <v>-1.7255230727807186E-3</v>
      </c>
      <c r="F35" s="4">
        <f t="shared" si="1"/>
        <v>737.6239966465763</v>
      </c>
    </row>
    <row r="36" spans="1:6">
      <c r="A36" s="7">
        <v>42936</v>
      </c>
      <c r="B36" s="9">
        <v>0.33333333333333331</v>
      </c>
      <c r="C36" s="2">
        <v>9458.1</v>
      </c>
      <c r="D36" s="2">
        <v>10.199999999999999</v>
      </c>
      <c r="E36" s="3">
        <f t="shared" si="2"/>
        <v>-5.0951872188935779E-4</v>
      </c>
      <c r="F36" s="4">
        <f t="shared" si="1"/>
        <v>737.74802909036725</v>
      </c>
    </row>
    <row r="37" spans="1:6">
      <c r="A37" s="7">
        <v>42946</v>
      </c>
      <c r="B37" s="9">
        <v>0.33333333333333331</v>
      </c>
      <c r="C37" s="2">
        <v>9457.7999999999993</v>
      </c>
      <c r="D37" s="2">
        <v>10</v>
      </c>
      <c r="E37" s="3">
        <f t="shared" si="2"/>
        <v>-6.8774151810595957E-4</v>
      </c>
      <c r="F37" s="4">
        <f t="shared" si="1"/>
        <v>737.7298503651532</v>
      </c>
    </row>
    <row r="38" spans="1:6">
      <c r="A38" s="7">
        <v>42957</v>
      </c>
      <c r="B38" s="9">
        <v>0.33333333333333331</v>
      </c>
      <c r="C38" s="2">
        <v>9452.2999999999993</v>
      </c>
      <c r="D38" s="2">
        <v>9.9</v>
      </c>
      <c r="E38" s="3">
        <f t="shared" si="2"/>
        <v>-3.920872649965032E-4</v>
      </c>
      <c r="F38" s="4">
        <f t="shared" si="1"/>
        <v>737.76000709897028</v>
      </c>
    </row>
    <row r="39" spans="1:6">
      <c r="A39" s="7">
        <v>42967</v>
      </c>
      <c r="B39" s="9">
        <v>0.33333333333333331</v>
      </c>
      <c r="C39" s="2">
        <v>9452.5</v>
      </c>
      <c r="D39" s="2">
        <v>9.8000000000000007</v>
      </c>
      <c r="E39" s="3">
        <f t="shared" si="2"/>
        <v>-5.0637031027494714E-4</v>
      </c>
      <c r="F39" s="4">
        <f t="shared" si="1"/>
        <v>737.74835022835191</v>
      </c>
    </row>
    <row r="40" spans="1:6">
      <c r="A40" s="7">
        <v>42977</v>
      </c>
      <c r="B40" s="9">
        <v>0.33333333333333331</v>
      </c>
      <c r="C40" s="2">
        <v>9448.9</v>
      </c>
      <c r="D40" s="2">
        <v>10.3</v>
      </c>
      <c r="E40" s="3">
        <f t="shared" si="2"/>
        <v>2.520458539867626E-4</v>
      </c>
      <c r="F40" s="4">
        <f t="shared" si="1"/>
        <v>737.8257086771066</v>
      </c>
    </row>
    <row r="41" spans="1:6">
      <c r="A41" s="7">
        <v>42988</v>
      </c>
      <c r="B41" s="9">
        <v>0.33333333333333331</v>
      </c>
      <c r="C41" s="2">
        <v>9440.7000000000007</v>
      </c>
      <c r="D41" s="2">
        <v>9.6</v>
      </c>
      <c r="E41" s="3">
        <f t="shared" si="2"/>
        <v>1.4256685505537048E-4</v>
      </c>
      <c r="F41" s="4">
        <f t="shared" si="1"/>
        <v>737.81454181921561</v>
      </c>
    </row>
    <row r="42" spans="1:6">
      <c r="A42" s="7">
        <v>42998</v>
      </c>
      <c r="B42" s="9">
        <v>0.33333333333333331</v>
      </c>
      <c r="C42" s="2">
        <v>9453.4</v>
      </c>
      <c r="D42" s="2">
        <v>9.6999999999999993</v>
      </c>
      <c r="E42" s="3">
        <f t="shared" si="2"/>
        <v>-6.7099774901480114E-4</v>
      </c>
      <c r="F42" s="4">
        <f t="shared" si="1"/>
        <v>737.73155822960041</v>
      </c>
    </row>
    <row r="43" spans="1:6">
      <c r="A43" s="7">
        <v>43008</v>
      </c>
      <c r="B43" s="9">
        <v>0.33333333333333331</v>
      </c>
      <c r="C43" s="2">
        <v>9455.7000000000007</v>
      </c>
      <c r="D43" s="2">
        <v>9.9</v>
      </c>
      <c r="E43" s="3">
        <f t="shared" si="2"/>
        <v>-6.3661432428462755E-4</v>
      </c>
      <c r="F43" s="4">
        <f t="shared" si="1"/>
        <v>737.73506533892294</v>
      </c>
    </row>
    <row r="44" spans="1:6">
      <c r="A44" s="7">
        <v>43018</v>
      </c>
      <c r="B44" s="9">
        <v>0.33333333333333331</v>
      </c>
      <c r="C44" s="2">
        <v>9441.7999999999993</v>
      </c>
      <c r="D44" s="2">
        <v>9.5</v>
      </c>
      <c r="E44" s="3">
        <f t="shared" si="2"/>
        <v>-3.6456815961986161E-5</v>
      </c>
      <c r="F44" s="4">
        <f t="shared" si="1"/>
        <v>737.79628140477178</v>
      </c>
    </row>
    <row r="45" spans="1:6">
      <c r="A45" s="7">
        <v>43230</v>
      </c>
      <c r="B45" s="9">
        <v>0.33333333333333331</v>
      </c>
      <c r="C45" s="2">
        <v>9452.4</v>
      </c>
      <c r="D45" s="2">
        <v>9.3000000000000007</v>
      </c>
      <c r="E45" s="3">
        <f t="shared" si="2"/>
        <v>-9.9867219233285703E-4</v>
      </c>
      <c r="F45" s="4">
        <f t="shared" si="1"/>
        <v>737.69813543638202</v>
      </c>
    </row>
    <row r="46" spans="1:6">
      <c r="A46" s="7">
        <v>43240</v>
      </c>
      <c r="B46" s="9">
        <v>0.33333333333333331</v>
      </c>
      <c r="C46" s="2">
        <v>9448</v>
      </c>
      <c r="D46" s="2">
        <v>9.4</v>
      </c>
      <c r="E46" s="3">
        <f t="shared" ref="E46:E54" si="3">($B$2*C46^2+$B$3*C46+$B$4)-$B$5*D46-$E$7</f>
        <v>-5.8231090262245849E-4</v>
      </c>
      <c r="F46" s="4">
        <f t="shared" si="1"/>
        <v>737.74060428793246</v>
      </c>
    </row>
    <row r="47" spans="1:6">
      <c r="A47" s="7">
        <v>43250</v>
      </c>
      <c r="B47" s="9">
        <v>0.33333333333333331</v>
      </c>
      <c r="C47" s="2">
        <v>9447.2999999999993</v>
      </c>
      <c r="D47" s="2">
        <v>9.3000000000000007</v>
      </c>
      <c r="E47" s="3">
        <f t="shared" si="3"/>
        <v>-6.3186172057639461E-4</v>
      </c>
      <c r="F47" s="4">
        <f t="shared" si="1"/>
        <v>737.73555010450116</v>
      </c>
    </row>
    <row r="48" spans="1:6">
      <c r="A48" s="7">
        <v>43261</v>
      </c>
      <c r="B48" s="9">
        <v>0.33333333333333331</v>
      </c>
      <c r="C48" s="2">
        <v>9451.5</v>
      </c>
      <c r="D48" s="2">
        <v>9.1</v>
      </c>
      <c r="E48" s="3">
        <f t="shared" si="3"/>
        <v>-1.1337403081149861E-3</v>
      </c>
      <c r="F48" s="4">
        <f t="shared" si="1"/>
        <v>737.68435848857223</v>
      </c>
    </row>
    <row r="49" spans="1:6">
      <c r="A49" s="7">
        <v>43271</v>
      </c>
      <c r="B49" s="9">
        <v>0.33333333333333331</v>
      </c>
      <c r="C49" s="2">
        <v>9451.2999999999993</v>
      </c>
      <c r="D49" s="2">
        <v>9.4</v>
      </c>
      <c r="E49" s="3">
        <f t="shared" si="3"/>
        <v>-8.196594749525013E-4</v>
      </c>
      <c r="F49" s="4">
        <f t="shared" si="1"/>
        <v>737.71639473355481</v>
      </c>
    </row>
    <row r="50" spans="1:6">
      <c r="A50" s="7">
        <v>43281</v>
      </c>
      <c r="B50" s="9">
        <v>0.33333333333333331</v>
      </c>
      <c r="C50" s="2">
        <v>9445.7999999999993</v>
      </c>
      <c r="D50" s="2">
        <v>8.9</v>
      </c>
      <c r="E50" s="3">
        <f t="shared" si="3"/>
        <v>-9.2356683757801109E-4</v>
      </c>
      <c r="F50" s="4">
        <f t="shared" si="1"/>
        <v>737.70579618256704</v>
      </c>
    </row>
    <row r="51" spans="1:6">
      <c r="A51" s="7">
        <v>43291</v>
      </c>
      <c r="B51" s="9">
        <v>0.33333333333333331</v>
      </c>
      <c r="C51" s="2">
        <v>9438.7000000000007</v>
      </c>
      <c r="D51" s="2">
        <v>9.6999999999999993</v>
      </c>
      <c r="E51" s="3">
        <f t="shared" si="3"/>
        <v>3.8633196910742296E-4</v>
      </c>
      <c r="F51" s="4">
        <f t="shared" si="1"/>
        <v>737.83940586084896</v>
      </c>
    </row>
    <row r="52" spans="1:6">
      <c r="A52" s="7">
        <v>43301</v>
      </c>
      <c r="B52" s="9">
        <v>0.33333333333333331</v>
      </c>
      <c r="C52" s="2">
        <v>9440.4</v>
      </c>
      <c r="D52" s="2">
        <v>9</v>
      </c>
      <c r="E52" s="3">
        <f t="shared" si="3"/>
        <v>-4.3524623738884494E-4</v>
      </c>
      <c r="F52" s="4">
        <f t="shared" si="1"/>
        <v>737.7556048837863</v>
      </c>
    </row>
    <row r="53" spans="1:6">
      <c r="A53" s="7">
        <v>43311</v>
      </c>
      <c r="B53" s="9">
        <v>0.33333333333333331</v>
      </c>
      <c r="C53" s="2">
        <v>9432</v>
      </c>
      <c r="D53" s="2">
        <v>8.6999999999999993</v>
      </c>
      <c r="E53" s="3">
        <f t="shared" si="3"/>
        <v>-1.3067649942235388E-4</v>
      </c>
      <c r="F53" s="4">
        <f t="shared" si="1"/>
        <v>737.78667099705888</v>
      </c>
    </row>
    <row r="54" spans="1:6">
      <c r="A54" s="7">
        <v>43322</v>
      </c>
      <c r="B54" s="9">
        <v>0.33333333333333331</v>
      </c>
      <c r="C54" s="2">
        <v>9425.7999999999993</v>
      </c>
      <c r="D54" s="2">
        <v>8.6999999999999993</v>
      </c>
      <c r="E54" s="3">
        <f t="shared" si="3"/>
        <v>3.1537197770201836E-4</v>
      </c>
      <c r="F54" s="4">
        <f t="shared" si="1"/>
        <v>737.83216794172552</v>
      </c>
    </row>
    <row r="55" spans="1:6">
      <c r="A55" s="7">
        <v>43332</v>
      </c>
      <c r="B55" s="9">
        <v>0.33333333333333331</v>
      </c>
      <c r="C55" s="2">
        <v>9427.4</v>
      </c>
      <c r="D55" s="2">
        <v>8.6</v>
      </c>
      <c r="E55" s="3">
        <f t="shared" ref="E55:E72" si="4">($B$2*C55^2+$B$3*C55+$B$4)-$B$5*D55-$E$7</f>
        <v>1.0036043621722626E-4</v>
      </c>
      <c r="F55" s="4">
        <f t="shared" ref="F55:F72" si="5">$D$1+102*E55</f>
        <v>737.81023676449411</v>
      </c>
    </row>
    <row r="56" spans="1:6">
      <c r="A56" s="7">
        <v>43342</v>
      </c>
      <c r="B56" s="9">
        <v>0.33333333333333331</v>
      </c>
      <c r="C56" s="2">
        <v>9430.2000000000007</v>
      </c>
      <c r="D56" s="2">
        <v>8.4</v>
      </c>
      <c r="E56" s="3">
        <f t="shared" si="4"/>
        <v>-3.0087867455416695E-4</v>
      </c>
      <c r="F56" s="4">
        <f t="shared" si="5"/>
        <v>737.76931037519546</v>
      </c>
    </row>
    <row r="57" spans="1:6">
      <c r="A57" s="7">
        <v>43353</v>
      </c>
      <c r="B57" s="9">
        <v>0.33333333333333331</v>
      </c>
      <c r="C57" s="2">
        <v>9433</v>
      </c>
      <c r="D57" s="2">
        <v>8.3000000000000007</v>
      </c>
      <c r="E57" s="3">
        <f t="shared" si="4"/>
        <v>-6.0221162027243591E-4</v>
      </c>
      <c r="F57" s="4">
        <f t="shared" si="5"/>
        <v>737.73857441473217</v>
      </c>
    </row>
    <row r="58" spans="1:6">
      <c r="A58" s="7">
        <v>43363</v>
      </c>
      <c r="B58" s="9">
        <v>0.33333333333333331</v>
      </c>
      <c r="C58" s="2">
        <v>9410.7000000000007</v>
      </c>
      <c r="D58" s="2">
        <v>8.3000000000000007</v>
      </c>
      <c r="E58" s="3">
        <f t="shared" si="4"/>
        <v>1.0022717222354094E-3</v>
      </c>
      <c r="F58" s="4">
        <f t="shared" si="5"/>
        <v>737.90223171566799</v>
      </c>
    </row>
    <row r="59" spans="1:6">
      <c r="A59" s="7">
        <v>43373</v>
      </c>
      <c r="B59" s="9">
        <v>0.33333333333333331</v>
      </c>
      <c r="C59" s="2">
        <v>9440.2999999999993</v>
      </c>
      <c r="D59" s="2">
        <v>8.3000000000000007</v>
      </c>
      <c r="E59" s="3">
        <f t="shared" si="4"/>
        <v>-1.1273445827484629E-3</v>
      </c>
      <c r="F59" s="4">
        <f t="shared" si="5"/>
        <v>737.68501085255957</v>
      </c>
    </row>
    <row r="60" spans="1:6">
      <c r="A60" s="7">
        <v>43383</v>
      </c>
      <c r="B60" s="9">
        <v>0.33333333333333331</v>
      </c>
      <c r="C60" s="2">
        <v>9441.7000000000007</v>
      </c>
      <c r="D60" s="2">
        <v>8.1999999999999993</v>
      </c>
      <c r="E60" s="3">
        <f t="shared" si="4"/>
        <v>-1.3279480928405155E-3</v>
      </c>
      <c r="F60" s="4">
        <f t="shared" si="5"/>
        <v>737.66454929453027</v>
      </c>
    </row>
    <row r="61" spans="1:6">
      <c r="A61" s="7">
        <v>43393</v>
      </c>
      <c r="B61" s="9">
        <v>0.33333333333333331</v>
      </c>
      <c r="C61" s="2">
        <v>9443.1</v>
      </c>
      <c r="D61" s="2">
        <v>8.1999999999999993</v>
      </c>
      <c r="E61" s="3">
        <f t="shared" si="4"/>
        <v>-1.4286509616693102E-3</v>
      </c>
      <c r="F61" s="4">
        <f t="shared" si="5"/>
        <v>737.65427760190971</v>
      </c>
    </row>
    <row r="62" spans="1:6">
      <c r="A62" s="7">
        <v>43605</v>
      </c>
      <c r="B62" s="9">
        <v>0.41666666666666669</v>
      </c>
      <c r="C62" s="2">
        <v>9472.6</v>
      </c>
      <c r="D62" s="2">
        <v>7.6</v>
      </c>
      <c r="E62" s="3">
        <f t="shared" si="4"/>
        <v>-4.1495689049828484E-3</v>
      </c>
      <c r="F62" s="4">
        <f t="shared" si="5"/>
        <v>737.37674397169167</v>
      </c>
    </row>
    <row r="63" spans="1:6">
      <c r="A63" s="7">
        <v>43615</v>
      </c>
      <c r="B63" s="9">
        <v>0.41666666666666669</v>
      </c>
      <c r="C63" s="2">
        <v>9474.2999999999993</v>
      </c>
      <c r="D63" s="2">
        <v>7.8</v>
      </c>
      <c r="E63" s="3">
        <f t="shared" si="4"/>
        <v>-4.0720037727044328E-3</v>
      </c>
      <c r="F63" s="4">
        <f t="shared" si="5"/>
        <v>737.3846556151841</v>
      </c>
    </row>
    <row r="64" spans="1:6">
      <c r="A64" s="7">
        <v>43626</v>
      </c>
      <c r="B64" s="9">
        <v>0.41666666666666669</v>
      </c>
      <c r="C64" s="2">
        <v>9476.2000000000007</v>
      </c>
      <c r="D64" s="2">
        <v>7.8</v>
      </c>
      <c r="E64" s="3">
        <f t="shared" si="4"/>
        <v>-4.208613317930085E-3</v>
      </c>
      <c r="F64" s="4">
        <f t="shared" si="5"/>
        <v>737.37072144157105</v>
      </c>
    </row>
    <row r="65" spans="1:6">
      <c r="A65" s="7">
        <v>43636</v>
      </c>
      <c r="B65" s="9">
        <v>0.41666666666666669</v>
      </c>
      <c r="C65" s="2">
        <v>9477.6</v>
      </c>
      <c r="D65" s="2">
        <v>8</v>
      </c>
      <c r="E65" s="3">
        <f t="shared" si="4"/>
        <v>-4.1094732127728659E-3</v>
      </c>
      <c r="F65" s="4">
        <f t="shared" si="5"/>
        <v>737.38083373229711</v>
      </c>
    </row>
    <row r="66" spans="1:6">
      <c r="A66" s="7">
        <v>43646</v>
      </c>
      <c r="B66" s="9">
        <v>0.41666666666666669</v>
      </c>
      <c r="C66" s="2">
        <v>9452.2999999999993</v>
      </c>
      <c r="D66" s="2">
        <v>7.6</v>
      </c>
      <c r="E66" s="3">
        <f t="shared" si="4"/>
        <v>-2.6897596649965057E-3</v>
      </c>
      <c r="F66" s="4">
        <f t="shared" si="5"/>
        <v>737.52564451417027</v>
      </c>
    </row>
    <row r="67" spans="1:6">
      <c r="A67" s="7">
        <v>43656</v>
      </c>
      <c r="B67" s="9">
        <v>0.41666666666666669</v>
      </c>
      <c r="C67" s="2">
        <v>9437.7999999999993</v>
      </c>
      <c r="D67" s="2">
        <v>7.4</v>
      </c>
      <c r="E67" s="3">
        <f t="shared" si="4"/>
        <v>-1.8465993636259601E-3</v>
      </c>
      <c r="F67" s="4">
        <f t="shared" si="5"/>
        <v>737.61164686491009</v>
      </c>
    </row>
    <row r="68" spans="1:6">
      <c r="A68" s="7">
        <v>43666</v>
      </c>
      <c r="B68" s="9">
        <v>0.41666666666666669</v>
      </c>
      <c r="C68" s="2">
        <v>9430.2999999999993</v>
      </c>
      <c r="D68" s="2">
        <v>7.3</v>
      </c>
      <c r="E68" s="3">
        <f t="shared" si="4"/>
        <v>-1.4069596780084646E-3</v>
      </c>
      <c r="F68" s="4">
        <f t="shared" si="5"/>
        <v>737.65649011284313</v>
      </c>
    </row>
    <row r="69" spans="1:6">
      <c r="A69" s="7">
        <v>43676</v>
      </c>
      <c r="B69" s="9">
        <v>0.41666666666666669</v>
      </c>
      <c r="C69" s="2">
        <v>9426.7999999999993</v>
      </c>
      <c r="D69" s="2">
        <v>7.2</v>
      </c>
      <c r="E69" s="3">
        <f t="shared" si="4"/>
        <v>-1.2550557675520269E-3</v>
      </c>
      <c r="F69" s="4">
        <f t="shared" si="5"/>
        <v>737.67198431170959</v>
      </c>
    </row>
    <row r="70" spans="1:6">
      <c r="A70" s="7">
        <v>43687</v>
      </c>
      <c r="B70" s="9">
        <v>0.33333333333333331</v>
      </c>
      <c r="C70" s="2">
        <v>9420.2999999999993</v>
      </c>
      <c r="D70" s="2">
        <v>7.2</v>
      </c>
      <c r="E70" s="3">
        <f t="shared" si="4"/>
        <v>-7.8739163126850809E-4</v>
      </c>
      <c r="F70" s="4">
        <f t="shared" si="5"/>
        <v>737.71968605361053</v>
      </c>
    </row>
    <row r="71" spans="1:6">
      <c r="A71" s="7">
        <v>43697</v>
      </c>
      <c r="B71" s="1">
        <v>0.33333333333333331</v>
      </c>
      <c r="C71" s="2">
        <v>9413.7000000000007</v>
      </c>
      <c r="D71" s="2">
        <v>7</v>
      </c>
      <c r="E71" s="3">
        <f t="shared" si="4"/>
        <v>-5.1228965099259574E-4</v>
      </c>
      <c r="F71" s="4">
        <f t="shared" si="5"/>
        <v>737.74774645559876</v>
      </c>
    </row>
    <row r="72" spans="1:6">
      <c r="A72" s="7">
        <v>43707</v>
      </c>
      <c r="B72" s="9">
        <v>0.33333333333333331</v>
      </c>
      <c r="C72" s="2">
        <v>9409.9</v>
      </c>
      <c r="D72" s="2">
        <v>7</v>
      </c>
      <c r="E72" s="3">
        <f t="shared" si="4"/>
        <v>-2.3884405698538017E-4</v>
      </c>
      <c r="F72" s="4">
        <f t="shared" si="5"/>
        <v>737.7756379061874</v>
      </c>
    </row>
    <row r="73" spans="1:6">
      <c r="B73" s="9"/>
    </row>
    <row r="74" spans="1:6">
      <c r="B74" s="9"/>
    </row>
    <row r="75" spans="1:6">
      <c r="B75" s="9"/>
    </row>
    <row r="76" spans="1:6">
      <c r="B76" s="9"/>
    </row>
    <row r="77" spans="1:6">
      <c r="B77" s="9"/>
    </row>
    <row r="78" spans="1:6">
      <c r="B78" s="9"/>
    </row>
    <row r="79" spans="1:6">
      <c r="B79" s="9"/>
    </row>
    <row r="80" spans="1:6">
      <c r="B80" s="9"/>
    </row>
    <row r="81" spans="2:2">
      <c r="B81" s="9"/>
    </row>
    <row r="82" spans="2:2">
      <c r="B82" s="9"/>
    </row>
    <row r="83" spans="2:2">
      <c r="B83" s="9"/>
    </row>
    <row r="84" spans="2:2">
      <c r="B84" s="9"/>
    </row>
    <row r="85" spans="2:2">
      <c r="B85" s="9"/>
    </row>
    <row r="86" spans="2:2">
      <c r="B86" s="9"/>
    </row>
    <row r="87" spans="2:2">
      <c r="B87" s="9"/>
    </row>
    <row r="88" spans="2:2">
      <c r="B88" s="9"/>
    </row>
    <row r="89" spans="2:2">
      <c r="B89" s="9"/>
    </row>
    <row r="90" spans="2:2">
      <c r="B90" s="9"/>
    </row>
    <row r="91" spans="2:2">
      <c r="B91" s="9"/>
    </row>
    <row r="92" spans="2:2">
      <c r="B92" s="9"/>
    </row>
    <row r="93" spans="2:2">
      <c r="B93" s="9"/>
    </row>
    <row r="94" spans="2:2">
      <c r="B94" s="9"/>
    </row>
    <row r="95" spans="2:2">
      <c r="B95" s="9"/>
    </row>
    <row r="96" spans="2:2">
      <c r="B96" s="9"/>
    </row>
    <row r="97" spans="2:2">
      <c r="B97" s="9"/>
    </row>
    <row r="98" spans="2:2">
      <c r="B98" s="9"/>
    </row>
    <row r="99" spans="2:2">
      <c r="B99" s="9"/>
    </row>
    <row r="100" spans="2:2">
      <c r="B100" s="9"/>
    </row>
    <row r="101" spans="2:2">
      <c r="B101" s="9"/>
    </row>
    <row r="102" spans="2:2">
      <c r="B102" s="9"/>
    </row>
    <row r="103" spans="2:2">
      <c r="B103" s="9"/>
    </row>
    <row r="104" spans="2:2">
      <c r="B104" s="9"/>
    </row>
    <row r="105" spans="2:2">
      <c r="B105" s="9"/>
    </row>
    <row r="106" spans="2:2">
      <c r="B106" s="9"/>
    </row>
    <row r="107" spans="2:2">
      <c r="B107" s="9"/>
    </row>
    <row r="108" spans="2:2">
      <c r="B108" s="9"/>
    </row>
    <row r="109" spans="2:2">
      <c r="B109" s="9"/>
    </row>
    <row r="110" spans="2:2">
      <c r="B110" s="9"/>
    </row>
    <row r="111" spans="2:2">
      <c r="B111" s="9"/>
    </row>
    <row r="112" spans="2:2">
      <c r="B112" s="9"/>
    </row>
    <row r="113" spans="2:2">
      <c r="B113" s="9"/>
    </row>
    <row r="114" spans="2:2">
      <c r="B114" s="9"/>
    </row>
    <row r="115" spans="2:2">
      <c r="B115" s="9"/>
    </row>
    <row r="116" spans="2:2">
      <c r="B116" s="9"/>
    </row>
    <row r="117" spans="2:2">
      <c r="B117" s="9"/>
    </row>
    <row r="118" spans="2:2">
      <c r="B118" s="9"/>
    </row>
    <row r="119" spans="2:2">
      <c r="B119" s="9"/>
    </row>
    <row r="120" spans="2:2">
      <c r="B120" s="9"/>
    </row>
    <row r="121" spans="2:2">
      <c r="B121" s="9"/>
    </row>
    <row r="122" spans="2:2">
      <c r="B122" s="9"/>
    </row>
    <row r="123" spans="2:2">
      <c r="B123" s="9"/>
    </row>
    <row r="124" spans="2:2">
      <c r="B124" s="9"/>
    </row>
    <row r="125" spans="2:2">
      <c r="B125" s="9"/>
    </row>
    <row r="126" spans="2:2">
      <c r="B126" s="9"/>
    </row>
    <row r="127" spans="2:2">
      <c r="B127" s="9"/>
    </row>
    <row r="128" spans="2:2">
      <c r="B128" s="9"/>
    </row>
    <row r="129" spans="2:2">
      <c r="B129" s="9"/>
    </row>
    <row r="130" spans="2:2">
      <c r="B130" s="9"/>
    </row>
    <row r="131" spans="2:2">
      <c r="B131" s="9"/>
    </row>
    <row r="132" spans="2:2">
      <c r="B132" s="9"/>
    </row>
    <row r="133" spans="2:2">
      <c r="B133" s="9"/>
    </row>
    <row r="134" spans="2:2">
      <c r="B134" s="9"/>
    </row>
    <row r="135" spans="2:2">
      <c r="B135" s="9"/>
    </row>
    <row r="136" spans="2:2">
      <c r="B136" s="9"/>
    </row>
    <row r="137" spans="2:2">
      <c r="B137" s="9"/>
    </row>
    <row r="138" spans="2:2">
      <c r="B138" s="9"/>
    </row>
    <row r="139" spans="2:2">
      <c r="B139" s="9"/>
    </row>
    <row r="140" spans="2:2">
      <c r="B140" s="9"/>
    </row>
    <row r="141" spans="2:2">
      <c r="B141" s="9"/>
    </row>
    <row r="142" spans="2:2">
      <c r="B142" s="9"/>
    </row>
    <row r="143" spans="2:2">
      <c r="B143" s="9"/>
    </row>
    <row r="144" spans="2:2">
      <c r="B144" s="9"/>
    </row>
    <row r="145" spans="2:2">
      <c r="B145" s="9"/>
    </row>
    <row r="146" spans="2:2">
      <c r="B146" s="9"/>
    </row>
    <row r="147" spans="2:2">
      <c r="B147" s="9"/>
    </row>
    <row r="148" spans="2:2">
      <c r="B148" s="9"/>
    </row>
    <row r="149" spans="2:2">
      <c r="B149" s="9"/>
    </row>
    <row r="150" spans="2:2">
      <c r="B150" s="9"/>
    </row>
    <row r="151" spans="2:2">
      <c r="B151" s="9"/>
    </row>
    <row r="152" spans="2:2">
      <c r="B152" s="9"/>
    </row>
    <row r="153" spans="2:2">
      <c r="B153" s="9"/>
    </row>
    <row r="154" spans="2:2">
      <c r="B154" s="9"/>
    </row>
    <row r="155" spans="2:2">
      <c r="B155" s="9"/>
    </row>
    <row r="156" spans="2:2">
      <c r="B156" s="9"/>
    </row>
    <row r="157" spans="2:2">
      <c r="B157" s="9"/>
    </row>
    <row r="158" spans="2:2">
      <c r="B158" s="9"/>
    </row>
    <row r="159" spans="2:2">
      <c r="B159" s="9"/>
    </row>
    <row r="160" spans="2:2">
      <c r="B160" s="9"/>
    </row>
    <row r="161" spans="2:2">
      <c r="B161" s="9"/>
    </row>
    <row r="162" spans="2:2">
      <c r="B162" s="9"/>
    </row>
    <row r="163" spans="2:2">
      <c r="B163" s="9"/>
    </row>
    <row r="164" spans="2:2">
      <c r="B164" s="9"/>
    </row>
    <row r="165" spans="2:2">
      <c r="B165" s="9"/>
    </row>
    <row r="166" spans="2:2">
      <c r="B166" s="9"/>
    </row>
    <row r="167" spans="2:2">
      <c r="B167" s="9"/>
    </row>
    <row r="168" spans="2:2">
      <c r="B168" s="9"/>
    </row>
    <row r="169" spans="2:2">
      <c r="B169" s="9"/>
    </row>
    <row r="170" spans="2:2">
      <c r="B170" s="9"/>
    </row>
    <row r="171" spans="2:2">
      <c r="B171" s="9"/>
    </row>
    <row r="172" spans="2:2">
      <c r="B172" s="9"/>
    </row>
    <row r="173" spans="2:2">
      <c r="B173" s="9"/>
    </row>
    <row r="174" spans="2:2">
      <c r="B174" s="9"/>
    </row>
    <row r="175" spans="2:2">
      <c r="B175" s="9"/>
    </row>
    <row r="176" spans="2:2">
      <c r="B176" s="9"/>
    </row>
  </sheetData>
  <phoneticPr fontId="4" type="noConversion"/>
  <pageMargins left="0.69930555555555596" right="0.69930555555555596" top="0.75" bottom="0.75" header="0.3" footer="0.3"/>
  <pageSetup paperSize="9" orientation="portrait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6"/>
  <sheetViews>
    <sheetView topLeftCell="A52" workbookViewId="0">
      <selection activeCell="A70" sqref="A70:B72"/>
    </sheetView>
  </sheetViews>
  <sheetFormatPr defaultColWidth="9" defaultRowHeight="13.5"/>
  <cols>
    <col min="1" max="1" width="11.25" customWidth="1"/>
    <col min="2" max="2" width="13.125" style="17" customWidth="1"/>
    <col min="5" max="5" width="10.875" customWidth="1"/>
  </cols>
  <sheetData>
    <row r="1" spans="1:7">
      <c r="A1" t="s">
        <v>0</v>
      </c>
      <c r="B1" s="17">
        <v>50375</v>
      </c>
      <c r="C1" t="s">
        <v>1</v>
      </c>
      <c r="D1">
        <v>731</v>
      </c>
    </row>
    <row r="2" spans="1:7">
      <c r="A2" t="s">
        <v>2</v>
      </c>
      <c r="B2">
        <f>8.41667*10^-10</f>
        <v>8.4166700000000003E-10</v>
      </c>
    </row>
    <row r="3" spans="1:7">
      <c r="A3" t="s">
        <v>3</v>
      </c>
      <c r="B3" s="17">
        <v>-8.4859999999999997E-5</v>
      </c>
    </row>
    <row r="4" spans="1:7">
      <c r="A4" t="s">
        <v>4</v>
      </c>
      <c r="B4" s="17">
        <v>0.73223369999999999</v>
      </c>
    </row>
    <row r="5" spans="1:7">
      <c r="A5" t="s">
        <v>5</v>
      </c>
      <c r="B5" s="17">
        <v>-8.75481E-4</v>
      </c>
    </row>
    <row r="6" spans="1:7">
      <c r="A6" t="s">
        <v>6</v>
      </c>
      <c r="B6" s="17" t="s">
        <v>7</v>
      </c>
      <c r="C6" t="s">
        <v>8</v>
      </c>
      <c r="D6" t="s">
        <v>9</v>
      </c>
      <c r="E6" t="s">
        <v>10</v>
      </c>
      <c r="F6" t="s">
        <v>11</v>
      </c>
      <c r="G6" t="s">
        <v>12</v>
      </c>
    </row>
    <row r="7" spans="1:7">
      <c r="A7" s="6">
        <v>42529</v>
      </c>
      <c r="B7" s="9">
        <v>0.33333333333333298</v>
      </c>
      <c r="C7" s="2">
        <v>9421</v>
      </c>
      <c r="D7" s="2">
        <v>9.8000000000000007</v>
      </c>
      <c r="E7" s="3">
        <f>($B$2*C7^2+$B$3*C7+$B$4)-$B$5*D7</f>
        <v>1.6049711226747032E-2</v>
      </c>
      <c r="G7" t="s">
        <v>13</v>
      </c>
    </row>
    <row r="8" spans="1:7">
      <c r="A8" s="7">
        <v>42529</v>
      </c>
      <c r="B8" s="9">
        <v>0.41666666666666702</v>
      </c>
      <c r="C8" s="2">
        <v>9350.4</v>
      </c>
      <c r="D8" s="2">
        <v>8.8000000000000007</v>
      </c>
      <c r="E8" s="3">
        <f>($B$2*C8^2+$B$3*C8+$B$4)-$B$5*D8-$E$7</f>
        <v>4.0002066845796908E-3</v>
      </c>
      <c r="F8" s="4">
        <f>$D$1+102*E8</f>
        <v>731.40802108182709</v>
      </c>
      <c r="G8" t="s">
        <v>17</v>
      </c>
    </row>
    <row r="9" spans="1:7">
      <c r="A9" s="7">
        <v>42530</v>
      </c>
      <c r="B9" s="9">
        <v>0.75</v>
      </c>
      <c r="C9" s="2">
        <v>8941.5</v>
      </c>
      <c r="D9" s="2">
        <v>5.2</v>
      </c>
      <c r="E9" s="3">
        <f t="shared" ref="E9:E23" si="0">($B$2*C9^2+$B$3*C9+$B$4)-$B$5*D9-$E$7</f>
        <v>2.9252432017143726E-2</v>
      </c>
      <c r="F9" s="4">
        <f t="shared" ref="F9:F54" si="1">$D$1+102*E9</f>
        <v>733.98374806574861</v>
      </c>
      <c r="G9" t="s">
        <v>25</v>
      </c>
    </row>
    <row r="10" spans="1:7">
      <c r="A10" s="7">
        <v>42530</v>
      </c>
      <c r="B10" s="9">
        <v>0.41666666666666702</v>
      </c>
      <c r="C10" s="2">
        <v>8751.2000000000007</v>
      </c>
      <c r="D10" s="2">
        <v>3.9</v>
      </c>
      <c r="E10" s="3">
        <f t="shared" si="0"/>
        <v>4.1429338579753464E-2</v>
      </c>
      <c r="F10" s="4">
        <f t="shared" si="1"/>
        <v>735.22579253513481</v>
      </c>
    </row>
    <row r="11" spans="1:7">
      <c r="A11" s="7">
        <v>42531</v>
      </c>
      <c r="B11" s="9">
        <v>0.33333333333333298</v>
      </c>
      <c r="C11" s="2">
        <v>8753.9</v>
      </c>
      <c r="D11" s="2">
        <v>4</v>
      </c>
      <c r="E11" s="3">
        <f t="shared" si="0"/>
        <v>4.1327545035258109E-2</v>
      </c>
      <c r="F11" s="4">
        <f t="shared" si="1"/>
        <v>735.21540959359629</v>
      </c>
    </row>
    <row r="12" spans="1:7">
      <c r="A12" s="7">
        <v>42532</v>
      </c>
      <c r="B12" s="9">
        <v>0.33333333333333298</v>
      </c>
      <c r="C12" s="2">
        <v>8752.1</v>
      </c>
      <c r="D12" s="2">
        <v>3.9</v>
      </c>
      <c r="E12" s="3">
        <f t="shared" si="0"/>
        <v>4.1366223334754329E-2</v>
      </c>
      <c r="F12" s="4">
        <f t="shared" si="1"/>
        <v>735.21935478014495</v>
      </c>
    </row>
    <row r="13" spans="1:7">
      <c r="A13" s="7">
        <v>42533</v>
      </c>
      <c r="B13" s="9">
        <v>0.33333333333333298</v>
      </c>
      <c r="C13" s="2">
        <v>8751.6</v>
      </c>
      <c r="D13" s="2">
        <v>3.9</v>
      </c>
      <c r="E13" s="3">
        <f t="shared" si="0"/>
        <v>4.1401287191420513E-2</v>
      </c>
      <c r="F13" s="4">
        <f t="shared" si="1"/>
        <v>735.22293129352488</v>
      </c>
    </row>
    <row r="14" spans="1:7">
      <c r="A14" s="7">
        <v>42534</v>
      </c>
      <c r="B14" s="9">
        <v>0.33333333333333298</v>
      </c>
      <c r="C14" s="2">
        <v>8746.1</v>
      </c>
      <c r="D14" s="2">
        <v>3.9</v>
      </c>
      <c r="E14" s="3">
        <f t="shared" si="0"/>
        <v>4.1787017389757944E-2</v>
      </c>
      <c r="F14" s="4">
        <f t="shared" si="1"/>
        <v>735.26227577375528</v>
      </c>
    </row>
    <row r="15" spans="1:7">
      <c r="A15" s="7">
        <v>42535</v>
      </c>
      <c r="B15" s="9">
        <v>0.33333333333333298</v>
      </c>
      <c r="C15" s="2">
        <v>8743.7999999999993</v>
      </c>
      <c r="D15" s="2">
        <v>3.9</v>
      </c>
      <c r="E15" s="3">
        <f t="shared" si="0"/>
        <v>4.1948337844932529E-2</v>
      </c>
      <c r="F15" s="4">
        <f t="shared" si="1"/>
        <v>735.27873046018317</v>
      </c>
    </row>
    <row r="16" spans="1:7">
      <c r="A16" s="6">
        <v>42536</v>
      </c>
      <c r="B16" s="9">
        <v>0.33333333333333298</v>
      </c>
      <c r="C16" s="2">
        <v>8747.6</v>
      </c>
      <c r="D16" s="2">
        <v>3.9</v>
      </c>
      <c r="E16" s="3">
        <f t="shared" si="0"/>
        <v>4.1681813194754794E-2</v>
      </c>
      <c r="F16" s="4">
        <f t="shared" si="1"/>
        <v>735.25154494586502</v>
      </c>
    </row>
    <row r="17" spans="1:6">
      <c r="A17" s="6">
        <v>42537</v>
      </c>
      <c r="B17" s="9">
        <v>0.33333333333333298</v>
      </c>
      <c r="C17" s="2">
        <v>8751.2999999999993</v>
      </c>
      <c r="D17" s="2">
        <v>3.9</v>
      </c>
      <c r="E17" s="3">
        <f t="shared" si="0"/>
        <v>4.1422325707420285E-2</v>
      </c>
      <c r="F17" s="4">
        <f t="shared" si="1"/>
        <v>735.22507722215687</v>
      </c>
    </row>
    <row r="18" spans="1:6">
      <c r="A18" s="6">
        <v>42538</v>
      </c>
      <c r="B18" s="9">
        <v>0.33333333333333298</v>
      </c>
      <c r="C18" s="2">
        <v>8747.5</v>
      </c>
      <c r="D18" s="2">
        <v>3.9</v>
      </c>
      <c r="E18" s="3">
        <f t="shared" si="0"/>
        <v>4.1688826689921646E-2</v>
      </c>
      <c r="F18" s="4">
        <f t="shared" si="1"/>
        <v>735.25226032237197</v>
      </c>
    </row>
    <row r="19" spans="1:6">
      <c r="A19" s="6">
        <v>42544</v>
      </c>
      <c r="B19" s="9">
        <v>0.33333333333333298</v>
      </c>
      <c r="C19" s="2">
        <v>8495.2000000000007</v>
      </c>
      <c r="D19" s="2">
        <v>4</v>
      </c>
      <c r="E19" s="3">
        <f t="shared" si="0"/>
        <v>5.9525020888060623E-2</v>
      </c>
      <c r="F19" s="4">
        <f t="shared" si="1"/>
        <v>737.07155213058218</v>
      </c>
    </row>
    <row r="20" spans="1:6">
      <c r="A20" s="7">
        <v>42551</v>
      </c>
      <c r="B20" s="9">
        <v>0.33333333333333298</v>
      </c>
      <c r="C20" s="2">
        <v>8633.1</v>
      </c>
      <c r="D20" s="2">
        <v>4</v>
      </c>
      <c r="E20" s="3">
        <f t="shared" si="0"/>
        <v>4.9810838088474821E-2</v>
      </c>
      <c r="F20" s="4">
        <f t="shared" si="1"/>
        <v>736.0807054850244</v>
      </c>
    </row>
    <row r="21" spans="1:6">
      <c r="A21" s="7">
        <v>42561</v>
      </c>
      <c r="B21" s="9">
        <v>0.33333333333333298</v>
      </c>
      <c r="C21" s="2">
        <v>8668.7000000000007</v>
      </c>
      <c r="D21" s="2">
        <v>4</v>
      </c>
      <c r="E21" s="3">
        <f t="shared" si="0"/>
        <v>4.7308241894456218E-2</v>
      </c>
      <c r="F21" s="4">
        <f t="shared" si="1"/>
        <v>735.82544067323454</v>
      </c>
    </row>
    <row r="22" spans="1:6">
      <c r="A22" s="7">
        <v>42571</v>
      </c>
      <c r="B22" s="9">
        <v>0.33333333333333298</v>
      </c>
      <c r="C22" s="2">
        <v>8656.7000000000007</v>
      </c>
      <c r="D22" s="2">
        <v>4.0999999999999996</v>
      </c>
      <c r="E22" s="3">
        <f t="shared" si="0"/>
        <v>4.8239123385154639E-2</v>
      </c>
      <c r="F22" s="4">
        <f t="shared" si="1"/>
        <v>735.92039058528576</v>
      </c>
    </row>
    <row r="23" spans="1:6">
      <c r="A23" s="7">
        <v>42581</v>
      </c>
      <c r="B23" s="9">
        <v>0.33333333333333298</v>
      </c>
      <c r="C23" s="2">
        <v>8641.4</v>
      </c>
      <c r="D23" s="2">
        <v>4.2</v>
      </c>
      <c r="E23" s="3">
        <f t="shared" si="0"/>
        <v>4.9402273114184284E-2</v>
      </c>
      <c r="F23" s="4">
        <f t="shared" si="1"/>
        <v>736.03903185764682</v>
      </c>
    </row>
    <row r="24" spans="1:6">
      <c r="A24" s="7">
        <v>42592</v>
      </c>
      <c r="B24" s="9">
        <v>0.33333333333333298</v>
      </c>
      <c r="C24" s="2">
        <v>8652.1</v>
      </c>
      <c r="D24" s="2">
        <v>4.3</v>
      </c>
      <c r="E24" s="3">
        <f t="shared" ref="E24:E45" si="2">($B$2*C24^2+$B$3*C24+$B$4)-$B$5*D24-$E$7</f>
        <v>4.8737561654614459E-2</v>
      </c>
      <c r="F24" s="4">
        <f t="shared" si="1"/>
        <v>735.9712312887707</v>
      </c>
    </row>
    <row r="25" spans="1:6">
      <c r="A25" s="7">
        <v>42602</v>
      </c>
      <c r="B25" s="9">
        <v>0.33333333333333298</v>
      </c>
      <c r="C25" s="2">
        <v>8656.5</v>
      </c>
      <c r="D25" s="2">
        <v>4.5999999999999996</v>
      </c>
      <c r="E25" s="3">
        <f t="shared" si="2"/>
        <v>4.8690921495333772E-2</v>
      </c>
      <c r="F25" s="4">
        <f t="shared" si="1"/>
        <v>735.96647399252402</v>
      </c>
    </row>
    <row r="26" spans="1:6">
      <c r="A26" s="7">
        <v>42612</v>
      </c>
      <c r="B26" s="9">
        <v>0.33333333333333298</v>
      </c>
      <c r="C26" s="2">
        <v>8640.9</v>
      </c>
      <c r="D26" s="2">
        <v>4.8</v>
      </c>
      <c r="E26" s="3">
        <f t="shared" si="2"/>
        <v>4.9962718743387258E-2</v>
      </c>
      <c r="F26" s="4">
        <f t="shared" si="1"/>
        <v>736.09619731182545</v>
      </c>
    </row>
    <row r="27" spans="1:6">
      <c r="A27" s="6">
        <v>42623</v>
      </c>
      <c r="B27" s="9">
        <v>0.33333333333333298</v>
      </c>
      <c r="C27" s="2">
        <v>8622.6</v>
      </c>
      <c r="D27" s="2">
        <v>5</v>
      </c>
      <c r="E27" s="3">
        <f t="shared" si="2"/>
        <v>5.1424851779329817E-2</v>
      </c>
      <c r="F27" s="4">
        <f t="shared" si="1"/>
        <v>736.24533488149166</v>
      </c>
    </row>
    <row r="28" spans="1:6">
      <c r="A28" s="6">
        <v>42633</v>
      </c>
      <c r="B28" s="9">
        <v>0.33333333333333331</v>
      </c>
      <c r="C28" s="2">
        <v>8593.7000000000007</v>
      </c>
      <c r="D28" s="2">
        <v>5.2</v>
      </c>
      <c r="E28" s="3">
        <f t="shared" si="2"/>
        <v>5.3633629662896143E-2</v>
      </c>
      <c r="F28" s="4">
        <f t="shared" si="1"/>
        <v>736.47063022561542</v>
      </c>
    </row>
    <row r="29" spans="1:6">
      <c r="A29" s="7">
        <v>42643</v>
      </c>
      <c r="B29" s="9">
        <v>0.33333333333333331</v>
      </c>
      <c r="C29" s="2">
        <v>8645</v>
      </c>
      <c r="D29" s="2">
        <v>5.5</v>
      </c>
      <c r="E29" s="3">
        <f t="shared" si="2"/>
        <v>5.0287280226928022E-2</v>
      </c>
      <c r="F29" s="4">
        <f t="shared" si="1"/>
        <v>736.12930258314668</v>
      </c>
    </row>
    <row r="30" spans="1:6">
      <c r="A30" s="7">
        <v>42883</v>
      </c>
      <c r="B30" s="9">
        <v>0.33333333333333331</v>
      </c>
      <c r="C30" s="2">
        <v>8738.5</v>
      </c>
      <c r="D30" s="2">
        <v>8.9</v>
      </c>
      <c r="E30" s="3">
        <f t="shared" si="2"/>
        <v>4.6697515187463692E-2</v>
      </c>
      <c r="F30" s="4">
        <f t="shared" si="1"/>
        <v>735.7631465491213</v>
      </c>
    </row>
    <row r="31" spans="1:6">
      <c r="A31" s="7">
        <v>42885</v>
      </c>
      <c r="B31" s="9">
        <v>0.33333333333333331</v>
      </c>
      <c r="C31" s="2">
        <v>8745.7999999999993</v>
      </c>
      <c r="D31" s="2">
        <v>8.9</v>
      </c>
      <c r="E31" s="3">
        <f t="shared" si="2"/>
        <v>4.6185463683258834E-2</v>
      </c>
      <c r="F31" s="4">
        <f t="shared" si="1"/>
        <v>735.71091729569241</v>
      </c>
    </row>
    <row r="32" spans="1:6">
      <c r="A32" s="7">
        <v>42896</v>
      </c>
      <c r="B32" s="9">
        <v>0.33333333333333331</v>
      </c>
      <c r="C32" s="2">
        <v>8750.2999999999993</v>
      </c>
      <c r="D32" s="2">
        <v>8.9</v>
      </c>
      <c r="E32" s="3">
        <f t="shared" si="2"/>
        <v>4.5869860188253023E-2</v>
      </c>
      <c r="F32" s="4">
        <f t="shared" si="1"/>
        <v>735.67872573920181</v>
      </c>
    </row>
    <row r="33" spans="1:6">
      <c r="A33" s="7">
        <v>42906</v>
      </c>
      <c r="B33" s="9">
        <v>0.33333333333333331</v>
      </c>
      <c r="C33" s="2">
        <v>8745.7999999999993</v>
      </c>
      <c r="D33" s="2">
        <v>8.9</v>
      </c>
      <c r="E33" s="3">
        <f t="shared" si="2"/>
        <v>4.6185463683258834E-2</v>
      </c>
      <c r="F33" s="4">
        <f t="shared" si="1"/>
        <v>735.71091729569241</v>
      </c>
    </row>
    <row r="34" spans="1:6">
      <c r="A34" s="7">
        <v>42916</v>
      </c>
      <c r="B34" s="9">
        <v>0.33333333333333331</v>
      </c>
      <c r="C34" s="2">
        <v>8724</v>
      </c>
      <c r="D34" s="2">
        <v>9</v>
      </c>
      <c r="E34" s="3">
        <f t="shared" si="2"/>
        <v>4.7802417942644962E-2</v>
      </c>
      <c r="F34" s="4">
        <f t="shared" si="1"/>
        <v>735.87584663014979</v>
      </c>
    </row>
    <row r="35" spans="1:6">
      <c r="A35" s="7">
        <v>42926</v>
      </c>
      <c r="B35" s="9">
        <v>0.33333333333333331</v>
      </c>
      <c r="C35" s="2">
        <v>8758.4</v>
      </c>
      <c r="D35" s="2">
        <v>8.9</v>
      </c>
      <c r="E35" s="3">
        <f t="shared" si="2"/>
        <v>4.5301859797776581E-2</v>
      </c>
      <c r="F35" s="4">
        <f t="shared" si="1"/>
        <v>735.62078969937318</v>
      </c>
    </row>
    <row r="36" spans="1:6">
      <c r="A36" s="7">
        <v>42936</v>
      </c>
      <c r="B36" s="9">
        <v>0.33333333333333331</v>
      </c>
      <c r="C36" s="2">
        <v>8751.1</v>
      </c>
      <c r="D36" s="2">
        <v>8.9</v>
      </c>
      <c r="E36" s="3">
        <f t="shared" si="2"/>
        <v>4.5813756468920067E-2</v>
      </c>
      <c r="F36" s="4">
        <f t="shared" si="1"/>
        <v>735.67300315982982</v>
      </c>
    </row>
    <row r="37" spans="1:6">
      <c r="A37" s="7">
        <v>42946</v>
      </c>
      <c r="B37" s="9">
        <v>0.33333333333333331</v>
      </c>
      <c r="C37" s="2">
        <v>8764.6</v>
      </c>
      <c r="D37" s="2">
        <v>8.8000000000000007</v>
      </c>
      <c r="E37" s="3">
        <f t="shared" si="2"/>
        <v>4.4779620588990668E-2</v>
      </c>
      <c r="F37" s="4">
        <f t="shared" si="1"/>
        <v>735.56752130007703</v>
      </c>
    </row>
    <row r="38" spans="1:6">
      <c r="A38" s="7">
        <v>42957</v>
      </c>
      <c r="B38" s="9">
        <v>0.33333333333333331</v>
      </c>
      <c r="C38" s="2">
        <v>8745.7999999999993</v>
      </c>
      <c r="D38" s="2">
        <v>8.6999999999999993</v>
      </c>
      <c r="E38" s="3">
        <f t="shared" si="2"/>
        <v>4.6010367483258832E-2</v>
      </c>
      <c r="F38" s="4">
        <f t="shared" si="1"/>
        <v>735.69305748329236</v>
      </c>
    </row>
    <row r="39" spans="1:6">
      <c r="A39" s="7">
        <v>42967</v>
      </c>
      <c r="B39" s="9">
        <v>0.33333333333333331</v>
      </c>
      <c r="C39" s="2">
        <v>8754.7000000000007</v>
      </c>
      <c r="D39" s="2">
        <v>8.6999999999999993</v>
      </c>
      <c r="E39" s="3">
        <f t="shared" si="2"/>
        <v>4.5386206863926928E-2</v>
      </c>
      <c r="F39" s="4">
        <f t="shared" si="1"/>
        <v>735.62939310012052</v>
      </c>
    </row>
    <row r="40" spans="1:6">
      <c r="A40" s="7">
        <v>42977</v>
      </c>
      <c r="B40" s="9">
        <v>0.33333333333333331</v>
      </c>
      <c r="C40" s="2">
        <v>8741.7000000000007</v>
      </c>
      <c r="D40" s="2">
        <v>9.5</v>
      </c>
      <c r="E40" s="3">
        <f t="shared" si="2"/>
        <v>4.6998331811442529E-2</v>
      </c>
      <c r="F40" s="4">
        <f t="shared" si="1"/>
        <v>735.79382984476717</v>
      </c>
    </row>
    <row r="41" spans="1:6">
      <c r="A41" s="7">
        <v>42988</v>
      </c>
      <c r="B41" s="9">
        <v>0.33333333333333331</v>
      </c>
      <c r="C41" s="2">
        <v>8737.4</v>
      </c>
      <c r="D41" s="2">
        <v>8.4</v>
      </c>
      <c r="E41" s="3">
        <f t="shared" si="2"/>
        <v>4.6336940910305949E-2</v>
      </c>
      <c r="F41" s="4">
        <f t="shared" si="1"/>
        <v>735.72636797285122</v>
      </c>
    </row>
    <row r="42" spans="1:6">
      <c r="A42" s="7">
        <v>42998</v>
      </c>
      <c r="B42" s="9">
        <v>0.33333333333333331</v>
      </c>
      <c r="C42" s="2">
        <v>8749.9</v>
      </c>
      <c r="D42" s="2">
        <v>8.4</v>
      </c>
      <c r="E42" s="3">
        <f t="shared" si="2"/>
        <v>4.5460171951919662E-2</v>
      </c>
      <c r="F42" s="4">
        <f t="shared" si="1"/>
        <v>735.63693753909581</v>
      </c>
    </row>
    <row r="43" spans="1:6">
      <c r="A43" s="7">
        <v>43008</v>
      </c>
      <c r="B43" s="9">
        <v>0.33333333333333331</v>
      </c>
      <c r="C43" s="2">
        <v>8747.6</v>
      </c>
      <c r="D43" s="2">
        <v>8.5</v>
      </c>
      <c r="E43" s="3">
        <f t="shared" si="2"/>
        <v>4.570902579475479E-2</v>
      </c>
      <c r="F43" s="4">
        <f t="shared" si="1"/>
        <v>735.66232063106497</v>
      </c>
    </row>
    <row r="44" spans="1:6">
      <c r="A44" s="7">
        <v>43018</v>
      </c>
      <c r="B44" s="9">
        <v>0.33333333333333331</v>
      </c>
      <c r="C44" s="2">
        <v>8745.7999999999993</v>
      </c>
      <c r="D44" s="2">
        <v>8.3000000000000007</v>
      </c>
      <c r="E44" s="3">
        <f t="shared" si="2"/>
        <v>4.5660175083258835E-2</v>
      </c>
      <c r="F44" s="4">
        <f t="shared" si="1"/>
        <v>735.65733785849238</v>
      </c>
    </row>
    <row r="45" spans="1:6">
      <c r="A45" s="7">
        <v>43230</v>
      </c>
      <c r="B45" s="9">
        <v>0.33333333333333331</v>
      </c>
      <c r="C45" s="2">
        <v>8753.1</v>
      </c>
      <c r="D45" s="2">
        <v>8.1999999999999993</v>
      </c>
      <c r="E45" s="3">
        <f t="shared" si="2"/>
        <v>4.5060665183922842E-2</v>
      </c>
      <c r="F45" s="4">
        <f t="shared" si="1"/>
        <v>735.59618784876011</v>
      </c>
    </row>
    <row r="46" spans="1:6">
      <c r="A46" s="7">
        <v>43240</v>
      </c>
      <c r="B46" s="9">
        <v>0.33333333333333331</v>
      </c>
      <c r="C46" s="2">
        <v>8761.4</v>
      </c>
      <c r="D46" s="2">
        <v>8.3000000000000007</v>
      </c>
      <c r="E46" s="3">
        <f>($B$2*C46^2+$B$3*C46+$B$4)-$B$5*D46-$E$7</f>
        <v>4.4566228710296384E-2</v>
      </c>
      <c r="F46" s="4">
        <f t="shared" si="1"/>
        <v>735.54575532845024</v>
      </c>
    </row>
    <row r="47" spans="1:6">
      <c r="A47" s="7">
        <v>43250</v>
      </c>
      <c r="B47" s="9">
        <v>0.33333333333333331</v>
      </c>
      <c r="C47" s="2">
        <v>8753.6</v>
      </c>
      <c r="D47" s="2">
        <v>8.4</v>
      </c>
      <c r="E47" s="3">
        <f>($B$2*C47^2+$B$3*C47+$B$4)-$B$5*D47-$E$7</f>
        <v>4.5200698789757202E-2</v>
      </c>
      <c r="F47" s="4">
        <f t="shared" si="1"/>
        <v>735.61047127655524</v>
      </c>
    </row>
    <row r="48" spans="1:6">
      <c r="A48" s="7">
        <v>43261</v>
      </c>
      <c r="B48" s="9">
        <v>0.33333333333333331</v>
      </c>
      <c r="C48" s="2">
        <v>8739.5</v>
      </c>
      <c r="D48" s="2">
        <v>8.1999999999999993</v>
      </c>
      <c r="E48" s="3">
        <f>($B$2*C48^2+$B$3*C48+$B$4)-$B$5*D48-$E$7</f>
        <v>4.601452914328976E-2</v>
      </c>
      <c r="F48" s="4">
        <f t="shared" si="1"/>
        <v>735.69348197261559</v>
      </c>
    </row>
    <row r="49" spans="1:6">
      <c r="A49" s="7">
        <v>43271</v>
      </c>
      <c r="B49" s="9">
        <v>0.33333333333333331</v>
      </c>
      <c r="C49" s="2">
        <v>8591.7000000000007</v>
      </c>
      <c r="D49" s="2">
        <v>8.5</v>
      </c>
      <c r="E49" s="3">
        <f>($B$2*C49^2+$B$3*C49+$B$4)-$B$5*D49-$E$7</f>
        <v>5.6663508194772519E-2</v>
      </c>
      <c r="F49" s="4">
        <f t="shared" si="1"/>
        <v>736.77967783586678</v>
      </c>
    </row>
    <row r="50" spans="1:6">
      <c r="A50" s="7">
        <v>43281</v>
      </c>
      <c r="B50" s="9">
        <v>0.33333333333333331</v>
      </c>
      <c r="C50" s="2">
        <v>8623.9</v>
      </c>
      <c r="D50" s="2">
        <v>8.1999999999999993</v>
      </c>
      <c r="E50" s="3">
        <f>($B$2*C50^2+$B$3*C50+$B$4)-$B$5*D50-$E$7</f>
        <v>5.4134943532220162E-2</v>
      </c>
      <c r="F50" s="4">
        <f t="shared" si="1"/>
        <v>736.52176424028642</v>
      </c>
    </row>
    <row r="51" spans="1:6">
      <c r="A51" s="7">
        <v>43291</v>
      </c>
      <c r="B51" s="9">
        <v>0.33333333333333331</v>
      </c>
      <c r="C51" s="2">
        <v>8679.6</v>
      </c>
      <c r="D51" s="2">
        <v>9</v>
      </c>
      <c r="E51" s="3">
        <f t="shared" ref="E51:E54" si="3">($B$2*C51^2+$B$3*C51+$B$4)-$B$5*D51-$E$7</f>
        <v>5.0919829153071708E-2</v>
      </c>
      <c r="F51" s="4">
        <f t="shared" si="1"/>
        <v>736.19382257361326</v>
      </c>
    </row>
    <row r="52" spans="1:6">
      <c r="A52" s="7">
        <v>43301</v>
      </c>
      <c r="B52" s="9">
        <v>0.33333333333333331</v>
      </c>
      <c r="C52" s="2">
        <v>8685</v>
      </c>
      <c r="D52" s="2">
        <v>8.3000000000000007</v>
      </c>
      <c r="E52" s="3">
        <f t="shared" si="3"/>
        <v>4.992767059132798E-2</v>
      </c>
      <c r="F52" s="4">
        <f t="shared" si="1"/>
        <v>736.09262240031546</v>
      </c>
    </row>
    <row r="53" spans="1:6">
      <c r="A53" s="7">
        <v>43311</v>
      </c>
      <c r="B53" s="9">
        <v>0.33333333333333331</v>
      </c>
      <c r="C53" s="2">
        <v>8674.9</v>
      </c>
      <c r="D53" s="2">
        <v>8.1999999999999993</v>
      </c>
      <c r="E53" s="3">
        <f t="shared" si="3"/>
        <v>5.0549634816299607E-2</v>
      </c>
      <c r="F53" s="4">
        <f t="shared" si="1"/>
        <v>736.15606275126254</v>
      </c>
    </row>
    <row r="54" spans="1:6">
      <c r="A54" s="7">
        <v>43322</v>
      </c>
      <c r="B54" s="9">
        <v>0.33333333333333331</v>
      </c>
      <c r="C54" s="2">
        <v>8626.4</v>
      </c>
      <c r="D54" s="2">
        <v>8.1</v>
      </c>
      <c r="E54" s="3">
        <f t="shared" si="3"/>
        <v>5.3871542952845256E-2</v>
      </c>
      <c r="F54" s="4">
        <f t="shared" si="1"/>
        <v>736.49489738119019</v>
      </c>
    </row>
    <row r="55" spans="1:6">
      <c r="A55" s="7">
        <v>43332</v>
      </c>
      <c r="B55" s="9">
        <v>0.33333333333333331</v>
      </c>
      <c r="C55" s="2">
        <v>8653.7999999999993</v>
      </c>
      <c r="D55" s="2">
        <v>8</v>
      </c>
      <c r="E55" s="3">
        <f t="shared" ref="E55:E72" si="4">($B$2*C55^2+$B$3*C55+$B$4)-$B$5*D55-$E$7</f>
        <v>5.1857341223004477E-2</v>
      </c>
      <c r="F55" s="4">
        <f t="shared" ref="F55:F72" si="5">$D$1+102*E55</f>
        <v>736.28944880474648</v>
      </c>
    </row>
    <row r="56" spans="1:6">
      <c r="A56" s="7">
        <v>43342</v>
      </c>
      <c r="B56" s="9">
        <v>0.33333333333333331</v>
      </c>
      <c r="C56" s="2">
        <v>8638.9</v>
      </c>
      <c r="D56" s="2">
        <v>7.9</v>
      </c>
      <c r="E56" s="3">
        <f t="shared" si="4"/>
        <v>5.2817342168534093E-2</v>
      </c>
      <c r="F56" s="4">
        <f t="shared" si="5"/>
        <v>736.38736890119048</v>
      </c>
    </row>
    <row r="57" spans="1:6">
      <c r="A57" s="7">
        <v>43353</v>
      </c>
      <c r="B57" s="9">
        <v>0.33333333333333331</v>
      </c>
      <c r="C57" s="2">
        <v>8618.7000000000007</v>
      </c>
      <c r="D57" s="2">
        <v>7.7</v>
      </c>
      <c r="E57" s="3">
        <f t="shared" si="4"/>
        <v>5.4063009889666197E-2</v>
      </c>
      <c r="F57" s="4">
        <f t="shared" si="5"/>
        <v>736.514427008746</v>
      </c>
    </row>
    <row r="58" spans="1:6">
      <c r="A58" s="7">
        <v>43363</v>
      </c>
      <c r="B58" s="9">
        <v>0.33333333333333331</v>
      </c>
      <c r="C58" s="2">
        <v>8592.2999999999993</v>
      </c>
      <c r="D58" s="2">
        <v>7.5</v>
      </c>
      <c r="E58" s="3">
        <f t="shared" si="4"/>
        <v>5.5745789118209405E-2</v>
      </c>
      <c r="F58" s="4">
        <f t="shared" si="5"/>
        <v>736.68607049005732</v>
      </c>
    </row>
    <row r="59" spans="1:6">
      <c r="A59" s="7">
        <v>43373</v>
      </c>
      <c r="B59" s="9">
        <v>0.33333333333333331</v>
      </c>
      <c r="C59" s="2">
        <v>8607.6</v>
      </c>
      <c r="D59" s="2">
        <v>7.4</v>
      </c>
      <c r="E59" s="3">
        <f t="shared" si="4"/>
        <v>5.4581374818178846E-2</v>
      </c>
      <c r="F59" s="4">
        <f t="shared" si="5"/>
        <v>736.56730023145428</v>
      </c>
    </row>
    <row r="60" spans="1:6">
      <c r="A60" s="7">
        <v>43383</v>
      </c>
      <c r="B60" s="9">
        <v>0.33333333333333331</v>
      </c>
      <c r="C60" s="2">
        <v>8608.2999999999993</v>
      </c>
      <c r="D60" s="2">
        <v>7.4</v>
      </c>
      <c r="E60" s="3">
        <f t="shared" si="4"/>
        <v>5.453211585661269E-2</v>
      </c>
      <c r="F60" s="4">
        <f t="shared" si="5"/>
        <v>736.56227581737448</v>
      </c>
    </row>
    <row r="61" spans="1:6">
      <c r="A61" s="7">
        <v>43393</v>
      </c>
      <c r="B61" s="9">
        <v>0.33333333333333331</v>
      </c>
      <c r="C61" s="2">
        <v>8609.4</v>
      </c>
      <c r="D61" s="2">
        <v>7.4</v>
      </c>
      <c r="E61" s="3">
        <f t="shared" si="4"/>
        <v>5.4454710583509175E-2</v>
      </c>
      <c r="F61" s="4">
        <f t="shared" si="5"/>
        <v>736.55438047951793</v>
      </c>
    </row>
    <row r="62" spans="1:6">
      <c r="A62" s="7">
        <v>43605</v>
      </c>
      <c r="B62" s="9">
        <v>0.41666666666666669</v>
      </c>
      <c r="C62" s="2">
        <v>8620.2999999999993</v>
      </c>
      <c r="D62" s="2">
        <v>7</v>
      </c>
      <c r="E62" s="3">
        <f t="shared" si="4"/>
        <v>5.3337612385527061E-2</v>
      </c>
      <c r="F62" s="4">
        <f t="shared" si="5"/>
        <v>736.44043646332375</v>
      </c>
    </row>
    <row r="63" spans="1:6">
      <c r="A63" s="7">
        <v>43615</v>
      </c>
      <c r="B63" s="9">
        <v>0.41666666666666669</v>
      </c>
      <c r="C63" s="2">
        <v>8622.7000000000007</v>
      </c>
      <c r="D63" s="2">
        <v>7</v>
      </c>
      <c r="E63" s="3">
        <f t="shared" si="4"/>
        <v>5.3168779259321314E-2</v>
      </c>
      <c r="F63" s="4">
        <f t="shared" si="5"/>
        <v>736.42321548445079</v>
      </c>
    </row>
    <row r="64" spans="1:6">
      <c r="A64" s="7">
        <v>43626</v>
      </c>
      <c r="B64" s="9">
        <v>0.41666666666666669</v>
      </c>
      <c r="C64" s="2">
        <v>8624.6</v>
      </c>
      <c r="D64" s="2">
        <v>7.3</v>
      </c>
      <c r="E64" s="3">
        <f t="shared" si="4"/>
        <v>5.3297770877494682E-2</v>
      </c>
      <c r="F64" s="4">
        <f t="shared" si="5"/>
        <v>736.43637262950449</v>
      </c>
    </row>
    <row r="65" spans="1:6">
      <c r="A65" s="7">
        <v>43636</v>
      </c>
      <c r="B65" s="9">
        <v>0.41666666666666669</v>
      </c>
      <c r="C65" s="2">
        <v>8627.2999999999993</v>
      </c>
      <c r="D65" s="2">
        <v>7.4</v>
      </c>
      <c r="E65" s="3">
        <f t="shared" si="4"/>
        <v>5.3195401935771464E-2</v>
      </c>
      <c r="F65" s="4">
        <f t="shared" si="5"/>
        <v>736.42593099744875</v>
      </c>
    </row>
    <row r="66" spans="1:6">
      <c r="A66" s="7">
        <v>43646</v>
      </c>
      <c r="B66" s="9">
        <v>0.41666666666666669</v>
      </c>
      <c r="C66" s="2">
        <v>8631.5</v>
      </c>
      <c r="D66" s="2">
        <v>7.3</v>
      </c>
      <c r="E66" s="3">
        <f t="shared" si="4"/>
        <v>5.2812451717933834E-2</v>
      </c>
      <c r="F66" s="4">
        <f t="shared" si="5"/>
        <v>736.38687007522924</v>
      </c>
    </row>
    <row r="67" spans="1:6">
      <c r="A67" s="7">
        <v>43656</v>
      </c>
      <c r="B67" s="9">
        <v>0.41666666666666669</v>
      </c>
      <c r="C67" s="2">
        <v>8634.2999999999993</v>
      </c>
      <c r="D67" s="2">
        <v>6.9</v>
      </c>
      <c r="E67" s="3">
        <f t="shared" si="4"/>
        <v>5.2265341069381882E-2</v>
      </c>
      <c r="F67" s="4">
        <f t="shared" si="5"/>
        <v>736.331064789077</v>
      </c>
    </row>
    <row r="68" spans="1:6">
      <c r="A68" s="7">
        <v>43666</v>
      </c>
      <c r="B68" s="9">
        <v>0.41666666666666669</v>
      </c>
      <c r="C68" s="2">
        <v>8634.9</v>
      </c>
      <c r="D68" s="2">
        <v>6.8</v>
      </c>
      <c r="E68" s="3">
        <f t="shared" si="4"/>
        <v>5.2135597918835624E-2</v>
      </c>
      <c r="F68" s="4">
        <f t="shared" si="5"/>
        <v>736.31783098772121</v>
      </c>
    </row>
    <row r="69" spans="1:6">
      <c r="A69" s="7">
        <v>43676</v>
      </c>
      <c r="B69" s="9">
        <v>0.41666666666666669</v>
      </c>
      <c r="C69" s="2">
        <v>8636.2000000000007</v>
      </c>
      <c r="D69" s="2">
        <v>6.7</v>
      </c>
      <c r="E69" s="3">
        <f t="shared" si="4"/>
        <v>5.1956629288236453E-2</v>
      </c>
      <c r="F69" s="4">
        <f t="shared" si="5"/>
        <v>736.29957618740013</v>
      </c>
    </row>
    <row r="70" spans="1:6">
      <c r="A70" s="7">
        <v>43687</v>
      </c>
      <c r="B70" s="9">
        <v>0.33333333333333331</v>
      </c>
      <c r="C70" s="2">
        <v>8600.1</v>
      </c>
      <c r="D70" s="2">
        <v>6.7</v>
      </c>
      <c r="E70" s="3">
        <f t="shared" si="4"/>
        <v>5.4496364468909639E-2</v>
      </c>
      <c r="F70" s="4">
        <f t="shared" si="5"/>
        <v>736.55862917582874</v>
      </c>
    </row>
    <row r="71" spans="1:6">
      <c r="A71" s="7">
        <v>43697</v>
      </c>
      <c r="B71" s="1">
        <v>0.33333333333333331</v>
      </c>
      <c r="C71" s="2">
        <v>8537.7999999999993</v>
      </c>
      <c r="D71" s="2">
        <v>6.5</v>
      </c>
      <c r="E71" s="3">
        <f t="shared" si="4"/>
        <v>5.8709405844929272E-2</v>
      </c>
      <c r="F71" s="4">
        <f t="shared" si="5"/>
        <v>736.98835939618277</v>
      </c>
    </row>
    <row r="72" spans="1:6">
      <c r="A72" s="7">
        <v>43707</v>
      </c>
      <c r="B72" s="9">
        <v>0.33333333333333331</v>
      </c>
      <c r="C72" s="2">
        <v>8500.1</v>
      </c>
      <c r="D72" s="2">
        <v>6.5</v>
      </c>
      <c r="E72" s="3">
        <f t="shared" si="4"/>
        <v>6.1368000865569636E-2</v>
      </c>
      <c r="F72" s="4">
        <f t="shared" si="5"/>
        <v>737.25953608828809</v>
      </c>
    </row>
    <row r="73" spans="1:6">
      <c r="B73" s="9"/>
    </row>
    <row r="74" spans="1:6">
      <c r="B74" s="9"/>
    </row>
    <row r="75" spans="1:6">
      <c r="B75" s="9"/>
    </row>
    <row r="76" spans="1:6">
      <c r="B76" s="9"/>
    </row>
    <row r="77" spans="1:6">
      <c r="B77" s="9"/>
    </row>
    <row r="78" spans="1:6">
      <c r="B78" s="9"/>
    </row>
    <row r="79" spans="1:6">
      <c r="B79" s="9"/>
    </row>
    <row r="80" spans="1:6">
      <c r="B80" s="9"/>
    </row>
    <row r="81" spans="2:2">
      <c r="B81" s="9"/>
    </row>
    <row r="82" spans="2:2">
      <c r="B82" s="9"/>
    </row>
    <row r="83" spans="2:2">
      <c r="B83" s="9"/>
    </row>
    <row r="84" spans="2:2">
      <c r="B84" s="9"/>
    </row>
    <row r="85" spans="2:2">
      <c r="B85" s="9"/>
    </row>
    <row r="86" spans="2:2">
      <c r="B86" s="9"/>
    </row>
    <row r="87" spans="2:2">
      <c r="B87" s="9"/>
    </row>
    <row r="88" spans="2:2">
      <c r="B88" s="9"/>
    </row>
    <row r="89" spans="2:2">
      <c r="B89" s="9"/>
    </row>
    <row r="90" spans="2:2">
      <c r="B90" s="9"/>
    </row>
    <row r="91" spans="2:2">
      <c r="B91" s="9"/>
    </row>
    <row r="92" spans="2:2">
      <c r="B92" s="9"/>
    </row>
    <row r="93" spans="2:2">
      <c r="B93" s="9"/>
    </row>
    <row r="94" spans="2:2">
      <c r="B94" s="9"/>
    </row>
    <row r="95" spans="2:2">
      <c r="B95" s="9"/>
    </row>
    <row r="96" spans="2:2">
      <c r="B96" s="9"/>
    </row>
    <row r="97" spans="2:2">
      <c r="B97" s="9"/>
    </row>
    <row r="98" spans="2:2">
      <c r="B98" s="9"/>
    </row>
    <row r="99" spans="2:2">
      <c r="B99" s="9"/>
    </row>
    <row r="100" spans="2:2">
      <c r="B100" s="9"/>
    </row>
    <row r="101" spans="2:2">
      <c r="B101" s="9"/>
    </row>
    <row r="102" spans="2:2">
      <c r="B102" s="9"/>
    </row>
    <row r="103" spans="2:2">
      <c r="B103" s="9"/>
    </row>
    <row r="104" spans="2:2">
      <c r="B104" s="9"/>
    </row>
    <row r="105" spans="2:2">
      <c r="B105" s="9"/>
    </row>
    <row r="106" spans="2:2">
      <c r="B106" s="9"/>
    </row>
    <row r="107" spans="2:2">
      <c r="B107" s="9"/>
    </row>
    <row r="108" spans="2:2">
      <c r="B108" s="9"/>
    </row>
    <row r="109" spans="2:2">
      <c r="B109" s="9"/>
    </row>
    <row r="110" spans="2:2">
      <c r="B110" s="9"/>
    </row>
    <row r="111" spans="2:2">
      <c r="B111" s="9"/>
    </row>
    <row r="112" spans="2:2">
      <c r="B112" s="9"/>
    </row>
    <row r="113" spans="2:2">
      <c r="B113" s="9"/>
    </row>
    <row r="114" spans="2:2">
      <c r="B114" s="9"/>
    </row>
    <row r="115" spans="2:2">
      <c r="B115" s="9"/>
    </row>
    <row r="116" spans="2:2">
      <c r="B116" s="9"/>
    </row>
    <row r="117" spans="2:2">
      <c r="B117" s="9"/>
    </row>
    <row r="118" spans="2:2">
      <c r="B118" s="9"/>
    </row>
    <row r="119" spans="2:2">
      <c r="B119" s="9"/>
    </row>
    <row r="120" spans="2:2">
      <c r="B120" s="9"/>
    </row>
    <row r="121" spans="2:2">
      <c r="B121" s="9"/>
    </row>
    <row r="122" spans="2:2">
      <c r="B122" s="9"/>
    </row>
    <row r="123" spans="2:2">
      <c r="B123" s="9"/>
    </row>
    <row r="124" spans="2:2">
      <c r="B124" s="9"/>
    </row>
    <row r="125" spans="2:2">
      <c r="B125" s="9"/>
    </row>
    <row r="126" spans="2:2">
      <c r="B126" s="9"/>
    </row>
    <row r="127" spans="2:2">
      <c r="B127" s="9"/>
    </row>
    <row r="128" spans="2:2">
      <c r="B128" s="9"/>
    </row>
    <row r="129" spans="2:2">
      <c r="B129" s="9"/>
    </row>
    <row r="130" spans="2:2">
      <c r="B130" s="9"/>
    </row>
    <row r="131" spans="2:2">
      <c r="B131" s="9"/>
    </row>
    <row r="132" spans="2:2">
      <c r="B132" s="9"/>
    </row>
    <row r="133" spans="2:2">
      <c r="B133" s="9"/>
    </row>
    <row r="134" spans="2:2">
      <c r="B134" s="9"/>
    </row>
    <row r="135" spans="2:2">
      <c r="B135" s="9"/>
    </row>
    <row r="136" spans="2:2">
      <c r="B136" s="9"/>
    </row>
    <row r="137" spans="2:2">
      <c r="B137" s="9"/>
    </row>
    <row r="138" spans="2:2">
      <c r="B138" s="9"/>
    </row>
    <row r="139" spans="2:2">
      <c r="B139" s="9"/>
    </row>
    <row r="140" spans="2:2">
      <c r="B140" s="9"/>
    </row>
    <row r="141" spans="2:2">
      <c r="B141" s="9"/>
    </row>
    <row r="142" spans="2:2">
      <c r="B142" s="9"/>
    </row>
    <row r="143" spans="2:2">
      <c r="B143" s="9"/>
    </row>
    <row r="144" spans="2:2">
      <c r="B144" s="9"/>
    </row>
    <row r="145" spans="2:2">
      <c r="B145" s="9"/>
    </row>
    <row r="146" spans="2:2">
      <c r="B146" s="9"/>
    </row>
    <row r="147" spans="2:2">
      <c r="B147" s="9"/>
    </row>
    <row r="148" spans="2:2">
      <c r="B148" s="9"/>
    </row>
    <row r="149" spans="2:2">
      <c r="B149" s="9"/>
    </row>
    <row r="150" spans="2:2">
      <c r="B150" s="9"/>
    </row>
    <row r="151" spans="2:2">
      <c r="B151" s="9"/>
    </row>
    <row r="152" spans="2:2">
      <c r="B152" s="9"/>
    </row>
    <row r="153" spans="2:2">
      <c r="B153" s="9"/>
    </row>
    <row r="154" spans="2:2">
      <c r="B154" s="9"/>
    </row>
    <row r="155" spans="2:2">
      <c r="B155" s="9"/>
    </row>
    <row r="156" spans="2:2">
      <c r="B156" s="9"/>
    </row>
    <row r="157" spans="2:2">
      <c r="B157" s="9"/>
    </row>
    <row r="158" spans="2:2">
      <c r="B158" s="9"/>
    </row>
    <row r="159" spans="2:2">
      <c r="B159" s="9"/>
    </row>
    <row r="160" spans="2:2">
      <c r="B160" s="9"/>
    </row>
    <row r="161" spans="2:2">
      <c r="B161" s="9"/>
    </row>
    <row r="162" spans="2:2">
      <c r="B162" s="9"/>
    </row>
    <row r="163" spans="2:2">
      <c r="B163" s="9"/>
    </row>
    <row r="164" spans="2:2">
      <c r="B164" s="9"/>
    </row>
    <row r="165" spans="2:2">
      <c r="B165" s="9"/>
    </row>
    <row r="166" spans="2:2">
      <c r="B166" s="9"/>
    </row>
    <row r="167" spans="2:2">
      <c r="B167" s="9"/>
    </row>
    <row r="168" spans="2:2">
      <c r="B168" s="9"/>
    </row>
    <row r="169" spans="2:2">
      <c r="B169" s="9"/>
    </row>
    <row r="170" spans="2:2">
      <c r="B170" s="9"/>
    </row>
    <row r="171" spans="2:2">
      <c r="B171" s="9"/>
    </row>
    <row r="172" spans="2:2">
      <c r="B172" s="9"/>
    </row>
    <row r="173" spans="2:2">
      <c r="B173" s="9"/>
    </row>
    <row r="174" spans="2:2">
      <c r="B174" s="9"/>
    </row>
    <row r="175" spans="2:2">
      <c r="B175" s="9"/>
    </row>
    <row r="176" spans="2:2">
      <c r="B176" s="9"/>
    </row>
  </sheetData>
  <phoneticPr fontId="4" type="noConversion"/>
  <pageMargins left="0.69930555555555596" right="0.69930555555555596" top="0.75" bottom="0.75" header="0.3" footer="0.3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2"/>
  <sheetViews>
    <sheetView topLeftCell="A55" workbookViewId="0">
      <selection activeCell="A70" sqref="A70:B72"/>
    </sheetView>
  </sheetViews>
  <sheetFormatPr defaultColWidth="9" defaultRowHeight="13.5"/>
  <cols>
    <col min="1" max="1" width="11.625" customWidth="1"/>
    <col min="2" max="2" width="13.875" customWidth="1"/>
  </cols>
  <sheetData>
    <row r="1" spans="1:7">
      <c r="A1" t="s">
        <v>0</v>
      </c>
      <c r="B1">
        <v>11264</v>
      </c>
      <c r="C1" t="s">
        <v>1</v>
      </c>
      <c r="D1">
        <v>725.5</v>
      </c>
    </row>
    <row r="2" spans="1:7">
      <c r="A2" t="s">
        <v>2</v>
      </c>
      <c r="B2">
        <f>1.78542*10^-10</f>
        <v>1.78542E-10</v>
      </c>
    </row>
    <row r="3" spans="1:7">
      <c r="A3" t="s">
        <v>3</v>
      </c>
      <c r="B3">
        <v>-1.53621E-4</v>
      </c>
    </row>
    <row r="4" spans="1:7">
      <c r="A4" t="s">
        <v>4</v>
      </c>
      <c r="B4">
        <v>1.2343552600000001</v>
      </c>
    </row>
    <row r="5" spans="1:7">
      <c r="A5" t="s">
        <v>5</v>
      </c>
      <c r="B5">
        <v>-2.8385950000000002E-3</v>
      </c>
    </row>
    <row r="6" spans="1:7">
      <c r="A6" t="s">
        <v>6</v>
      </c>
      <c r="B6" t="s">
        <v>7</v>
      </c>
      <c r="C6" t="s">
        <v>8</v>
      </c>
      <c r="D6" t="s">
        <v>9</v>
      </c>
      <c r="E6" t="s">
        <v>10</v>
      </c>
      <c r="F6" t="s">
        <v>11</v>
      </c>
      <c r="G6" t="s">
        <v>12</v>
      </c>
    </row>
    <row r="7" spans="1:7">
      <c r="A7" s="6">
        <v>42529</v>
      </c>
      <c r="B7" s="1">
        <v>0.33333333333333298</v>
      </c>
      <c r="C7" s="2">
        <v>7930.5</v>
      </c>
      <c r="D7" s="2">
        <v>13.2</v>
      </c>
      <c r="E7" s="3">
        <f>($B$2*C7^2+$B$3*C7+$B$4)-$B$5*D7</f>
        <v>6.4762385198495517E-2</v>
      </c>
      <c r="G7" t="s">
        <v>13</v>
      </c>
    </row>
    <row r="8" spans="1:7">
      <c r="A8" s="7">
        <v>42529</v>
      </c>
      <c r="B8" s="16">
        <v>0.41666666666666702</v>
      </c>
      <c r="C8" s="2">
        <v>7845.1</v>
      </c>
      <c r="D8" s="2">
        <v>10.8</v>
      </c>
      <c r="E8" s="3">
        <f>($B$2*C8^2+$B$3*C8+$B$4)-$B$5*D8-$E$7</f>
        <v>6.0660671472379385E-3</v>
      </c>
      <c r="F8" s="4">
        <f>$D$1+102*E8</f>
        <v>726.11873884901831</v>
      </c>
      <c r="G8" s="5" t="s">
        <v>14</v>
      </c>
    </row>
    <row r="9" spans="1:7">
      <c r="A9" s="7">
        <v>42530</v>
      </c>
      <c r="B9" s="16">
        <v>0.75</v>
      </c>
      <c r="C9" s="2">
        <v>7235.3</v>
      </c>
      <c r="D9" s="2">
        <v>9.6</v>
      </c>
      <c r="E9" s="3">
        <f>($B$2*C9^2+$B$3*C9+$B$4)-$B$5*D9-$E$7</f>
        <v>9.4695961730345404E-2</v>
      </c>
      <c r="F9" s="4">
        <f t="shared" ref="F9:F54" si="0">$D$1+102*E9</f>
        <v>735.15898809649525</v>
      </c>
    </row>
    <row r="10" spans="1:7">
      <c r="A10" s="7">
        <v>42530</v>
      </c>
      <c r="B10" s="16">
        <v>0.41666666666666702</v>
      </c>
      <c r="C10" s="2">
        <v>7193</v>
      </c>
      <c r="D10" s="2">
        <v>6.5</v>
      </c>
      <c r="E10" s="3">
        <f t="shared" ref="E10:E23" si="1">($B$2*C10^2+$B$3*C10+$B$4)-$B$5*D10-$E$7</f>
        <v>9.2285518296462685E-2</v>
      </c>
      <c r="F10" s="4">
        <f t="shared" si="0"/>
        <v>734.91312286623918</v>
      </c>
    </row>
    <row r="11" spans="1:7">
      <c r="A11" s="7">
        <v>42531</v>
      </c>
      <c r="B11" s="16">
        <v>0.33333333333333298</v>
      </c>
      <c r="C11" s="2">
        <v>7195.1</v>
      </c>
      <c r="D11" s="2">
        <v>6.4</v>
      </c>
      <c r="E11" s="3">
        <f t="shared" si="1"/>
        <v>9.1684449344777916E-2</v>
      </c>
      <c r="F11" s="4">
        <f t="shared" si="0"/>
        <v>734.8518138331674</v>
      </c>
    </row>
    <row r="12" spans="1:7">
      <c r="A12" s="7">
        <v>42532</v>
      </c>
      <c r="B12" s="16">
        <v>0.33333333333333298</v>
      </c>
      <c r="C12" s="2">
        <v>7194.6</v>
      </c>
      <c r="D12" s="2">
        <v>6.4</v>
      </c>
      <c r="E12" s="3">
        <f t="shared" si="1"/>
        <v>9.1759975261869173E-2</v>
      </c>
      <c r="F12" s="4">
        <f t="shared" si="0"/>
        <v>734.85951747671061</v>
      </c>
    </row>
    <row r="13" spans="1:7">
      <c r="A13" s="7">
        <v>42533</v>
      </c>
      <c r="B13" s="16">
        <v>0.33333333333333298</v>
      </c>
      <c r="C13" s="2">
        <v>7194.2</v>
      </c>
      <c r="D13" s="2">
        <v>6.3</v>
      </c>
      <c r="E13" s="3">
        <f t="shared" si="1"/>
        <v>9.1536536559817375E-2</v>
      </c>
      <c r="F13" s="4">
        <f t="shared" si="0"/>
        <v>734.83672672910143</v>
      </c>
    </row>
    <row r="14" spans="1:7">
      <c r="A14" s="7">
        <v>42534</v>
      </c>
      <c r="B14" s="16">
        <v>0.33333333333333298</v>
      </c>
      <c r="C14" s="2">
        <v>7192.3</v>
      </c>
      <c r="D14" s="2">
        <v>6.5</v>
      </c>
      <c r="E14" s="3">
        <f t="shared" si="1"/>
        <v>9.2391255130299763E-2</v>
      </c>
      <c r="F14" s="4">
        <f t="shared" si="0"/>
        <v>734.92390802329055</v>
      </c>
    </row>
    <row r="15" spans="1:7">
      <c r="A15" s="7">
        <v>42535</v>
      </c>
      <c r="B15" s="16">
        <v>0.33333333333333298</v>
      </c>
      <c r="C15" s="2">
        <v>7190</v>
      </c>
      <c r="D15" s="2">
        <v>6.5</v>
      </c>
      <c r="E15" s="3">
        <f t="shared" si="1"/>
        <v>9.2738677387704679E-2</v>
      </c>
      <c r="F15" s="4">
        <f t="shared" si="0"/>
        <v>734.95934509354583</v>
      </c>
    </row>
    <row r="16" spans="1:7">
      <c r="A16" s="6">
        <v>42536</v>
      </c>
      <c r="B16" s="9">
        <v>0.33333333333333298</v>
      </c>
      <c r="C16" s="2">
        <v>7191.4</v>
      </c>
      <c r="D16" s="2">
        <v>6.4</v>
      </c>
      <c r="E16" s="3">
        <f t="shared" si="1"/>
        <v>9.2243343245190998E-2</v>
      </c>
      <c r="F16" s="4">
        <f t="shared" si="0"/>
        <v>734.90882101100954</v>
      </c>
    </row>
    <row r="17" spans="1:7">
      <c r="A17" s="6">
        <v>42537</v>
      </c>
      <c r="B17" s="9">
        <v>0.33333333333333298</v>
      </c>
      <c r="C17" s="2">
        <v>7193.2</v>
      </c>
      <c r="D17" s="2">
        <v>6.3</v>
      </c>
      <c r="E17" s="3">
        <f t="shared" si="1"/>
        <v>9.1687588804646739E-2</v>
      </c>
      <c r="F17" s="4">
        <f t="shared" si="0"/>
        <v>734.85213405807394</v>
      </c>
    </row>
    <row r="18" spans="1:7">
      <c r="A18" s="6">
        <v>42538</v>
      </c>
      <c r="B18" s="9">
        <v>0.33333333333333298</v>
      </c>
      <c r="C18" s="2">
        <v>7191.4</v>
      </c>
      <c r="D18" s="2">
        <v>6.3</v>
      </c>
      <c r="E18" s="3">
        <f t="shared" si="1"/>
        <v>9.1959483745190987E-2</v>
      </c>
      <c r="F18" s="4">
        <f t="shared" si="0"/>
        <v>734.87986734200945</v>
      </c>
    </row>
    <row r="19" spans="1:7">
      <c r="A19" s="6">
        <v>42544</v>
      </c>
      <c r="B19" s="9">
        <v>0.33333333333333298</v>
      </c>
      <c r="C19" s="2">
        <v>7073.5</v>
      </c>
      <c r="D19" s="2">
        <v>6.2</v>
      </c>
      <c r="E19" s="3">
        <f t="shared" si="1"/>
        <v>0.10948726254802403</v>
      </c>
      <c r="F19" s="4">
        <f t="shared" si="0"/>
        <v>736.6677007798985</v>
      </c>
    </row>
    <row r="20" spans="1:7">
      <c r="A20" s="7">
        <v>42551</v>
      </c>
      <c r="B20" s="9">
        <v>0.33333333333333298</v>
      </c>
      <c r="C20" s="2">
        <v>7135.4</v>
      </c>
      <c r="D20" s="2">
        <v>6.2</v>
      </c>
      <c r="E20" s="3">
        <f t="shared" si="1"/>
        <v>0.10013515585575743</v>
      </c>
      <c r="F20" s="4">
        <f t="shared" si="0"/>
        <v>735.71378589728727</v>
      </c>
    </row>
    <row r="21" spans="1:7">
      <c r="A21" s="7">
        <v>42561</v>
      </c>
      <c r="B21" s="9">
        <v>0.33333333333333298</v>
      </c>
      <c r="C21" s="2">
        <v>7151.8</v>
      </c>
      <c r="D21" s="2">
        <v>6.1</v>
      </c>
      <c r="E21" s="3">
        <f t="shared" si="1"/>
        <v>9.7373746146060466E-2</v>
      </c>
      <c r="F21" s="4">
        <f t="shared" si="0"/>
        <v>735.43212210689819</v>
      </c>
    </row>
    <row r="22" spans="1:7">
      <c r="A22" s="7">
        <v>42571</v>
      </c>
      <c r="B22" s="9">
        <v>0.33333333333333298</v>
      </c>
      <c r="C22" s="2">
        <v>7144</v>
      </c>
      <c r="D22" s="2">
        <v>6</v>
      </c>
      <c r="E22" s="3">
        <f t="shared" si="1"/>
        <v>9.8268221720416618E-2</v>
      </c>
      <c r="F22" s="4">
        <f t="shared" si="0"/>
        <v>735.52335861548249</v>
      </c>
    </row>
    <row r="23" spans="1:7">
      <c r="A23" s="7">
        <v>42581</v>
      </c>
      <c r="B23" s="9">
        <v>0.33333333333333298</v>
      </c>
      <c r="C23" s="2">
        <v>7135</v>
      </c>
      <c r="D23" s="2">
        <v>5.9</v>
      </c>
      <c r="E23" s="3">
        <f t="shared" si="1"/>
        <v>9.9344006609454652E-2</v>
      </c>
      <c r="F23" s="4">
        <f t="shared" si="0"/>
        <v>735.63308867416436</v>
      </c>
    </row>
    <row r="24" spans="1:7">
      <c r="A24" s="7">
        <v>42592</v>
      </c>
      <c r="B24" s="1">
        <v>0.33333333333333298</v>
      </c>
      <c r="C24" s="2">
        <v>7137.9</v>
      </c>
      <c r="D24" s="2">
        <v>5.9</v>
      </c>
      <c r="E24" s="3">
        <f t="shared" ref="E24:E45" si="2">($B$2*C24^2+$B$3*C24+$B$4)-$B$5*D24-$E$7</f>
        <v>9.8905895814578773E-2</v>
      </c>
      <c r="F24" s="4">
        <f t="shared" si="0"/>
        <v>735.58840137308698</v>
      </c>
      <c r="G24" s="2"/>
    </row>
    <row r="25" spans="1:7">
      <c r="A25" s="7">
        <v>42602</v>
      </c>
      <c r="B25" s="1">
        <v>0.33333333333333298</v>
      </c>
      <c r="C25" s="2">
        <v>7137.2</v>
      </c>
      <c r="D25" s="2">
        <v>5.8</v>
      </c>
      <c r="E25" s="3">
        <f t="shared" si="2"/>
        <v>9.8727786921145685E-2</v>
      </c>
      <c r="F25" s="4">
        <f t="shared" si="0"/>
        <v>735.57023426595686</v>
      </c>
      <c r="G25" s="2"/>
    </row>
    <row r="26" spans="1:7">
      <c r="A26" s="7">
        <v>42612</v>
      </c>
      <c r="B26" s="1">
        <v>0.33333333333333298</v>
      </c>
      <c r="C26" s="2">
        <v>7128.6</v>
      </c>
      <c r="D26" s="2">
        <v>5.8</v>
      </c>
      <c r="E26" s="3">
        <f t="shared" si="2"/>
        <v>0.10002702293875886</v>
      </c>
      <c r="F26" s="4">
        <f t="shared" si="0"/>
        <v>735.70275633975336</v>
      </c>
      <c r="G26" s="2"/>
    </row>
    <row r="27" spans="1:7">
      <c r="A27" s="6">
        <v>42623</v>
      </c>
      <c r="B27" s="1">
        <v>0.33333333333333298</v>
      </c>
      <c r="C27" s="2">
        <v>7118.4</v>
      </c>
      <c r="D27" s="2">
        <v>5.8</v>
      </c>
      <c r="E27" s="3">
        <f t="shared" si="2"/>
        <v>0.10156801152244431</v>
      </c>
      <c r="F27" s="4">
        <f t="shared" si="0"/>
        <v>735.85993717528936</v>
      </c>
      <c r="G27" s="2"/>
    </row>
    <row r="28" spans="1:7">
      <c r="A28" s="7">
        <v>42633</v>
      </c>
      <c r="B28" s="1">
        <v>0.33333333333333331</v>
      </c>
      <c r="C28" s="2">
        <v>7103.4</v>
      </c>
      <c r="D28" s="2">
        <v>5.8</v>
      </c>
      <c r="E28" s="3">
        <f t="shared" si="2"/>
        <v>0.10383423869321017</v>
      </c>
      <c r="F28" s="4">
        <f t="shared" si="0"/>
        <v>736.09109234670746</v>
      </c>
    </row>
    <row r="29" spans="1:7">
      <c r="A29" s="7">
        <v>42643</v>
      </c>
      <c r="B29" s="1">
        <v>0.33333333333333331</v>
      </c>
      <c r="C29" s="2">
        <v>7125</v>
      </c>
      <c r="D29" s="2">
        <v>5.7</v>
      </c>
      <c r="E29" s="3">
        <f t="shared" si="2"/>
        <v>0.10028703752025465</v>
      </c>
      <c r="F29" s="4">
        <f t="shared" si="0"/>
        <v>735.72927782706597</v>
      </c>
    </row>
    <row r="30" spans="1:7">
      <c r="A30" s="7">
        <v>42883</v>
      </c>
      <c r="B30" s="1">
        <v>0.33333333333333331</v>
      </c>
      <c r="C30" s="2">
        <v>7163.2</v>
      </c>
      <c r="D30" s="2">
        <v>6.3</v>
      </c>
      <c r="E30" s="3">
        <f t="shared" si="2"/>
        <v>9.6219322193582604E-2</v>
      </c>
      <c r="F30" s="4">
        <f t="shared" si="0"/>
        <v>735.31437086374547</v>
      </c>
    </row>
    <row r="31" spans="1:7">
      <c r="A31" s="7">
        <v>42885</v>
      </c>
      <c r="B31" s="1">
        <v>0.33333333333333331</v>
      </c>
      <c r="C31" s="2">
        <v>7166.7</v>
      </c>
      <c r="D31" s="2">
        <v>6.3</v>
      </c>
      <c r="E31" s="3">
        <f t="shared" si="2"/>
        <v>9.5690603405102895E-2</v>
      </c>
      <c r="F31" s="4">
        <f t="shared" si="0"/>
        <v>735.26044154732051</v>
      </c>
    </row>
    <row r="32" spans="1:7">
      <c r="A32" s="7">
        <v>42896</v>
      </c>
      <c r="B32" s="1">
        <v>0.33333333333333331</v>
      </c>
      <c r="C32" s="2">
        <v>7169.6</v>
      </c>
      <c r="D32" s="2">
        <v>6.4</v>
      </c>
      <c r="E32" s="3">
        <f t="shared" si="2"/>
        <v>9.5536384936959248E-2</v>
      </c>
      <c r="F32" s="4">
        <f t="shared" si="0"/>
        <v>735.2447112635698</v>
      </c>
    </row>
    <row r="33" spans="1:6">
      <c r="A33" s="7">
        <v>42906</v>
      </c>
      <c r="B33" s="1">
        <v>0.33333333333333331</v>
      </c>
      <c r="C33" s="2">
        <v>7167.9</v>
      </c>
      <c r="D33" s="2">
        <v>6.4</v>
      </c>
      <c r="E33" s="3">
        <f t="shared" si="2"/>
        <v>9.579318889888698E-2</v>
      </c>
      <c r="F33" s="4">
        <f t="shared" si="0"/>
        <v>735.27090526768643</v>
      </c>
    </row>
    <row r="34" spans="1:6">
      <c r="A34" s="7">
        <v>42916</v>
      </c>
      <c r="B34" s="1">
        <v>0.33333333333333331</v>
      </c>
      <c r="C34" s="2">
        <v>7158.4</v>
      </c>
      <c r="D34" s="2">
        <v>6.4</v>
      </c>
      <c r="E34" s="3">
        <f t="shared" si="2"/>
        <v>9.7228288859467979E-2</v>
      </c>
      <c r="F34" s="4">
        <f t="shared" si="0"/>
        <v>735.41728546366573</v>
      </c>
    </row>
    <row r="35" spans="1:6">
      <c r="A35" s="7">
        <v>42926</v>
      </c>
      <c r="B35" s="1">
        <v>0.33333333333333331</v>
      </c>
      <c r="C35" s="2">
        <v>7175.1</v>
      </c>
      <c r="D35" s="2">
        <v>6.2</v>
      </c>
      <c r="E35" s="3">
        <f t="shared" si="2"/>
        <v>9.4137836659809945E-2</v>
      </c>
      <c r="F35" s="4">
        <f t="shared" si="0"/>
        <v>735.10205933930058</v>
      </c>
    </row>
    <row r="36" spans="1:6">
      <c r="A36" s="7">
        <v>42936</v>
      </c>
      <c r="B36" s="1">
        <v>0.33333333333333331</v>
      </c>
      <c r="C36" s="2">
        <v>7172.8</v>
      </c>
      <c r="D36" s="2">
        <v>6.4</v>
      </c>
      <c r="E36" s="3">
        <f t="shared" si="2"/>
        <v>9.5052992043457726E-2</v>
      </c>
      <c r="F36" s="4">
        <f t="shared" si="0"/>
        <v>735.19540518843269</v>
      </c>
    </row>
    <row r="37" spans="1:6">
      <c r="A37" s="7">
        <v>42946</v>
      </c>
      <c r="B37" s="1">
        <v>0.33333333333333331</v>
      </c>
      <c r="C37" s="2">
        <v>7179.8</v>
      </c>
      <c r="D37" s="2">
        <v>6.5</v>
      </c>
      <c r="E37" s="3">
        <f t="shared" si="2"/>
        <v>9.4279442336822158E-2</v>
      </c>
      <c r="F37" s="4">
        <f t="shared" si="0"/>
        <v>735.11650311835581</v>
      </c>
    </row>
    <row r="38" spans="1:6">
      <c r="A38" s="7">
        <v>42957</v>
      </c>
      <c r="B38" s="1">
        <v>0.33333333333333331</v>
      </c>
      <c r="C38" s="2">
        <v>7172.5</v>
      </c>
      <c r="D38" s="2">
        <v>6.6</v>
      </c>
      <c r="E38" s="3">
        <f t="shared" si="2"/>
        <v>9.5666028971892039E-2</v>
      </c>
      <c r="F38" s="4">
        <f t="shared" si="0"/>
        <v>735.25793495513301</v>
      </c>
    </row>
    <row r="39" spans="1:6">
      <c r="A39" s="7">
        <v>42967</v>
      </c>
      <c r="B39" s="1">
        <v>0.33333333333333331</v>
      </c>
      <c r="C39" s="2">
        <v>7177.5</v>
      </c>
      <c r="D39" s="2">
        <v>6.6</v>
      </c>
      <c r="E39" s="3">
        <f t="shared" si="2"/>
        <v>9.4910734360392116E-2</v>
      </c>
      <c r="F39" s="4">
        <f t="shared" si="0"/>
        <v>735.18089490475995</v>
      </c>
    </row>
    <row r="40" spans="1:6">
      <c r="A40" s="7">
        <v>42977</v>
      </c>
      <c r="B40" s="1">
        <v>0.33333333333333331</v>
      </c>
      <c r="C40" s="2">
        <v>7172.7</v>
      </c>
      <c r="D40" s="2">
        <v>7.3</v>
      </c>
      <c r="E40" s="3">
        <f t="shared" si="2"/>
        <v>9.762283351603164E-2</v>
      </c>
      <c r="F40" s="4">
        <f t="shared" si="0"/>
        <v>735.45752901863523</v>
      </c>
    </row>
    <row r="41" spans="1:6">
      <c r="A41" s="7">
        <v>42988</v>
      </c>
      <c r="B41" s="1">
        <v>0.33333333333333331</v>
      </c>
      <c r="C41" s="2">
        <v>7171.8</v>
      </c>
      <c r="D41" s="2">
        <v>6.9</v>
      </c>
      <c r="E41" s="3">
        <f t="shared" si="2"/>
        <v>9.6623349429884667E-2</v>
      </c>
      <c r="F41" s="4">
        <f t="shared" si="0"/>
        <v>735.35558164184829</v>
      </c>
    </row>
    <row r="42" spans="1:6">
      <c r="A42" s="7">
        <v>42998</v>
      </c>
      <c r="B42" s="1">
        <v>0.33333333333333331</v>
      </c>
      <c r="C42" s="2">
        <v>7178.3</v>
      </c>
      <c r="D42" s="2">
        <v>6.7</v>
      </c>
      <c r="E42" s="3">
        <f t="shared" si="2"/>
        <v>9.5073747550986978E-2</v>
      </c>
      <c r="F42" s="4">
        <f t="shared" si="0"/>
        <v>735.19752225020068</v>
      </c>
    </row>
    <row r="43" spans="1:6">
      <c r="A43" s="7">
        <v>43008</v>
      </c>
      <c r="B43" s="1">
        <v>0.33333333333333331</v>
      </c>
      <c r="C43" s="2">
        <v>7177.6</v>
      </c>
      <c r="D43" s="2">
        <v>6.7</v>
      </c>
      <c r="E43" s="3">
        <f t="shared" si="2"/>
        <v>9.5179488059218401E-2</v>
      </c>
      <c r="F43" s="4">
        <f t="shared" si="0"/>
        <v>735.20830778204027</v>
      </c>
    </row>
    <row r="44" spans="1:6">
      <c r="A44" s="7">
        <v>43018</v>
      </c>
      <c r="B44" s="1">
        <v>0.33333333333333331</v>
      </c>
      <c r="C44" s="2">
        <v>7177.9</v>
      </c>
      <c r="D44" s="2">
        <v>6.7</v>
      </c>
      <c r="E44" s="3">
        <f t="shared" si="2"/>
        <v>9.5134170677122834E-2</v>
      </c>
      <c r="F44" s="4">
        <f t="shared" si="0"/>
        <v>735.20368540906657</v>
      </c>
    </row>
    <row r="45" spans="1:6">
      <c r="A45" s="7">
        <v>43230</v>
      </c>
      <c r="B45" s="1">
        <v>0.33333333333333331</v>
      </c>
      <c r="C45" s="2">
        <v>7188.6</v>
      </c>
      <c r="D45" s="2">
        <v>6.9</v>
      </c>
      <c r="E45" s="3">
        <f t="shared" si="2"/>
        <v>9.4085590730102767E-2</v>
      </c>
      <c r="F45" s="4">
        <f t="shared" si="0"/>
        <v>735.09673025447046</v>
      </c>
    </row>
    <row r="46" spans="1:6">
      <c r="A46" s="7">
        <v>43240</v>
      </c>
      <c r="B46" s="1">
        <v>0.33333333333333331</v>
      </c>
      <c r="C46" s="2">
        <v>7192.8</v>
      </c>
      <c r="D46" s="2">
        <v>7</v>
      </c>
      <c r="E46" s="3">
        <f>($B$2*C46^2+$B$3*C46+$B$4)-$B$5*D46-$E$7</f>
        <v>9.3735026302561877E-2</v>
      </c>
      <c r="F46" s="4">
        <f t="shared" si="0"/>
        <v>735.06097268286135</v>
      </c>
    </row>
    <row r="47" spans="1:6">
      <c r="A47" s="7">
        <v>43250</v>
      </c>
      <c r="B47" s="1">
        <v>0.33333333333333331</v>
      </c>
      <c r="C47" s="2">
        <v>7189.5</v>
      </c>
      <c r="D47" s="2">
        <v>7.2</v>
      </c>
      <c r="E47" s="3">
        <f>($B$2*C47^2+$B$3*C47+$B$4)-$B$5*D47-$E$7</f>
        <v>9.4801220715360249E-2</v>
      </c>
      <c r="F47" s="4">
        <f t="shared" si="0"/>
        <v>735.1697245129667</v>
      </c>
    </row>
    <row r="48" spans="1:6">
      <c r="A48" s="7">
        <v>43261</v>
      </c>
      <c r="B48" s="1">
        <v>0.33333333333333331</v>
      </c>
      <c r="C48" s="2">
        <v>7183.4</v>
      </c>
      <c r="D48" s="2">
        <v>6.8</v>
      </c>
      <c r="E48" s="3">
        <f>($B$2*C48^2+$B$3*C48+$B$4)-$B$5*D48-$E$7</f>
        <v>9.4587217200857984E-2</v>
      </c>
      <c r="F48" s="4">
        <f t="shared" si="0"/>
        <v>735.14789615448751</v>
      </c>
    </row>
    <row r="49" spans="1:6">
      <c r="A49" s="7">
        <v>43271</v>
      </c>
      <c r="B49" s="1">
        <v>0.33333333333333331</v>
      </c>
      <c r="C49" s="2">
        <v>7115.4</v>
      </c>
      <c r="D49" s="2">
        <v>7.3</v>
      </c>
      <c r="E49" s="3">
        <f>($B$2*C49^2+$B$3*C49+$B$4)-$B$5*D49-$E$7</f>
        <v>0.10627914302908527</v>
      </c>
      <c r="F49" s="4">
        <f t="shared" si="0"/>
        <v>736.34047258896669</v>
      </c>
    </row>
    <row r="50" spans="1:6">
      <c r="A50" s="7">
        <v>43281</v>
      </c>
      <c r="B50" s="1">
        <v>0.33333333333333331</v>
      </c>
      <c r="C50" s="2">
        <v>7130.3</v>
      </c>
      <c r="D50" s="2">
        <v>7</v>
      </c>
      <c r="E50" s="3">
        <f>($B$2*C50^2+$B$3*C50+$B$4)-$B$5*D50-$E$7</f>
        <v>0.10317650912004923</v>
      </c>
      <c r="F50" s="4">
        <f t="shared" si="0"/>
        <v>736.02400393024504</v>
      </c>
    </row>
    <row r="51" spans="1:6">
      <c r="A51" s="7">
        <v>43291</v>
      </c>
      <c r="B51" s="1">
        <v>0.33333333333333331</v>
      </c>
      <c r="C51" s="2">
        <v>7156.4</v>
      </c>
      <c r="D51" s="2">
        <v>8.6</v>
      </c>
      <c r="E51" s="3">
        <f t="shared" ref="E51:E54" si="3">($B$2*C51^2+$B$3*C51+$B$4)-$B$5*D51-$E$7</f>
        <v>0.10377532827342496</v>
      </c>
      <c r="F51" s="4">
        <f t="shared" si="0"/>
        <v>736.08508348388932</v>
      </c>
    </row>
    <row r="52" spans="1:6">
      <c r="A52" s="7">
        <v>43301</v>
      </c>
      <c r="B52" s="1">
        <v>0.33333333333333331</v>
      </c>
      <c r="C52" s="2">
        <v>7159.3</v>
      </c>
      <c r="D52" s="2">
        <v>7.3</v>
      </c>
      <c r="E52" s="3">
        <f t="shared" si="3"/>
        <v>9.9647066139181964E-2</v>
      </c>
      <c r="F52" s="4">
        <f t="shared" si="0"/>
        <v>735.66400074619651</v>
      </c>
    </row>
    <row r="53" spans="1:6">
      <c r="A53" s="7">
        <v>43311</v>
      </c>
      <c r="B53" s="1">
        <v>0.33333333333333331</v>
      </c>
      <c r="C53" s="2">
        <v>7155</v>
      </c>
      <c r="D53" s="2">
        <v>7.1</v>
      </c>
      <c r="E53" s="3">
        <f t="shared" si="3"/>
        <v>9.9728927913054419E-2</v>
      </c>
      <c r="F53" s="4">
        <f t="shared" si="0"/>
        <v>735.67235064713157</v>
      </c>
    </row>
    <row r="54" spans="1:6">
      <c r="A54" s="7">
        <v>43322</v>
      </c>
      <c r="B54" s="1">
        <v>0.33333333333333331</v>
      </c>
      <c r="C54" s="2">
        <v>7133.6</v>
      </c>
      <c r="D54" s="2">
        <v>7.2</v>
      </c>
      <c r="E54" s="3">
        <f t="shared" si="3"/>
        <v>0.10324568294732085</v>
      </c>
      <c r="F54" s="4">
        <f t="shared" si="0"/>
        <v>736.03105966062674</v>
      </c>
    </row>
    <row r="55" spans="1:6">
      <c r="A55" s="7">
        <v>43332</v>
      </c>
      <c r="B55" s="1">
        <v>0.33333333333333331</v>
      </c>
      <c r="C55" s="2">
        <v>7146.7</v>
      </c>
      <c r="D55" s="2">
        <v>7</v>
      </c>
      <c r="E55" s="3">
        <f t="shared" ref="E55:E72" si="4">($B$2*C55^2+$B$3*C55+$B$4)-$B$5*D55-$E$7</f>
        <v>0.10069892904384699</v>
      </c>
      <c r="F55" s="4">
        <f t="shared" ref="F55:F72" si="5">$D$1+102*E55</f>
        <v>735.7712907624724</v>
      </c>
    </row>
    <row r="56" spans="1:6">
      <c r="A56" s="7">
        <v>43342</v>
      </c>
      <c r="B56" s="1">
        <v>0.33333333333333331</v>
      </c>
      <c r="C56" s="2">
        <v>7142.5</v>
      </c>
      <c r="D56" s="2">
        <v>7</v>
      </c>
      <c r="E56" s="3">
        <f t="shared" si="4"/>
        <v>0.10133342210999204</v>
      </c>
      <c r="F56" s="4">
        <f t="shared" si="5"/>
        <v>735.83600905521917</v>
      </c>
    </row>
    <row r="57" spans="1:6">
      <c r="A57" s="7">
        <v>43353</v>
      </c>
      <c r="B57" s="1">
        <v>0.33333333333333331</v>
      </c>
      <c r="C57" s="2">
        <v>7131.8</v>
      </c>
      <c r="D57" s="2">
        <v>7</v>
      </c>
      <c r="E57" s="3">
        <f t="shared" si="4"/>
        <v>0.10294989719583654</v>
      </c>
      <c r="F57" s="4">
        <f t="shared" si="5"/>
        <v>736.00088951397538</v>
      </c>
    </row>
    <row r="58" spans="1:6">
      <c r="A58" s="7">
        <v>43363</v>
      </c>
      <c r="B58" s="1">
        <v>0.33333333333333331</v>
      </c>
      <c r="C58" s="2">
        <v>7120.9</v>
      </c>
      <c r="D58" s="2">
        <v>7</v>
      </c>
      <c r="E58" s="3">
        <f t="shared" si="4"/>
        <v>0.10459662880519567</v>
      </c>
      <c r="F58" s="4">
        <f t="shared" si="5"/>
        <v>736.16885613812997</v>
      </c>
    </row>
    <row r="59" spans="1:6">
      <c r="A59" s="7">
        <v>43373</v>
      </c>
      <c r="B59" s="1">
        <v>0.33333333333333331</v>
      </c>
      <c r="C59" s="2">
        <v>7142.3</v>
      </c>
      <c r="D59" s="2">
        <v>7</v>
      </c>
      <c r="E59" s="3">
        <f t="shared" si="4"/>
        <v>0.10136363622263962</v>
      </c>
      <c r="F59" s="4">
        <f t="shared" si="5"/>
        <v>735.83909089470922</v>
      </c>
    </row>
    <row r="60" spans="1:6">
      <c r="A60" s="7">
        <v>43383</v>
      </c>
      <c r="B60" s="1">
        <v>0.33333333333333331</v>
      </c>
      <c r="C60" s="2">
        <v>7144.5</v>
      </c>
      <c r="D60" s="2">
        <v>7</v>
      </c>
      <c r="E60" s="3">
        <f t="shared" si="4"/>
        <v>0.10103128176909999</v>
      </c>
      <c r="F60" s="4">
        <f t="shared" si="5"/>
        <v>735.80519074044821</v>
      </c>
    </row>
    <row r="61" spans="1:6">
      <c r="A61" s="7">
        <v>43393</v>
      </c>
      <c r="B61" s="1">
        <v>0.33333333333333331</v>
      </c>
      <c r="C61" s="2">
        <v>7145.3</v>
      </c>
      <c r="D61" s="2">
        <v>6.9</v>
      </c>
      <c r="E61" s="3">
        <f t="shared" si="4"/>
        <v>0.10062656653267728</v>
      </c>
      <c r="F61" s="4">
        <f t="shared" si="5"/>
        <v>735.7639097863331</v>
      </c>
    </row>
    <row r="62" spans="1:6">
      <c r="A62" s="7">
        <v>43605</v>
      </c>
      <c r="B62" s="1">
        <v>0.33333333333333331</v>
      </c>
      <c r="C62" s="2">
        <v>7167.2</v>
      </c>
      <c r="D62" s="2">
        <v>6.4</v>
      </c>
      <c r="E62" s="3">
        <f t="shared" si="4"/>
        <v>9.5898932006689849E-2</v>
      </c>
      <c r="F62" s="4">
        <f t="shared" si="5"/>
        <v>735.28169106468238</v>
      </c>
    </row>
    <row r="63" spans="1:6">
      <c r="A63" s="7">
        <v>43615</v>
      </c>
      <c r="B63" s="1">
        <v>0.33333333333333331</v>
      </c>
      <c r="C63" s="2">
        <v>7169.7</v>
      </c>
      <c r="D63" s="2">
        <v>6.5</v>
      </c>
      <c r="E63" s="3">
        <f t="shared" si="4"/>
        <v>9.5805138353689409E-2</v>
      </c>
      <c r="F63" s="4">
        <f t="shared" si="5"/>
        <v>735.27212411207631</v>
      </c>
    </row>
    <row r="64" spans="1:6">
      <c r="A64" s="7">
        <v>43626</v>
      </c>
      <c r="B64" s="1">
        <v>0.33333333333333331</v>
      </c>
      <c r="C64" s="2">
        <v>7171.3</v>
      </c>
      <c r="D64" s="2">
        <v>6.5</v>
      </c>
      <c r="E64" s="3">
        <f t="shared" si="4"/>
        <v>9.5563441507004451E-2</v>
      </c>
      <c r="F64" s="4">
        <f t="shared" si="5"/>
        <v>735.24747103371442</v>
      </c>
    </row>
    <row r="65" spans="1:6">
      <c r="A65" s="7">
        <v>43636</v>
      </c>
      <c r="B65" s="1">
        <v>0.33333333333333331</v>
      </c>
      <c r="C65" s="2">
        <v>7173.6</v>
      </c>
      <c r="D65" s="2">
        <v>6.7</v>
      </c>
      <c r="E65" s="3">
        <f t="shared" si="4"/>
        <v>9.5783722891416803E-2</v>
      </c>
      <c r="F65" s="4">
        <f t="shared" si="5"/>
        <v>735.26993973492449</v>
      </c>
    </row>
    <row r="66" spans="1:6">
      <c r="A66" s="7">
        <v>43646</v>
      </c>
      <c r="B66" s="1">
        <v>0.33333333333333331</v>
      </c>
      <c r="C66" s="2">
        <v>7168.1</v>
      </c>
      <c r="D66" s="2">
        <v>6.7</v>
      </c>
      <c r="E66" s="3">
        <f t="shared" si="4"/>
        <v>9.6614555114509129E-2</v>
      </c>
      <c r="F66" s="4">
        <f t="shared" si="5"/>
        <v>735.35468462167989</v>
      </c>
    </row>
    <row r="67" spans="1:6">
      <c r="A67" s="7">
        <v>43656</v>
      </c>
      <c r="B67" s="1">
        <v>0.33333333333333331</v>
      </c>
      <c r="C67" s="2">
        <v>7157.3</v>
      </c>
      <c r="D67" s="2">
        <v>6.8</v>
      </c>
      <c r="E67" s="3">
        <f t="shared" si="4"/>
        <v>9.852989841038777E-2</v>
      </c>
      <c r="F67" s="4">
        <f t="shared" si="5"/>
        <v>735.5500496378595</v>
      </c>
    </row>
    <row r="68" spans="1:6">
      <c r="A68" s="7">
        <v>43666</v>
      </c>
      <c r="B68" s="1">
        <v>0.33333333333333331</v>
      </c>
      <c r="C68" s="2">
        <v>7149.6</v>
      </c>
      <c r="D68" s="2">
        <v>6.9</v>
      </c>
      <c r="E68" s="3">
        <f t="shared" si="4"/>
        <v>9.9976970864831219E-2</v>
      </c>
      <c r="F68" s="4">
        <f t="shared" si="5"/>
        <v>735.69765102821282</v>
      </c>
    </row>
    <row r="69" spans="1:6">
      <c r="A69" s="7">
        <v>43676</v>
      </c>
      <c r="B69" s="1">
        <v>0.33333333333333331</v>
      </c>
      <c r="C69" s="2">
        <v>7143.2</v>
      </c>
      <c r="D69" s="2">
        <v>6.8</v>
      </c>
      <c r="E69" s="3">
        <f t="shared" si="4"/>
        <v>0.10065995382820674</v>
      </c>
      <c r="F69" s="4">
        <f t="shared" si="5"/>
        <v>735.76731529047709</v>
      </c>
    </row>
    <row r="70" spans="1:6">
      <c r="A70" s="7">
        <v>43687</v>
      </c>
      <c r="B70" s="9">
        <v>0.33333333333333331</v>
      </c>
      <c r="C70" s="2">
        <v>7117.9</v>
      </c>
      <c r="D70" s="2">
        <v>6.8</v>
      </c>
      <c r="E70" s="3">
        <f t="shared" si="4"/>
        <v>0.10448214613370692</v>
      </c>
      <c r="F70" s="4">
        <f t="shared" si="5"/>
        <v>736.15717890563815</v>
      </c>
    </row>
    <row r="71" spans="1:6">
      <c r="A71" s="7">
        <v>43697</v>
      </c>
      <c r="B71" s="1">
        <v>0.33333333333333331</v>
      </c>
      <c r="C71" s="2">
        <v>7097.8</v>
      </c>
      <c r="D71" s="2">
        <v>6.6</v>
      </c>
      <c r="E71" s="3">
        <f t="shared" si="4"/>
        <v>0.10695119343356786</v>
      </c>
      <c r="F71" s="4">
        <f t="shared" si="5"/>
        <v>736.40902173022391</v>
      </c>
    </row>
    <row r="72" spans="1:6">
      <c r="A72" s="7">
        <v>43707</v>
      </c>
      <c r="B72" s="9">
        <v>0.33333333333333331</v>
      </c>
      <c r="C72" s="2">
        <v>7082</v>
      </c>
      <c r="D72" s="2">
        <v>6.6</v>
      </c>
      <c r="E72" s="3">
        <f t="shared" si="4"/>
        <v>0.10933840453391254</v>
      </c>
      <c r="F72" s="4">
        <f t="shared" si="5"/>
        <v>736.65251726245913</v>
      </c>
    </row>
  </sheetData>
  <phoneticPr fontId="4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6"/>
  <sheetViews>
    <sheetView topLeftCell="A37" workbookViewId="0">
      <selection activeCell="A56" sqref="A56:B58"/>
    </sheetView>
  </sheetViews>
  <sheetFormatPr defaultColWidth="9" defaultRowHeight="13.5"/>
  <cols>
    <col min="1" max="1" width="11.125" customWidth="1"/>
    <col min="2" max="2" width="13.125" style="17" customWidth="1"/>
    <col min="5" max="5" width="10.875" customWidth="1"/>
    <col min="8" max="8" width="9.5" customWidth="1"/>
  </cols>
  <sheetData>
    <row r="1" spans="1:8">
      <c r="A1" t="s">
        <v>0</v>
      </c>
      <c r="B1" s="18">
        <v>50404</v>
      </c>
      <c r="C1" t="s">
        <v>1</v>
      </c>
      <c r="D1" s="11">
        <v>741</v>
      </c>
    </row>
    <row r="2" spans="1:8">
      <c r="A2" t="s">
        <v>2</v>
      </c>
      <c r="B2" s="24">
        <v>4.4724399999999998E-10</v>
      </c>
    </row>
    <row r="3" spans="1:8">
      <c r="A3" t="s">
        <v>3</v>
      </c>
      <c r="B3" s="18">
        <v>-7.1237999999999998E-5</v>
      </c>
    </row>
    <row r="4" spans="1:8">
      <c r="A4" t="s">
        <v>4</v>
      </c>
      <c r="B4" s="18">
        <v>0.61706388000000001</v>
      </c>
    </row>
    <row r="5" spans="1:8">
      <c r="A5" t="s">
        <v>5</v>
      </c>
      <c r="B5" s="18">
        <v>-9.4905499999999997E-4</v>
      </c>
    </row>
    <row r="6" spans="1:8">
      <c r="A6" t="s">
        <v>6</v>
      </c>
      <c r="B6" s="17" t="s">
        <v>7</v>
      </c>
      <c r="C6" t="s">
        <v>8</v>
      </c>
      <c r="D6" t="s">
        <v>9</v>
      </c>
      <c r="E6" t="s">
        <v>10</v>
      </c>
      <c r="F6" t="s">
        <v>11</v>
      </c>
      <c r="G6" t="s">
        <v>12</v>
      </c>
    </row>
    <row r="7" spans="1:8">
      <c r="A7" s="6">
        <v>42630</v>
      </c>
      <c r="B7" s="9">
        <v>0.3888888888888889</v>
      </c>
      <c r="C7" s="2">
        <v>9077.7999999999993</v>
      </c>
      <c r="D7" s="2">
        <v>12.7</v>
      </c>
      <c r="E7" s="3">
        <f>($B$2*C7^2+$B$3*C7+$B$4)-$B$5*D7</f>
        <v>1.9288353693973113E-2</v>
      </c>
      <c r="G7" t="s">
        <v>13</v>
      </c>
    </row>
    <row r="8" spans="1:8">
      <c r="A8" s="6">
        <v>42631</v>
      </c>
      <c r="B8" s="9">
        <v>0.35416666666666669</v>
      </c>
      <c r="C8" s="2">
        <v>9030.7000000000007</v>
      </c>
      <c r="D8" s="2">
        <v>11.1</v>
      </c>
      <c r="E8" s="3">
        <f t="shared" ref="E8:E31" si="0">($B$2*C8^2+$B$3*C8+$B$4)-$B$5*D8-$E$7</f>
        <v>1.455362763424381E-3</v>
      </c>
      <c r="F8" s="4">
        <f>$D$1+102*E8</f>
        <v>741.14844700186927</v>
      </c>
      <c r="G8" s="5" t="s">
        <v>14</v>
      </c>
      <c r="H8" s="23"/>
    </row>
    <row r="9" spans="1:8">
      <c r="A9" s="6">
        <v>42632</v>
      </c>
      <c r="B9" s="9">
        <v>0.33333333333333331</v>
      </c>
      <c r="C9" s="2">
        <v>9048.5</v>
      </c>
      <c r="D9" s="2">
        <v>12.5</v>
      </c>
      <c r="E9" s="3">
        <f t="shared" si="0"/>
        <v>1.6599308477259073E-3</v>
      </c>
      <c r="F9" s="4">
        <f t="shared" ref="F9:F36" si="1">$D$1+102*E9</f>
        <v>741.16931294646804</v>
      </c>
      <c r="H9" s="23"/>
    </row>
    <row r="10" spans="1:8">
      <c r="A10" s="6">
        <v>42633</v>
      </c>
      <c r="B10" s="9">
        <v>0.33333333333333331</v>
      </c>
      <c r="C10" s="2">
        <v>9011.1</v>
      </c>
      <c r="D10" s="2">
        <v>10.8</v>
      </c>
      <c r="E10" s="3">
        <f t="shared" si="0"/>
        <v>2.4087569621600753E-3</v>
      </c>
      <c r="F10" s="4">
        <f t="shared" si="1"/>
        <v>741.2456932101403</v>
      </c>
      <c r="H10" s="23"/>
    </row>
    <row r="11" spans="1:8">
      <c r="A11" s="6">
        <v>42634</v>
      </c>
      <c r="B11" s="9">
        <v>0.33333333333333331</v>
      </c>
      <c r="C11" s="2">
        <v>9010.1</v>
      </c>
      <c r="D11" s="2">
        <v>10.4</v>
      </c>
      <c r="E11" s="3">
        <f t="shared" si="0"/>
        <v>2.0923130885873858E-3</v>
      </c>
      <c r="F11" s="4">
        <f t="shared" si="1"/>
        <v>741.21341593503587</v>
      </c>
      <c r="H11" s="23"/>
    </row>
    <row r="12" spans="1:8">
      <c r="A12" s="6">
        <v>42635</v>
      </c>
      <c r="B12" s="9">
        <v>0.33333333333333331</v>
      </c>
      <c r="C12" s="2">
        <v>9010.7000000000007</v>
      </c>
      <c r="D12" s="2">
        <v>10.199999999999999</v>
      </c>
      <c r="E12" s="3">
        <f t="shared" si="0"/>
        <v>1.864595105392438E-3</v>
      </c>
      <c r="F12" s="4">
        <f t="shared" si="1"/>
        <v>741.19018870075001</v>
      </c>
      <c r="H12" s="23"/>
    </row>
    <row r="13" spans="1:8">
      <c r="A13" s="6">
        <v>42636</v>
      </c>
      <c r="B13" s="9">
        <v>0.33333333333333331</v>
      </c>
      <c r="C13" s="2">
        <v>9005.9</v>
      </c>
      <c r="D13" s="2">
        <v>10.199999999999999</v>
      </c>
      <c r="E13" s="3">
        <f t="shared" si="0"/>
        <v>2.1678599873906045E-3</v>
      </c>
      <c r="F13" s="4">
        <f t="shared" si="1"/>
        <v>741.22112171871379</v>
      </c>
      <c r="H13" s="23"/>
    </row>
    <row r="14" spans="1:8">
      <c r="A14" s="6">
        <v>42637</v>
      </c>
      <c r="B14" s="9">
        <v>0.33333333333333331</v>
      </c>
      <c r="C14" s="2">
        <v>9012</v>
      </c>
      <c r="D14" s="2">
        <v>10.1</v>
      </c>
      <c r="E14" s="3">
        <f t="shared" si="0"/>
        <v>1.6875589131629294E-3</v>
      </c>
      <c r="F14" s="4">
        <f t="shared" si="1"/>
        <v>741.17213100914262</v>
      </c>
      <c r="H14" s="23"/>
    </row>
    <row r="15" spans="1:8">
      <c r="A15" s="6">
        <v>42643</v>
      </c>
      <c r="B15" s="9">
        <v>0.33333333333333331</v>
      </c>
      <c r="C15" s="2">
        <v>8991.7999999999993</v>
      </c>
      <c r="D15" s="2">
        <v>9.6</v>
      </c>
      <c r="E15" s="3">
        <f t="shared" si="0"/>
        <v>2.4893867643134872E-3</v>
      </c>
      <c r="F15" s="4">
        <f t="shared" si="1"/>
        <v>741.25391744996</v>
      </c>
      <c r="H15" s="23"/>
    </row>
    <row r="16" spans="1:8">
      <c r="A16" s="6">
        <v>42884</v>
      </c>
      <c r="B16" s="9">
        <v>0.33333333333333331</v>
      </c>
      <c r="C16" s="2">
        <v>9002.1</v>
      </c>
      <c r="D16" s="2">
        <v>5.5</v>
      </c>
      <c r="E16" s="3">
        <f t="shared" si="0"/>
        <v>-2.0525991984271658E-3</v>
      </c>
      <c r="F16" s="4">
        <f t="shared" si="1"/>
        <v>740.79063488176041</v>
      </c>
      <c r="H16" s="23"/>
    </row>
    <row r="17" spans="1:8">
      <c r="A17" s="6">
        <v>42885</v>
      </c>
      <c r="B17" s="9">
        <v>0.33333333333333331</v>
      </c>
      <c r="C17" s="2">
        <v>8999.5</v>
      </c>
      <c r="D17" s="2">
        <v>5.5</v>
      </c>
      <c r="E17" s="3">
        <f t="shared" si="0"/>
        <v>-1.8883132781620932E-3</v>
      </c>
      <c r="F17" s="4">
        <f t="shared" si="1"/>
        <v>740.80739204562747</v>
      </c>
      <c r="H17" s="23"/>
    </row>
    <row r="18" spans="1:8">
      <c r="A18" s="6">
        <v>42896</v>
      </c>
      <c r="B18" s="9">
        <v>0.33333333333333331</v>
      </c>
      <c r="C18" s="2">
        <v>8983.7999999999993</v>
      </c>
      <c r="D18" s="2">
        <v>5.3</v>
      </c>
      <c r="E18" s="3">
        <f t="shared" si="0"/>
        <v>-1.0859615696577618E-3</v>
      </c>
      <c r="F18" s="4">
        <f t="shared" si="1"/>
        <v>740.88923191989488</v>
      </c>
      <c r="H18" s="23"/>
    </row>
    <row r="19" spans="1:8">
      <c r="A19" s="7">
        <v>42906</v>
      </c>
      <c r="B19" s="9">
        <v>0.33333333333333331</v>
      </c>
      <c r="C19" s="2">
        <v>8952.4</v>
      </c>
      <c r="D19" s="2">
        <v>5</v>
      </c>
      <c r="E19" s="3">
        <f t="shared" si="0"/>
        <v>6.1430879439236877E-4</v>
      </c>
      <c r="F19" s="4">
        <f t="shared" si="1"/>
        <v>741.06265949702799</v>
      </c>
      <c r="H19" s="23"/>
    </row>
    <row r="20" spans="1:8">
      <c r="A20" s="7">
        <v>42916</v>
      </c>
      <c r="B20" s="9">
        <v>0.33333333333333331</v>
      </c>
      <c r="C20" s="2">
        <v>8978.7000000000007</v>
      </c>
      <c r="D20" s="2">
        <v>5.0999999999999996</v>
      </c>
      <c r="E20" s="3">
        <f t="shared" si="0"/>
        <v>-9.5343023344278757E-4</v>
      </c>
      <c r="F20" s="4">
        <f t="shared" si="1"/>
        <v>740.90275011618883</v>
      </c>
      <c r="H20" s="23"/>
    </row>
    <row r="21" spans="1:8">
      <c r="A21" s="7">
        <v>42926</v>
      </c>
      <c r="B21" s="9">
        <v>0.33333333333333331</v>
      </c>
      <c r="C21" s="2">
        <v>9003</v>
      </c>
      <c r="D21" s="2">
        <v>5.0999999999999996</v>
      </c>
      <c r="E21" s="3">
        <f t="shared" si="0"/>
        <v>-2.4890879927770733E-3</v>
      </c>
      <c r="F21" s="4">
        <f t="shared" si="1"/>
        <v>740.7461130247367</v>
      </c>
      <c r="H21" s="23"/>
    </row>
    <row r="22" spans="1:8">
      <c r="A22" s="7">
        <v>42936</v>
      </c>
      <c r="B22" s="9">
        <v>0.33333333333333331</v>
      </c>
      <c r="C22" s="2">
        <v>8986.5</v>
      </c>
      <c r="D22" s="2">
        <v>5</v>
      </c>
      <c r="E22" s="3">
        <f t="shared" si="0"/>
        <v>-1.5413204757540842E-3</v>
      </c>
      <c r="F22" s="4">
        <f t="shared" si="1"/>
        <v>740.84278531147311</v>
      </c>
      <c r="H22" s="23"/>
    </row>
    <row r="23" spans="1:8">
      <c r="A23" s="7">
        <v>42946</v>
      </c>
      <c r="B23" s="9">
        <v>0.33333333333333331</v>
      </c>
      <c r="C23" s="2">
        <v>8984.9</v>
      </c>
      <c r="D23" s="2">
        <v>5.0999999999999996</v>
      </c>
      <c r="E23" s="3">
        <f t="shared" si="0"/>
        <v>-1.3452943370685817E-3</v>
      </c>
      <c r="F23" s="4">
        <f t="shared" si="1"/>
        <v>740.86277997761897</v>
      </c>
    </row>
    <row r="24" spans="1:8">
      <c r="A24" s="7">
        <v>42957</v>
      </c>
      <c r="B24" s="9">
        <v>0.33333333333333331</v>
      </c>
      <c r="C24" s="2">
        <v>8982</v>
      </c>
      <c r="D24" s="2">
        <v>5.5</v>
      </c>
      <c r="E24" s="3">
        <f t="shared" si="0"/>
        <v>-7.8238534291709405E-4</v>
      </c>
      <c r="F24" s="4">
        <f t="shared" si="1"/>
        <v>740.92019669502247</v>
      </c>
    </row>
    <row r="25" spans="1:8">
      <c r="A25" s="7">
        <v>42967</v>
      </c>
      <c r="B25" s="9">
        <v>0.33333333333333331</v>
      </c>
      <c r="C25" s="2">
        <v>8965.4</v>
      </c>
      <c r="D25" s="2">
        <v>5.5</v>
      </c>
      <c r="E25" s="3">
        <f t="shared" si="0"/>
        <v>2.6691946545397138E-4</v>
      </c>
      <c r="F25" s="4">
        <f t="shared" si="1"/>
        <v>741.02722578547628</v>
      </c>
    </row>
    <row r="26" spans="1:8">
      <c r="A26" s="7">
        <v>42977</v>
      </c>
      <c r="B26" s="9">
        <v>0.33333333333333331</v>
      </c>
      <c r="C26" s="2">
        <v>8980.5</v>
      </c>
      <c r="D26" s="2">
        <v>6.6</v>
      </c>
      <c r="E26" s="3">
        <f t="shared" si="0"/>
        <v>3.5638172655793124E-4</v>
      </c>
      <c r="F26" s="4">
        <f t="shared" si="1"/>
        <v>741.03635093610887</v>
      </c>
    </row>
    <row r="27" spans="1:8">
      <c r="A27" s="7">
        <v>42988</v>
      </c>
      <c r="B27" s="9">
        <v>0.33333333333333331</v>
      </c>
      <c r="C27" s="2">
        <v>8975.2000000000007</v>
      </c>
      <c r="D27" s="2">
        <v>6.8</v>
      </c>
      <c r="E27" s="3">
        <f t="shared" si="0"/>
        <v>8.8119205737664102E-4</v>
      </c>
      <c r="F27" s="4">
        <f t="shared" si="1"/>
        <v>741.08988158985244</v>
      </c>
    </row>
    <row r="28" spans="1:8">
      <c r="A28" s="6">
        <v>42998</v>
      </c>
      <c r="B28" s="9">
        <v>0.33333333333333331</v>
      </c>
      <c r="C28" s="2">
        <v>8968.7000000000007</v>
      </c>
      <c r="D28" s="2">
        <v>6.9</v>
      </c>
      <c r="E28" s="3">
        <f t="shared" si="0"/>
        <v>1.386980096901233E-3</v>
      </c>
      <c r="F28" s="4">
        <f t="shared" si="1"/>
        <v>741.14147196988392</v>
      </c>
    </row>
    <row r="29" spans="1:8">
      <c r="A29" s="7">
        <v>43008</v>
      </c>
      <c r="B29" s="9">
        <v>0.33333333333333331</v>
      </c>
      <c r="C29" s="2">
        <v>8967.1</v>
      </c>
      <c r="D29" s="2">
        <v>6.7</v>
      </c>
      <c r="E29" s="3">
        <f t="shared" si="0"/>
        <v>1.2983152106049445E-3</v>
      </c>
      <c r="F29" s="4">
        <f t="shared" si="1"/>
        <v>741.13242815148169</v>
      </c>
    </row>
    <row r="30" spans="1:8">
      <c r="A30" s="7">
        <v>43018</v>
      </c>
      <c r="B30" s="9">
        <v>0.33333333333333331</v>
      </c>
      <c r="C30" s="2">
        <v>8997.2999999999993</v>
      </c>
      <c r="D30" s="2">
        <v>5.8</v>
      </c>
      <c r="E30" s="3">
        <f t="shared" si="0"/>
        <v>-1.4645808919642907E-3</v>
      </c>
      <c r="F30" s="4">
        <f t="shared" si="1"/>
        <v>740.85061274901966</v>
      </c>
    </row>
    <row r="31" spans="1:8">
      <c r="A31" s="7">
        <v>43230</v>
      </c>
      <c r="B31" s="9">
        <v>0.33333333333333331</v>
      </c>
      <c r="C31" s="2">
        <v>9006.6</v>
      </c>
      <c r="D31" s="2">
        <v>6.3</v>
      </c>
      <c r="E31" s="3">
        <f t="shared" si="0"/>
        <v>-1.5776819248244957E-3</v>
      </c>
      <c r="F31" s="4">
        <f t="shared" si="1"/>
        <v>740.83907644366786</v>
      </c>
    </row>
    <row r="32" spans="1:8">
      <c r="A32" s="7">
        <v>43240</v>
      </c>
      <c r="B32" s="9">
        <v>0.33333333333333331</v>
      </c>
      <c r="C32" s="2">
        <v>9004</v>
      </c>
      <c r="D32" s="2">
        <v>6.2</v>
      </c>
      <c r="E32" s="3">
        <f>($B$2*C32^2+$B$3*C32+$B$4)-$B$5*D32-$E$7</f>
        <v>-1.5083119700691067E-3</v>
      </c>
      <c r="F32" s="4">
        <f t="shared" si="1"/>
        <v>740.84615217905298</v>
      </c>
    </row>
    <row r="33" spans="1:6">
      <c r="A33" s="7">
        <v>43250</v>
      </c>
      <c r="B33" s="9">
        <v>0.33333333333333331</v>
      </c>
      <c r="C33" s="2">
        <v>8985.1</v>
      </c>
      <c r="D33" s="2">
        <v>6.6</v>
      </c>
      <c r="E33" s="3">
        <f>($B$2*C33^2+$B$3*C33+$B$4)-$B$5*D33-$E$7</f>
        <v>6.5647957867221579E-5</v>
      </c>
      <c r="F33" s="4">
        <f t="shared" si="1"/>
        <v>741.00669609170245</v>
      </c>
    </row>
    <row r="34" spans="1:6">
      <c r="A34" s="7">
        <v>43261</v>
      </c>
      <c r="B34" s="9">
        <v>0.33333333333333331</v>
      </c>
      <c r="C34" s="2">
        <v>8995.7999999999993</v>
      </c>
      <c r="D34" s="2">
        <v>6.4</v>
      </c>
      <c r="E34" s="3">
        <f>($B$2*C34^2+$B$3*C34+$B$4)-$B$5*D34-$E$7</f>
        <v>-8.0036185098894194E-4</v>
      </c>
      <c r="F34" s="4">
        <f t="shared" si="1"/>
        <v>740.91836309119913</v>
      </c>
    </row>
    <row r="35" spans="1:6">
      <c r="A35" s="7">
        <v>43271</v>
      </c>
      <c r="B35" s="9">
        <v>0.33333333333333331</v>
      </c>
      <c r="C35" s="2">
        <v>9032</v>
      </c>
      <c r="D35" s="2">
        <v>11.5</v>
      </c>
      <c r="E35" s="3">
        <f>($B$2*C35^2+$B$3*C35+$B$4)-$B$5*D35-$E$7</f>
        <v>1.7528773278828909E-3</v>
      </c>
      <c r="F35" s="4">
        <f t="shared" si="1"/>
        <v>741.17879348744407</v>
      </c>
    </row>
    <row r="36" spans="1:6">
      <c r="A36" s="7">
        <v>43281</v>
      </c>
      <c r="B36" s="9">
        <v>0.33333333333333331</v>
      </c>
      <c r="C36" s="2">
        <v>8983.2999999999993</v>
      </c>
      <c r="D36" s="2">
        <v>9.4</v>
      </c>
      <c r="E36" s="3">
        <f>($B$2*C36^2+$B$3*C36+$B$4)-$B$5*D36-$E$7</f>
        <v>2.8367650915060889E-3</v>
      </c>
      <c r="F36" s="4">
        <f t="shared" si="1"/>
        <v>741.28935003933361</v>
      </c>
    </row>
    <row r="37" spans="1:6">
      <c r="A37" s="7">
        <v>43291</v>
      </c>
      <c r="B37" s="9">
        <v>0.33333333333333331</v>
      </c>
      <c r="C37" s="2">
        <v>8952.1</v>
      </c>
      <c r="D37" s="2">
        <v>6.5</v>
      </c>
      <c r="E37" s="3">
        <f t="shared" ref="E37:E58" si="2">($B$2*C37^2+$B$3*C37+$B$4)-$B$5*D37-$E$7</f>
        <v>2.0568603903329367E-3</v>
      </c>
      <c r="F37" s="4">
        <f t="shared" ref="F37:F58" si="3">$D$1+102*E37</f>
        <v>741.2097997598139</v>
      </c>
    </row>
    <row r="38" spans="1:6">
      <c r="A38" s="7">
        <v>43301</v>
      </c>
      <c r="B38" s="9">
        <v>0.33333333333333331</v>
      </c>
      <c r="C38" s="2">
        <v>8930.2000000000007</v>
      </c>
      <c r="D38" s="2">
        <v>6.4</v>
      </c>
      <c r="E38" s="3">
        <f t="shared" si="2"/>
        <v>3.34691633508458E-3</v>
      </c>
      <c r="F38" s="4">
        <f t="shared" si="3"/>
        <v>741.34138546617862</v>
      </c>
    </row>
    <row r="39" spans="1:6">
      <c r="A39" s="7">
        <v>43311</v>
      </c>
      <c r="B39" s="9">
        <v>0.33333333333333331</v>
      </c>
      <c r="C39" s="2">
        <v>8931.4</v>
      </c>
      <c r="D39" s="2">
        <v>6.7</v>
      </c>
      <c r="E39" s="3">
        <f t="shared" si="2"/>
        <v>3.5557334272011409E-3</v>
      </c>
      <c r="F39" s="4">
        <f t="shared" si="3"/>
        <v>741.36268480957449</v>
      </c>
    </row>
    <row r="40" spans="1:6">
      <c r="A40" s="7">
        <v>43322</v>
      </c>
      <c r="B40" s="9">
        <v>0.33333333333333331</v>
      </c>
      <c r="C40" s="2">
        <v>8928.7999999999993</v>
      </c>
      <c r="D40" s="2">
        <v>6.6</v>
      </c>
      <c r="E40" s="3">
        <f t="shared" si="2"/>
        <v>3.6252782722503325E-3</v>
      </c>
      <c r="F40" s="4">
        <f t="shared" si="3"/>
        <v>741.36977838376959</v>
      </c>
    </row>
    <row r="41" spans="1:6">
      <c r="A41" s="7">
        <v>43332</v>
      </c>
      <c r="B41" s="9">
        <v>0.33333333333333331</v>
      </c>
      <c r="C41" s="2">
        <v>8928.2999999999993</v>
      </c>
      <c r="D41" s="2">
        <v>6.5</v>
      </c>
      <c r="E41" s="3">
        <f t="shared" si="2"/>
        <v>3.5619985318341534E-3</v>
      </c>
      <c r="F41" s="4">
        <f t="shared" si="3"/>
        <v>741.36332385024707</v>
      </c>
    </row>
    <row r="42" spans="1:6">
      <c r="A42" s="7">
        <v>43342</v>
      </c>
      <c r="B42" s="9">
        <v>0.33333333333333331</v>
      </c>
      <c r="C42" s="2">
        <v>8925.6</v>
      </c>
      <c r="D42" s="2">
        <v>6.8</v>
      </c>
      <c r="E42" s="3">
        <f t="shared" si="2"/>
        <v>4.0174979977746841E-3</v>
      </c>
      <c r="F42" s="4">
        <f t="shared" si="3"/>
        <v>741.40978479577302</v>
      </c>
    </row>
    <row r="43" spans="1:6">
      <c r="A43" s="7">
        <v>43353</v>
      </c>
      <c r="B43" s="9">
        <v>0.33333333333333331</v>
      </c>
      <c r="C43" s="2">
        <v>8923.7000000000007</v>
      </c>
      <c r="D43" s="2">
        <v>7.5</v>
      </c>
      <c r="E43" s="3">
        <f t="shared" si="2"/>
        <v>4.8020210123493126E-3</v>
      </c>
      <c r="F43" s="4">
        <f t="shared" si="3"/>
        <v>741.48980614325967</v>
      </c>
    </row>
    <row r="44" spans="1:6">
      <c r="A44" s="7">
        <v>43363</v>
      </c>
      <c r="B44" s="9">
        <v>0.33333333333333331</v>
      </c>
      <c r="C44" s="2">
        <v>8872.4</v>
      </c>
      <c r="D44" s="2">
        <v>5</v>
      </c>
      <c r="E44" s="3">
        <f t="shared" si="2"/>
        <v>5.6755860062963383E-3</v>
      </c>
      <c r="F44" s="4">
        <f t="shared" si="3"/>
        <v>741.57890977264219</v>
      </c>
    </row>
    <row r="45" spans="1:6">
      <c r="A45" s="7">
        <v>43373</v>
      </c>
      <c r="B45" s="9">
        <v>0.33333333333333331</v>
      </c>
      <c r="C45" s="2">
        <v>8903.1</v>
      </c>
      <c r="D45" s="2">
        <v>4.8</v>
      </c>
      <c r="E45" s="3">
        <f t="shared" si="2"/>
        <v>3.5428329679617759E-3</v>
      </c>
      <c r="F45" s="4">
        <f t="shared" si="3"/>
        <v>741.36136896273206</v>
      </c>
    </row>
    <row r="46" spans="1:6">
      <c r="A46" s="7">
        <v>43383</v>
      </c>
      <c r="B46" s="9">
        <v>0.33333333333333331</v>
      </c>
      <c r="C46" s="2">
        <v>8907.2000000000007</v>
      </c>
      <c r="D46" s="2">
        <v>4.7</v>
      </c>
      <c r="E46" s="3">
        <f t="shared" si="2"/>
        <v>3.1885104221958463E-3</v>
      </c>
      <c r="F46" s="4">
        <f t="shared" si="3"/>
        <v>741.32522806306395</v>
      </c>
    </row>
    <row r="47" spans="1:6">
      <c r="A47" s="7">
        <v>43393</v>
      </c>
      <c r="B47" s="9">
        <v>0.33333333333333331</v>
      </c>
      <c r="C47" s="2">
        <v>8910.7000000000007</v>
      </c>
      <c r="D47" s="2">
        <v>4.5</v>
      </c>
      <c r="E47" s="3">
        <f t="shared" si="2"/>
        <v>2.7772577432324148E-3</v>
      </c>
      <c r="F47" s="4">
        <f t="shared" si="3"/>
        <v>741.28328028980968</v>
      </c>
    </row>
    <row r="48" spans="1:6">
      <c r="A48" s="7">
        <v>43605</v>
      </c>
      <c r="B48" s="1">
        <v>0.33333333333333331</v>
      </c>
      <c r="C48" s="2">
        <v>8992.7999999999993</v>
      </c>
      <c r="D48" s="2">
        <v>4.8</v>
      </c>
      <c r="E48" s="3">
        <f t="shared" si="2"/>
        <v>-2.1292717312440951E-3</v>
      </c>
      <c r="F48" s="4">
        <f t="shared" si="3"/>
        <v>740.78281428341313</v>
      </c>
    </row>
    <row r="49" spans="1:6">
      <c r="A49" s="7">
        <v>43615</v>
      </c>
      <c r="B49" s="1">
        <v>0.33333333333333331</v>
      </c>
      <c r="C49" s="2">
        <v>8993.7000000000007</v>
      </c>
      <c r="D49" s="2">
        <v>4.8</v>
      </c>
      <c r="E49" s="3">
        <f t="shared" si="2"/>
        <v>-2.1861460124587978E-3</v>
      </c>
      <c r="F49" s="4">
        <f t="shared" si="3"/>
        <v>740.77701310672921</v>
      </c>
    </row>
    <row r="50" spans="1:6">
      <c r="A50" s="7">
        <v>43626</v>
      </c>
      <c r="B50" s="1">
        <v>0.33333333333333331</v>
      </c>
      <c r="C50" s="2">
        <v>8995.6</v>
      </c>
      <c r="D50" s="2">
        <v>5.2</v>
      </c>
      <c r="E50" s="3">
        <f t="shared" si="2"/>
        <v>-1.9265895601293208E-3</v>
      </c>
      <c r="F50" s="4">
        <f t="shared" si="3"/>
        <v>740.80348786486684</v>
      </c>
    </row>
    <row r="51" spans="1:6">
      <c r="A51" s="7">
        <v>43636</v>
      </c>
      <c r="B51" s="1">
        <v>0.33333333333333331</v>
      </c>
      <c r="C51" s="2">
        <v>8997.2999999999993</v>
      </c>
      <c r="D51" s="2">
        <v>5.4</v>
      </c>
      <c r="E51" s="3">
        <f t="shared" si="2"/>
        <v>-1.8442028919642903E-3</v>
      </c>
      <c r="F51" s="4">
        <f t="shared" si="3"/>
        <v>740.81189130501969</v>
      </c>
    </row>
    <row r="52" spans="1:6">
      <c r="A52" s="7">
        <v>43646</v>
      </c>
      <c r="B52" s="1">
        <v>0.33333333333333331</v>
      </c>
      <c r="C52" s="2">
        <v>8997.9</v>
      </c>
      <c r="D52" s="2">
        <v>5.3</v>
      </c>
      <c r="E52" s="3">
        <f t="shared" si="2"/>
        <v>-1.9770222448269592E-3</v>
      </c>
      <c r="F52" s="4">
        <f t="shared" si="3"/>
        <v>740.79834373102767</v>
      </c>
    </row>
    <row r="53" spans="1:6">
      <c r="A53" s="7">
        <v>43656</v>
      </c>
      <c r="B53" s="1">
        <v>0.33333333333333331</v>
      </c>
      <c r="C53" s="2">
        <v>8999.4</v>
      </c>
      <c r="D53" s="2">
        <v>5.3</v>
      </c>
      <c r="E53" s="3">
        <f t="shared" si="2"/>
        <v>-2.0718054681651832E-3</v>
      </c>
      <c r="F53" s="4">
        <f t="shared" si="3"/>
        <v>740.78867584224713</v>
      </c>
    </row>
    <row r="54" spans="1:6">
      <c r="A54" s="7">
        <v>43666</v>
      </c>
      <c r="B54" s="1">
        <v>0.33333333333333331</v>
      </c>
      <c r="C54" s="2">
        <v>8998.7000000000007</v>
      </c>
      <c r="D54" s="2">
        <v>5.2</v>
      </c>
      <c r="E54" s="3">
        <f t="shared" si="2"/>
        <v>-2.1224790477307291E-3</v>
      </c>
      <c r="F54" s="4">
        <f t="shared" si="3"/>
        <v>740.78350713713144</v>
      </c>
    </row>
    <row r="55" spans="1:6">
      <c r="A55" s="7">
        <v>43676</v>
      </c>
      <c r="B55" s="1">
        <v>0.33333333333333331</v>
      </c>
      <c r="C55" s="2">
        <v>8998.1</v>
      </c>
      <c r="D55" s="2">
        <v>5.2</v>
      </c>
      <c r="E55" s="3">
        <f t="shared" si="2"/>
        <v>-2.0845656242222781E-3</v>
      </c>
      <c r="F55" s="4">
        <f t="shared" si="3"/>
        <v>740.7873743063293</v>
      </c>
    </row>
    <row r="56" spans="1:6">
      <c r="A56" s="7">
        <v>43687</v>
      </c>
      <c r="B56" s="9">
        <v>0.33333333333333331</v>
      </c>
      <c r="C56" s="2">
        <v>8980.2999999999993</v>
      </c>
      <c r="D56" s="2">
        <v>5.2</v>
      </c>
      <c r="E56" s="3">
        <f t="shared" si="2"/>
        <v>-9.5965424544903685E-4</v>
      </c>
      <c r="F56" s="4">
        <f t="shared" si="3"/>
        <v>740.90211526696419</v>
      </c>
    </row>
    <row r="57" spans="1:6">
      <c r="A57" s="7">
        <v>43697</v>
      </c>
      <c r="B57" s="1">
        <v>0.33333333333333331</v>
      </c>
      <c r="C57" s="2">
        <v>8964.1</v>
      </c>
      <c r="D57" s="2">
        <v>5.0999999999999996</v>
      </c>
      <c r="E57" s="3">
        <f t="shared" si="2"/>
        <v>-3.0517654233386954E-5</v>
      </c>
      <c r="F57" s="4">
        <f t="shared" si="3"/>
        <v>740.99688719926814</v>
      </c>
    </row>
    <row r="58" spans="1:6">
      <c r="A58" s="7">
        <v>43707</v>
      </c>
      <c r="B58" s="9">
        <v>0.33333333333333331</v>
      </c>
      <c r="C58" s="2">
        <v>8925.7999999999993</v>
      </c>
      <c r="D58" s="2">
        <v>5.0999999999999996</v>
      </c>
      <c r="E58" s="3">
        <f t="shared" si="2"/>
        <v>2.3914536840830662E-3</v>
      </c>
      <c r="F58" s="4">
        <f t="shared" si="3"/>
        <v>741.24392827577651</v>
      </c>
    </row>
    <row r="59" spans="1:6">
      <c r="B59" s="9"/>
    </row>
    <row r="60" spans="1:6">
      <c r="B60" s="9"/>
    </row>
    <row r="61" spans="1:6">
      <c r="B61" s="9"/>
    </row>
    <row r="62" spans="1:6">
      <c r="B62" s="9"/>
    </row>
    <row r="63" spans="1:6">
      <c r="B63" s="9"/>
    </row>
    <row r="64" spans="1:6">
      <c r="B64" s="9"/>
    </row>
    <row r="65" spans="2:2">
      <c r="B65" s="9"/>
    </row>
    <row r="66" spans="2:2">
      <c r="B66" s="9"/>
    </row>
    <row r="67" spans="2:2">
      <c r="B67" s="9"/>
    </row>
    <row r="68" spans="2:2">
      <c r="B68" s="9"/>
    </row>
    <row r="69" spans="2:2">
      <c r="B69" s="9"/>
    </row>
    <row r="70" spans="2:2">
      <c r="B70" s="9"/>
    </row>
    <row r="71" spans="2:2">
      <c r="B71" s="9"/>
    </row>
    <row r="72" spans="2:2">
      <c r="B72" s="9"/>
    </row>
    <row r="73" spans="2:2">
      <c r="B73" s="9"/>
    </row>
    <row r="74" spans="2:2">
      <c r="B74" s="9"/>
    </row>
    <row r="75" spans="2:2">
      <c r="B75" s="9"/>
    </row>
    <row r="76" spans="2:2">
      <c r="B76" s="9"/>
    </row>
    <row r="77" spans="2:2">
      <c r="B77" s="9"/>
    </row>
    <row r="78" spans="2:2">
      <c r="B78" s="9"/>
    </row>
    <row r="79" spans="2:2">
      <c r="B79" s="9"/>
    </row>
    <row r="80" spans="2:2">
      <c r="B80" s="9"/>
    </row>
    <row r="81" spans="2:2">
      <c r="B81" s="9"/>
    </row>
    <row r="82" spans="2:2">
      <c r="B82" s="9"/>
    </row>
    <row r="83" spans="2:2">
      <c r="B83" s="9"/>
    </row>
    <row r="84" spans="2:2">
      <c r="B84" s="9"/>
    </row>
    <row r="85" spans="2:2">
      <c r="B85" s="9"/>
    </row>
    <row r="86" spans="2:2">
      <c r="B86" s="9"/>
    </row>
    <row r="87" spans="2:2">
      <c r="B87" s="9"/>
    </row>
    <row r="88" spans="2:2">
      <c r="B88" s="9"/>
    </row>
    <row r="89" spans="2:2">
      <c r="B89" s="9"/>
    </row>
    <row r="90" spans="2:2">
      <c r="B90" s="9"/>
    </row>
    <row r="91" spans="2:2">
      <c r="B91" s="9"/>
    </row>
    <row r="92" spans="2:2">
      <c r="B92" s="9"/>
    </row>
    <row r="93" spans="2:2">
      <c r="B93" s="9"/>
    </row>
    <row r="94" spans="2:2">
      <c r="B94" s="9"/>
    </row>
    <row r="95" spans="2:2">
      <c r="B95" s="9"/>
    </row>
    <row r="96" spans="2:2">
      <c r="B96" s="9"/>
    </row>
    <row r="97" spans="2:2">
      <c r="B97" s="9"/>
    </row>
    <row r="98" spans="2:2">
      <c r="B98" s="9"/>
    </row>
    <row r="99" spans="2:2">
      <c r="B99" s="9"/>
    </row>
    <row r="100" spans="2:2">
      <c r="B100" s="9"/>
    </row>
    <row r="101" spans="2:2">
      <c r="B101" s="9"/>
    </row>
    <row r="102" spans="2:2">
      <c r="B102" s="9"/>
    </row>
    <row r="103" spans="2:2">
      <c r="B103" s="9"/>
    </row>
    <row r="104" spans="2:2">
      <c r="B104" s="9"/>
    </row>
    <row r="105" spans="2:2">
      <c r="B105" s="9"/>
    </row>
    <row r="106" spans="2:2">
      <c r="B106" s="9"/>
    </row>
    <row r="107" spans="2:2">
      <c r="B107" s="9"/>
    </row>
    <row r="108" spans="2:2">
      <c r="B108" s="9"/>
    </row>
    <row r="109" spans="2:2">
      <c r="B109" s="9"/>
    </row>
    <row r="110" spans="2:2">
      <c r="B110" s="9"/>
    </row>
    <row r="111" spans="2:2">
      <c r="B111" s="9"/>
    </row>
    <row r="112" spans="2:2">
      <c r="B112" s="9"/>
    </row>
    <row r="113" spans="2:2">
      <c r="B113" s="9"/>
    </row>
    <row r="114" spans="2:2">
      <c r="B114" s="9"/>
    </row>
    <row r="115" spans="2:2">
      <c r="B115" s="9"/>
    </row>
    <row r="116" spans="2:2">
      <c r="B116" s="9"/>
    </row>
    <row r="117" spans="2:2">
      <c r="B117" s="9"/>
    </row>
    <row r="118" spans="2:2">
      <c r="B118" s="9"/>
    </row>
    <row r="119" spans="2:2">
      <c r="B119" s="9"/>
    </row>
    <row r="120" spans="2:2">
      <c r="B120" s="9"/>
    </row>
    <row r="121" spans="2:2">
      <c r="B121" s="9"/>
    </row>
    <row r="122" spans="2:2">
      <c r="B122" s="9"/>
    </row>
    <row r="123" spans="2:2">
      <c r="B123" s="9"/>
    </row>
    <row r="124" spans="2:2">
      <c r="B124" s="9"/>
    </row>
    <row r="125" spans="2:2">
      <c r="B125" s="9"/>
    </row>
    <row r="126" spans="2:2">
      <c r="B126" s="9"/>
    </row>
    <row r="127" spans="2:2">
      <c r="B127" s="9"/>
    </row>
    <row r="128" spans="2:2">
      <c r="B128" s="9"/>
    </row>
    <row r="129" spans="2:2">
      <c r="B129" s="9"/>
    </row>
    <row r="130" spans="2:2">
      <c r="B130" s="9"/>
    </row>
    <row r="131" spans="2:2">
      <c r="B131" s="9"/>
    </row>
    <row r="132" spans="2:2">
      <c r="B132" s="9"/>
    </row>
    <row r="133" spans="2:2">
      <c r="B133" s="9"/>
    </row>
    <row r="134" spans="2:2">
      <c r="B134" s="9"/>
    </row>
    <row r="135" spans="2:2">
      <c r="B135" s="9"/>
    </row>
    <row r="136" spans="2:2">
      <c r="B136" s="9"/>
    </row>
    <row r="137" spans="2:2">
      <c r="B137" s="9"/>
    </row>
    <row r="138" spans="2:2">
      <c r="B138" s="9"/>
    </row>
    <row r="139" spans="2:2">
      <c r="B139" s="9"/>
    </row>
    <row r="140" spans="2:2">
      <c r="B140" s="9"/>
    </row>
    <row r="141" spans="2:2">
      <c r="B141" s="9"/>
    </row>
    <row r="142" spans="2:2">
      <c r="B142" s="9"/>
    </row>
    <row r="143" spans="2:2">
      <c r="B143" s="9"/>
    </row>
    <row r="144" spans="2:2">
      <c r="B144" s="9"/>
    </row>
    <row r="145" spans="2:2">
      <c r="B145" s="9"/>
    </row>
    <row r="146" spans="2:2">
      <c r="B146" s="9"/>
    </row>
    <row r="147" spans="2:2">
      <c r="B147" s="9"/>
    </row>
    <row r="148" spans="2:2">
      <c r="B148" s="9"/>
    </row>
    <row r="149" spans="2:2">
      <c r="B149" s="9"/>
    </row>
    <row r="150" spans="2:2">
      <c r="B150" s="9"/>
    </row>
    <row r="151" spans="2:2">
      <c r="B151" s="9"/>
    </row>
    <row r="152" spans="2:2">
      <c r="B152" s="9"/>
    </row>
    <row r="153" spans="2:2">
      <c r="B153" s="9"/>
    </row>
    <row r="154" spans="2:2">
      <c r="B154" s="9"/>
    </row>
    <row r="155" spans="2:2">
      <c r="B155" s="9"/>
    </row>
    <row r="156" spans="2:2">
      <c r="B156" s="9"/>
    </row>
    <row r="157" spans="2:2">
      <c r="B157" s="9"/>
    </row>
    <row r="158" spans="2:2">
      <c r="B158" s="9"/>
    </row>
    <row r="159" spans="2:2">
      <c r="B159" s="9"/>
    </row>
    <row r="160" spans="2:2">
      <c r="B160" s="9"/>
    </row>
    <row r="161" spans="2:2">
      <c r="B161" s="9"/>
    </row>
    <row r="162" spans="2:2">
      <c r="B162" s="9"/>
    </row>
    <row r="163" spans="2:2">
      <c r="B163" s="9"/>
    </row>
    <row r="164" spans="2:2">
      <c r="B164" s="9"/>
    </row>
    <row r="165" spans="2:2">
      <c r="B165" s="9"/>
    </row>
    <row r="166" spans="2:2">
      <c r="B166" s="9"/>
    </row>
    <row r="167" spans="2:2">
      <c r="B167" s="9"/>
    </row>
    <row r="168" spans="2:2">
      <c r="B168" s="9"/>
    </row>
    <row r="169" spans="2:2">
      <c r="B169" s="9"/>
    </row>
    <row r="170" spans="2:2">
      <c r="B170" s="9"/>
    </row>
    <row r="171" spans="2:2">
      <c r="B171" s="9"/>
    </row>
    <row r="172" spans="2:2">
      <c r="B172" s="9"/>
    </row>
    <row r="173" spans="2:2">
      <c r="B173" s="9"/>
    </row>
    <row r="174" spans="2:2">
      <c r="B174" s="9"/>
    </row>
    <row r="175" spans="2:2">
      <c r="B175" s="9"/>
    </row>
    <row r="176" spans="2:2">
      <c r="B176" s="9"/>
    </row>
  </sheetData>
  <phoneticPr fontId="5" type="noConversion"/>
  <pageMargins left="0.69930555555555596" right="0.69930555555555596" top="0.75" bottom="0.75" header="0.3" footer="0.3"/>
  <pageSetup paperSize="9" orientation="portrait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"/>
  <sheetViews>
    <sheetView topLeftCell="A50" workbookViewId="0">
      <selection activeCell="A68" sqref="A68:B70"/>
    </sheetView>
  </sheetViews>
  <sheetFormatPr defaultColWidth="9" defaultRowHeight="13.5"/>
  <cols>
    <col min="1" max="1" width="11.125" customWidth="1"/>
    <col min="2" max="2" width="13.875" customWidth="1"/>
  </cols>
  <sheetData>
    <row r="1" spans="1:7">
      <c r="A1" t="s">
        <v>0</v>
      </c>
      <c r="B1">
        <v>50405</v>
      </c>
      <c r="C1" t="s">
        <v>1</v>
      </c>
      <c r="D1">
        <v>737.8</v>
      </c>
    </row>
    <row r="2" spans="1:7">
      <c r="A2" t="s">
        <v>2</v>
      </c>
      <c r="B2">
        <f>6.04079*10^-10</f>
        <v>6.0407900000000004E-10</v>
      </c>
    </row>
    <row r="3" spans="1:7">
      <c r="A3" t="s">
        <v>3</v>
      </c>
      <c r="B3">
        <v>-8.3913999999999997E-5</v>
      </c>
    </row>
    <row r="4" spans="1:7">
      <c r="A4" t="s">
        <v>4</v>
      </c>
      <c r="B4">
        <v>0.71475485000000005</v>
      </c>
    </row>
    <row r="5" spans="1:7">
      <c r="A5" t="s">
        <v>5</v>
      </c>
      <c r="B5">
        <v>-1.062126E-3</v>
      </c>
    </row>
    <row r="6" spans="1:7">
      <c r="A6" t="s">
        <v>6</v>
      </c>
      <c r="B6" t="s">
        <v>7</v>
      </c>
      <c r="C6" t="s">
        <v>8</v>
      </c>
      <c r="D6" t="s">
        <v>9</v>
      </c>
      <c r="E6" t="s">
        <v>10</v>
      </c>
      <c r="F6" t="s">
        <v>11</v>
      </c>
      <c r="G6" t="s">
        <v>12</v>
      </c>
    </row>
    <row r="7" spans="1:7">
      <c r="A7" s="6">
        <v>42530</v>
      </c>
      <c r="B7" s="1">
        <v>0.33333333333333298</v>
      </c>
      <c r="C7" s="2">
        <v>9002.7000000000007</v>
      </c>
      <c r="D7" s="2">
        <v>12.7</v>
      </c>
      <c r="E7" s="3">
        <f>($B$2*C7^2+$B$3*C7+$B$4)-$B$5*D7</f>
        <v>2.1751044043135891E-2</v>
      </c>
      <c r="G7" t="s">
        <v>13</v>
      </c>
    </row>
    <row r="8" spans="1:7">
      <c r="A8" s="6">
        <v>42531</v>
      </c>
      <c r="B8" s="16">
        <v>0.35416666666666702</v>
      </c>
      <c r="C8" s="2">
        <v>8423.1</v>
      </c>
      <c r="D8" s="2">
        <v>6.5</v>
      </c>
      <c r="E8" s="3">
        <f>($B$2*C8^2+$B$3*C8+$B$4)-$B$5*D8-$E$7</f>
        <v>3.5950179117779382E-2</v>
      </c>
      <c r="F8" s="4">
        <f>$D$1+102*E8</f>
        <v>741.46691827001348</v>
      </c>
      <c r="G8" s="5" t="s">
        <v>14</v>
      </c>
    </row>
    <row r="9" spans="1:7">
      <c r="A9" s="6">
        <v>42531</v>
      </c>
      <c r="B9" s="16">
        <v>0.375</v>
      </c>
      <c r="C9" s="2">
        <v>8597.1</v>
      </c>
      <c r="D9" s="2">
        <v>5.2</v>
      </c>
      <c r="E9" s="3">
        <f>($B$2*C9^2+$B$3*C9+$B$4)-$B$5*D9-$E$7</f>
        <v>2.1757368216648563E-2</v>
      </c>
      <c r="F9" s="4">
        <f t="shared" ref="F9:F48" si="0">$D$1+102*E9</f>
        <v>740.01925155809806</v>
      </c>
    </row>
    <row r="10" spans="1:7">
      <c r="A10" s="6">
        <v>42532</v>
      </c>
      <c r="B10" s="16">
        <v>0.33333333333333298</v>
      </c>
      <c r="C10" s="2">
        <v>8738.2000000000007</v>
      </c>
      <c r="D10" s="2">
        <v>3.4</v>
      </c>
      <c r="E10" s="3">
        <f t="shared" ref="E10:E21" si="1">($B$2*C10^2+$B$3*C10+$B$4)-$B$5*D10-$E$7</f>
        <v>9.4828597928240839E-3</v>
      </c>
      <c r="F10" s="4">
        <f t="shared" si="0"/>
        <v>738.76725169886799</v>
      </c>
    </row>
    <row r="11" spans="1:7">
      <c r="A11" s="6">
        <v>42533</v>
      </c>
      <c r="B11" s="16">
        <v>0.33333333333333298</v>
      </c>
      <c r="C11" s="2">
        <v>8736.2000000000007</v>
      </c>
      <c r="D11" s="2">
        <v>3.1</v>
      </c>
      <c r="E11" s="3">
        <f t="shared" si="1"/>
        <v>9.3109381566688458E-3</v>
      </c>
      <c r="F11" s="4">
        <f t="shared" si="0"/>
        <v>738.74971569198021</v>
      </c>
    </row>
    <row r="12" spans="1:7">
      <c r="A12" s="6">
        <v>42534</v>
      </c>
      <c r="B12" s="16">
        <v>0.33333333333333298</v>
      </c>
      <c r="C12" s="2">
        <v>8731.4</v>
      </c>
      <c r="D12" s="2">
        <v>3.1</v>
      </c>
      <c r="E12" s="3">
        <f t="shared" si="1"/>
        <v>9.6630766670350414E-3</v>
      </c>
      <c r="F12" s="4">
        <f t="shared" si="0"/>
        <v>738.78563382003756</v>
      </c>
    </row>
    <row r="13" spans="1:7">
      <c r="A13" s="6">
        <v>42535</v>
      </c>
      <c r="B13" s="16">
        <v>0.33333333333333298</v>
      </c>
      <c r="C13" s="2">
        <v>8727.5</v>
      </c>
      <c r="D13" s="2">
        <v>3</v>
      </c>
      <c r="E13" s="3">
        <f t="shared" si="1"/>
        <v>9.842997103107879E-3</v>
      </c>
      <c r="F13" s="4">
        <f t="shared" si="0"/>
        <v>738.803985704517</v>
      </c>
    </row>
    <row r="14" spans="1:7">
      <c r="A14" s="6">
        <v>42536</v>
      </c>
      <c r="B14" s="9">
        <v>0.33333333333333298</v>
      </c>
      <c r="C14" s="2">
        <v>8731.5</v>
      </c>
      <c r="D14" s="2">
        <v>3</v>
      </c>
      <c r="E14" s="3">
        <f t="shared" si="1"/>
        <v>9.5495275641519529E-3</v>
      </c>
      <c r="F14" s="4">
        <f t="shared" si="0"/>
        <v>738.77405181154347</v>
      </c>
    </row>
    <row r="15" spans="1:7">
      <c r="A15" s="6">
        <v>42537</v>
      </c>
      <c r="B15" s="9">
        <v>0.33333333333333298</v>
      </c>
      <c r="C15" s="2">
        <v>8734.1</v>
      </c>
      <c r="D15" s="2">
        <v>3</v>
      </c>
      <c r="E15" s="3">
        <f t="shared" si="1"/>
        <v>9.3587827298261539E-3</v>
      </c>
      <c r="F15" s="4">
        <f t="shared" si="0"/>
        <v>738.75459583844224</v>
      </c>
    </row>
    <row r="16" spans="1:7">
      <c r="A16" s="6">
        <v>42538</v>
      </c>
      <c r="B16" s="9">
        <v>0.33333333333333298</v>
      </c>
      <c r="C16" s="2">
        <v>8731.7999999999993</v>
      </c>
      <c r="D16" s="2">
        <v>3</v>
      </c>
      <c r="E16" s="3">
        <f t="shared" si="1"/>
        <v>9.527518127992244E-3</v>
      </c>
      <c r="F16" s="4">
        <f t="shared" si="0"/>
        <v>738.77180684905511</v>
      </c>
    </row>
    <row r="17" spans="1:7">
      <c r="A17" s="6">
        <v>42544</v>
      </c>
      <c r="B17" s="9">
        <v>0.33333333333333298</v>
      </c>
      <c r="C17" s="2">
        <v>8460.9</v>
      </c>
      <c r="D17" s="2">
        <v>3.1</v>
      </c>
      <c r="E17" s="3">
        <f t="shared" si="1"/>
        <v>2.9552533917580181E-2</v>
      </c>
      <c r="F17" s="4">
        <f t="shared" si="0"/>
        <v>740.81435845959311</v>
      </c>
    </row>
    <row r="18" spans="1:7">
      <c r="A18" s="7">
        <v>42551</v>
      </c>
      <c r="B18" s="9">
        <v>0.33333333333333298</v>
      </c>
      <c r="C18" s="2">
        <v>8502.5</v>
      </c>
      <c r="D18" s="2">
        <v>3.8</v>
      </c>
      <c r="E18" s="3">
        <f t="shared" si="1"/>
        <v>2.7231484639858011E-2</v>
      </c>
      <c r="F18" s="4">
        <f t="shared" si="0"/>
        <v>740.57761143326547</v>
      </c>
    </row>
    <row r="19" spans="1:7">
      <c r="A19" s="7">
        <v>42561</v>
      </c>
      <c r="B19" s="9">
        <v>0.33333333333333298</v>
      </c>
      <c r="C19" s="2">
        <v>8673.2999999999993</v>
      </c>
      <c r="D19" s="2">
        <v>4.5</v>
      </c>
      <c r="E19" s="3">
        <f t="shared" si="1"/>
        <v>1.5414603886922566E-2</v>
      </c>
      <c r="F19" s="4">
        <f t="shared" si="0"/>
        <v>739.37228959646609</v>
      </c>
    </row>
    <row r="20" spans="1:7">
      <c r="A20" s="7">
        <v>42571</v>
      </c>
      <c r="B20" s="9">
        <v>0.33333333333333298</v>
      </c>
      <c r="C20" s="2">
        <v>8651.7000000000007</v>
      </c>
      <c r="D20" s="2">
        <v>3.8</v>
      </c>
      <c r="E20" s="3">
        <f t="shared" si="1"/>
        <v>1.6257599643542436E-2</v>
      </c>
      <c r="F20" s="4">
        <f t="shared" si="0"/>
        <v>739.45827516364125</v>
      </c>
    </row>
    <row r="21" spans="1:7">
      <c r="A21" s="7">
        <v>42581</v>
      </c>
      <c r="B21" s="9">
        <v>0.33333333333333298</v>
      </c>
      <c r="C21" s="2">
        <v>8629.6</v>
      </c>
      <c r="D21" s="2">
        <v>3.4</v>
      </c>
      <c r="E21" s="3">
        <f t="shared" si="1"/>
        <v>1.7456540767200868E-2</v>
      </c>
      <c r="F21" s="4">
        <f t="shared" si="0"/>
        <v>739.58056715825444</v>
      </c>
    </row>
    <row r="22" spans="1:7">
      <c r="A22" s="7">
        <v>42592</v>
      </c>
      <c r="B22" s="1">
        <v>0.33333333333333298</v>
      </c>
      <c r="C22" s="2">
        <v>8638.1</v>
      </c>
      <c r="D22" s="2">
        <v>3.3</v>
      </c>
      <c r="E22" s="3">
        <f t="shared" ref="E22:E43" si="2">($B$2*C22^2+$B$3*C22+$B$4)-$B$5*D22-$E$7</f>
        <v>1.6725723134261381E-2</v>
      </c>
      <c r="F22" s="4">
        <f t="shared" si="0"/>
        <v>739.50602375969459</v>
      </c>
      <c r="G22" s="2"/>
    </row>
    <row r="23" spans="1:7">
      <c r="A23" s="7">
        <v>42602</v>
      </c>
      <c r="B23" s="1">
        <v>0.33333333333333298</v>
      </c>
      <c r="C23" s="2">
        <v>8642.2999999999993</v>
      </c>
      <c r="D23" s="2">
        <v>3.6</v>
      </c>
      <c r="E23" s="3">
        <f t="shared" si="2"/>
        <v>1.6735764786618156E-2</v>
      </c>
      <c r="F23" s="4">
        <f t="shared" si="0"/>
        <v>739.50704800823496</v>
      </c>
      <c r="G23" s="2"/>
    </row>
    <row r="24" spans="1:7">
      <c r="A24" s="7">
        <v>42612</v>
      </c>
      <c r="B24" s="1">
        <v>0.33333333333333298</v>
      </c>
      <c r="C24" s="2">
        <v>8629.2999999999993</v>
      </c>
      <c r="D24" s="2">
        <v>3.9</v>
      </c>
      <c r="E24" s="3">
        <f t="shared" si="2"/>
        <v>1.8009650245484943E-2</v>
      </c>
      <c r="F24" s="4">
        <f t="shared" si="0"/>
        <v>739.63698432503941</v>
      </c>
      <c r="G24" s="2"/>
    </row>
    <row r="25" spans="1:7">
      <c r="A25" s="6">
        <v>42623</v>
      </c>
      <c r="B25" s="1">
        <v>0.33333333333333298</v>
      </c>
      <c r="C25" s="2">
        <v>8617.4</v>
      </c>
      <c r="D25" s="2">
        <v>4.5</v>
      </c>
      <c r="E25" s="3">
        <f t="shared" si="2"/>
        <v>1.952152385094225E-2</v>
      </c>
      <c r="F25" s="4">
        <f t="shared" si="0"/>
        <v>739.79119543279603</v>
      </c>
      <c r="G25" s="2"/>
    </row>
    <row r="26" spans="1:7">
      <c r="A26" s="7">
        <v>42633</v>
      </c>
      <c r="B26" s="1">
        <v>0.33333333333333331</v>
      </c>
      <c r="C26" s="2">
        <v>8594</v>
      </c>
      <c r="D26" s="2">
        <v>5</v>
      </c>
      <c r="E26" s="3">
        <f t="shared" si="2"/>
        <v>2.1772883590908235E-2</v>
      </c>
      <c r="F26" s="4">
        <f t="shared" si="0"/>
        <v>740.02083412627258</v>
      </c>
    </row>
    <row r="27" spans="1:7">
      <c r="A27" s="7">
        <v>42643</v>
      </c>
      <c r="B27" s="1">
        <v>0.33333333333333331</v>
      </c>
      <c r="C27" s="2">
        <v>8646.1</v>
      </c>
      <c r="D27" s="2">
        <v>5.5</v>
      </c>
      <c r="E27" s="3">
        <f t="shared" si="2"/>
        <v>1.8474616512275732E-2</v>
      </c>
      <c r="F27" s="4">
        <f t="shared" si="0"/>
        <v>739.68441088425209</v>
      </c>
    </row>
    <row r="28" spans="1:7">
      <c r="A28" s="7">
        <v>42883</v>
      </c>
      <c r="B28" s="1">
        <v>0.33333333333333331</v>
      </c>
      <c r="C28" s="2">
        <v>8725.9</v>
      </c>
      <c r="D28" s="2">
        <v>7.9</v>
      </c>
      <c r="E28" s="3">
        <f t="shared" si="2"/>
        <v>1.5164807731238187E-2</v>
      </c>
      <c r="F28" s="4">
        <f t="shared" si="0"/>
        <v>739.34681038858628</v>
      </c>
    </row>
    <row r="29" spans="1:7">
      <c r="A29" s="7">
        <v>42885</v>
      </c>
      <c r="B29" s="1">
        <v>0.33333333333333331</v>
      </c>
      <c r="C29" s="2">
        <v>8732.7000000000007</v>
      </c>
      <c r="D29" s="2">
        <v>8</v>
      </c>
      <c r="E29" s="3">
        <f t="shared" si="2"/>
        <v>1.4772120471918133E-2</v>
      </c>
      <c r="F29" s="4">
        <f t="shared" si="0"/>
        <v>739.3067562881356</v>
      </c>
    </row>
    <row r="30" spans="1:7">
      <c r="A30" s="7">
        <v>42896</v>
      </c>
      <c r="B30" s="1">
        <v>0.33333333333333331</v>
      </c>
      <c r="C30" s="2">
        <v>8738.7000000000007</v>
      </c>
      <c r="D30" s="2">
        <v>8.1</v>
      </c>
      <c r="E30" s="3">
        <f t="shared" si="2"/>
        <v>1.4438173706961686E-2</v>
      </c>
      <c r="F30" s="4">
        <f t="shared" si="0"/>
        <v>739.27269371811008</v>
      </c>
    </row>
    <row r="31" spans="1:7">
      <c r="A31" s="7">
        <v>42906</v>
      </c>
      <c r="B31" s="1">
        <v>0.33333333333333331</v>
      </c>
      <c r="C31" s="2">
        <v>8736.2999999999993</v>
      </c>
      <c r="D31" s="2">
        <v>8.3000000000000007</v>
      </c>
      <c r="E31" s="3">
        <f t="shared" si="2"/>
        <v>1.4826657433701759E-2</v>
      </c>
      <c r="F31" s="4">
        <f t="shared" si="0"/>
        <v>739.31231905823756</v>
      </c>
    </row>
    <row r="32" spans="1:7">
      <c r="A32" s="7">
        <v>42916</v>
      </c>
      <c r="B32" s="1">
        <v>0.33333333333333331</v>
      </c>
      <c r="C32" s="2">
        <v>8714.4</v>
      </c>
      <c r="D32" s="2">
        <v>8.1999999999999993</v>
      </c>
      <c r="E32" s="3">
        <f t="shared" si="2"/>
        <v>1.6327300362925661E-2</v>
      </c>
      <c r="F32" s="4">
        <f t="shared" si="0"/>
        <v>739.46538463701836</v>
      </c>
    </row>
    <row r="33" spans="1:6">
      <c r="A33" s="7">
        <v>42926</v>
      </c>
      <c r="B33" s="1">
        <v>0.33333333333333331</v>
      </c>
      <c r="C33" s="2">
        <v>8748.4</v>
      </c>
      <c r="D33" s="2">
        <v>8.3000000000000007</v>
      </c>
      <c r="E33" s="3">
        <f t="shared" si="2"/>
        <v>1.3939099928806539E-2</v>
      </c>
      <c r="F33" s="4">
        <f t="shared" si="0"/>
        <v>739.22178819273825</v>
      </c>
    </row>
    <row r="34" spans="1:6">
      <c r="A34" s="7">
        <v>42936</v>
      </c>
      <c r="B34" s="1">
        <v>0.33333333333333331</v>
      </c>
      <c r="C34" s="2">
        <v>8743.6</v>
      </c>
      <c r="D34" s="2">
        <v>8.4</v>
      </c>
      <c r="E34" s="3">
        <f t="shared" si="2"/>
        <v>1.4397380289439998E-2</v>
      </c>
      <c r="F34" s="4">
        <f t="shared" si="0"/>
        <v>739.26853278952285</v>
      </c>
    </row>
    <row r="35" spans="1:6">
      <c r="A35" s="7">
        <v>42946</v>
      </c>
      <c r="B35" s="1">
        <v>0.33333333333333331</v>
      </c>
      <c r="C35" s="2">
        <v>8358.6</v>
      </c>
      <c r="D35" s="2">
        <v>8.5</v>
      </c>
      <c r="E35" s="3">
        <f t="shared" si="2"/>
        <v>4.2833017138027077E-2</v>
      </c>
      <c r="F35" s="4">
        <f t="shared" si="0"/>
        <v>742.16896774807867</v>
      </c>
    </row>
    <row r="36" spans="1:6">
      <c r="A36" s="7">
        <v>42957</v>
      </c>
      <c r="B36" s="1">
        <v>0.33333333333333331</v>
      </c>
      <c r="C36" s="2">
        <v>8743.2000000000007</v>
      </c>
      <c r="D36" s="2">
        <v>8.6999999999999993</v>
      </c>
      <c r="E36" s="3">
        <f t="shared" si="2"/>
        <v>1.474535832597711E-2</v>
      </c>
      <c r="F36" s="4">
        <f t="shared" si="0"/>
        <v>739.30402654924967</v>
      </c>
    </row>
    <row r="37" spans="1:6">
      <c r="A37" s="7">
        <v>42967</v>
      </c>
      <c r="B37" s="1">
        <v>0.33333333333333331</v>
      </c>
      <c r="C37" s="2">
        <v>8751.9</v>
      </c>
      <c r="D37" s="2">
        <v>8.6999999999999993</v>
      </c>
      <c r="E37" s="3">
        <f t="shared" si="2"/>
        <v>1.4107251801839461E-2</v>
      </c>
      <c r="F37" s="4">
        <f t="shared" si="0"/>
        <v>739.23893968378763</v>
      </c>
    </row>
    <row r="38" spans="1:6">
      <c r="A38" s="7">
        <v>42977</v>
      </c>
      <c r="B38" s="1">
        <v>0.33333333333333331</v>
      </c>
      <c r="C38" s="2">
        <v>8742.1</v>
      </c>
      <c r="D38" s="2">
        <v>9.5</v>
      </c>
      <c r="E38" s="3">
        <f t="shared" si="2"/>
        <v>1.5675745773184615E-2</v>
      </c>
      <c r="F38" s="4">
        <f t="shared" si="0"/>
        <v>739.39892606886474</v>
      </c>
    </row>
    <row r="39" spans="1:6">
      <c r="A39" s="7">
        <v>42988</v>
      </c>
      <c r="B39" s="1">
        <v>0.33333333333333331</v>
      </c>
      <c r="C39" s="2">
        <v>8740.2000000000007</v>
      </c>
      <c r="D39" s="2">
        <v>8.9</v>
      </c>
      <c r="E39" s="3">
        <f t="shared" si="2"/>
        <v>1.5177841461611285E-2</v>
      </c>
      <c r="F39" s="4">
        <f t="shared" si="0"/>
        <v>739.34813982908429</v>
      </c>
    </row>
    <row r="40" spans="1:6">
      <c r="A40" s="7">
        <v>42998</v>
      </c>
      <c r="B40" s="1">
        <v>0.33333333333333331</v>
      </c>
      <c r="C40" s="2">
        <v>8753.7999999999993</v>
      </c>
      <c r="D40" s="2">
        <v>8.8000000000000007</v>
      </c>
      <c r="E40" s="3">
        <f t="shared" si="2"/>
        <v>1.4074119970764905E-2</v>
      </c>
      <c r="F40" s="4">
        <f t="shared" si="0"/>
        <v>739.23556023701792</v>
      </c>
    </row>
    <row r="41" spans="1:6">
      <c r="A41" s="7">
        <v>43008</v>
      </c>
      <c r="B41" s="1">
        <v>0.33333333333333331</v>
      </c>
      <c r="C41" s="2">
        <v>8754.6</v>
      </c>
      <c r="D41" s="2">
        <v>8.6999999999999993</v>
      </c>
      <c r="E41" s="3">
        <f t="shared" si="2"/>
        <v>1.3909237336175873E-2</v>
      </c>
      <c r="F41" s="4">
        <f t="shared" si="0"/>
        <v>739.21874220828988</v>
      </c>
    </row>
    <row r="42" spans="1:6">
      <c r="A42" s="7">
        <v>43018</v>
      </c>
      <c r="B42" s="1">
        <v>0.33333333333333331</v>
      </c>
      <c r="C42" s="2">
        <v>8751.2999999999993</v>
      </c>
      <c r="D42" s="2">
        <v>9</v>
      </c>
      <c r="E42" s="3">
        <f t="shared" si="2"/>
        <v>1.4469894012507773E-2</v>
      </c>
      <c r="F42" s="4">
        <f t="shared" si="0"/>
        <v>739.27592918927576</v>
      </c>
    </row>
    <row r="43" spans="1:6">
      <c r="A43" s="7">
        <v>43230</v>
      </c>
      <c r="B43" s="1">
        <v>0.33333333333333331</v>
      </c>
      <c r="C43" s="2">
        <v>8742.9</v>
      </c>
      <c r="D43" s="2">
        <v>7.8</v>
      </c>
      <c r="E43" s="3">
        <f t="shared" si="2"/>
        <v>1.3811450230236662E-2</v>
      </c>
      <c r="F43" s="4">
        <f t="shared" si="0"/>
        <v>739.20876792348406</v>
      </c>
    </row>
    <row r="44" spans="1:6">
      <c r="A44" s="7">
        <v>43240</v>
      </c>
      <c r="B44" s="1">
        <v>0.33333333333333331</v>
      </c>
      <c r="C44" s="2">
        <v>8750.7000000000007</v>
      </c>
      <c r="D44" s="2">
        <v>8</v>
      </c>
      <c r="E44" s="3">
        <f>($B$2*C44^2+$B$3*C44+$B$4)-$B$5*D44-$E$7</f>
        <v>1.3451772858112849E-2</v>
      </c>
      <c r="F44" s="4">
        <f t="shared" si="0"/>
        <v>739.17208083152741</v>
      </c>
    </row>
    <row r="45" spans="1:6">
      <c r="A45" s="7">
        <v>43250</v>
      </c>
      <c r="B45" s="1">
        <v>0.33333333333333331</v>
      </c>
      <c r="C45" s="2">
        <v>8743.5</v>
      </c>
      <c r="D45" s="2">
        <v>8</v>
      </c>
      <c r="E45" s="3">
        <f>($B$2*C45^2+$B$3*C45+$B$4)-$B$5*D45-$E$7</f>
        <v>1.3979864930451908E-2</v>
      </c>
      <c r="F45" s="4">
        <f t="shared" si="0"/>
        <v>739.22594622290603</v>
      </c>
    </row>
    <row r="46" spans="1:6">
      <c r="A46" s="7">
        <v>43261</v>
      </c>
      <c r="B46" s="1">
        <v>0.33333333333333331</v>
      </c>
      <c r="C46" s="2">
        <v>8730.6</v>
      </c>
      <c r="D46" s="2">
        <v>7.8</v>
      </c>
      <c r="E46" s="3">
        <f>($B$2*C46^2+$B$3*C46+$B$4)-$B$5*D46-$E$7</f>
        <v>1.4713761325036653E-2</v>
      </c>
      <c r="F46" s="4">
        <f t="shared" si="0"/>
        <v>739.30080365515369</v>
      </c>
    </row>
    <row r="47" spans="1:6">
      <c r="A47" s="7">
        <v>43271</v>
      </c>
      <c r="B47" s="1">
        <v>0.33333333333333331</v>
      </c>
      <c r="C47" s="2">
        <v>8586.7999999999993</v>
      </c>
      <c r="D47" s="2">
        <v>7.9</v>
      </c>
      <c r="E47" s="3">
        <f>($B$2*C47^2+$B$3*C47+$B$4)-$B$5*D47-$E$7</f>
        <v>2.5382504155429201E-2</v>
      </c>
      <c r="F47" s="4">
        <f t="shared" si="0"/>
        <v>740.38901542385372</v>
      </c>
    </row>
    <row r="48" spans="1:6">
      <c r="A48" s="7">
        <v>43281</v>
      </c>
      <c r="B48" s="1">
        <v>0.33333333333333331</v>
      </c>
      <c r="C48" s="2">
        <v>8618.4</v>
      </c>
      <c r="D48" s="2">
        <v>7.7</v>
      </c>
      <c r="E48" s="3">
        <f>($B$2*C48^2+$B$3*C48+$B$4)-$B$5*D48-$E$7</f>
        <v>2.2846824835770368E-2</v>
      </c>
      <c r="F48" s="4">
        <f t="shared" si="0"/>
        <v>740.13037613324855</v>
      </c>
    </row>
    <row r="49" spans="1:6">
      <c r="A49" s="7">
        <v>43291</v>
      </c>
      <c r="B49" s="1">
        <v>0.33333333333333331</v>
      </c>
      <c r="C49" s="2">
        <v>8673.1</v>
      </c>
      <c r="D49" s="2">
        <v>8.5</v>
      </c>
      <c r="E49" s="3">
        <f t="shared" ref="E49:E52" si="3">($B$2*C49^2+$B$3*C49+$B$4)-$B$5*D49-$E$7</f>
        <v>1.9677794967729329E-2</v>
      </c>
      <c r="F49" s="4">
        <f t="shared" ref="F49:F52" si="4">$D$1+102*E49</f>
        <v>739.8071350867084</v>
      </c>
    </row>
    <row r="50" spans="1:6">
      <c r="A50" s="7">
        <v>43301</v>
      </c>
      <c r="B50" s="1">
        <v>0.33333333333333331</v>
      </c>
      <c r="C50" s="2">
        <v>8678.7999999999993</v>
      </c>
      <c r="D50" s="2">
        <v>7.8</v>
      </c>
      <c r="E50" s="3">
        <f t="shared" si="3"/>
        <v>1.8515743902610012E-2</v>
      </c>
      <c r="F50" s="4">
        <f t="shared" si="4"/>
        <v>739.68860587806614</v>
      </c>
    </row>
    <row r="51" spans="1:6">
      <c r="A51" s="7">
        <v>43311</v>
      </c>
      <c r="B51" s="1">
        <v>0.33333333333333331</v>
      </c>
      <c r="C51" s="2">
        <v>8670.1</v>
      </c>
      <c r="D51" s="2">
        <v>8</v>
      </c>
      <c r="E51" s="3">
        <f t="shared" si="3"/>
        <v>1.9367043978990934E-2</v>
      </c>
      <c r="F51" s="4">
        <f t="shared" si="4"/>
        <v>739.77543848585708</v>
      </c>
    </row>
    <row r="52" spans="1:6">
      <c r="A52" s="7">
        <v>43322</v>
      </c>
      <c r="B52" s="1">
        <v>0.33333333333333331</v>
      </c>
      <c r="C52" s="2">
        <v>8626</v>
      </c>
      <c r="D52" s="2">
        <v>8</v>
      </c>
      <c r="E52" s="3">
        <f t="shared" si="3"/>
        <v>2.2606885283068107E-2</v>
      </c>
      <c r="F52" s="4">
        <f t="shared" si="4"/>
        <v>740.10590229887293</v>
      </c>
    </row>
    <row r="53" spans="1:6">
      <c r="A53" s="7">
        <v>43332</v>
      </c>
      <c r="B53" s="1">
        <v>0.33333333333333331</v>
      </c>
      <c r="C53" s="2">
        <v>8652.9</v>
      </c>
      <c r="D53" s="2">
        <v>8</v>
      </c>
      <c r="E53" s="3">
        <f t="shared" ref="E53:E70" si="5">($B$2*C53^2+$B$3*C53+$B$4)-$B$5*D53-$E$7</f>
        <v>2.0630376058098605E-2</v>
      </c>
      <c r="F53" s="4">
        <f t="shared" ref="F53:F70" si="6">$D$1+102*E53</f>
        <v>739.904298357926</v>
      </c>
    </row>
    <row r="54" spans="1:6">
      <c r="A54" s="7">
        <v>43342</v>
      </c>
      <c r="B54" s="1">
        <v>0.33333333333333331</v>
      </c>
      <c r="C54" s="2">
        <v>8630.2999999999993</v>
      </c>
      <c r="D54" s="2">
        <v>8</v>
      </c>
      <c r="E54" s="3">
        <f t="shared" si="5"/>
        <v>2.2290879007393367E-2</v>
      </c>
      <c r="F54" s="4">
        <f t="shared" si="6"/>
        <v>740.07366965875406</v>
      </c>
    </row>
    <row r="55" spans="1:6">
      <c r="A55" s="7">
        <v>43353</v>
      </c>
      <c r="B55" s="1">
        <v>0.33333333333333331</v>
      </c>
      <c r="C55" s="2">
        <v>8623</v>
      </c>
      <c r="D55" s="2">
        <v>8.1</v>
      </c>
      <c r="E55" s="3">
        <f t="shared" si="5"/>
        <v>2.2933580607055113E-2</v>
      </c>
      <c r="F55" s="4">
        <f t="shared" si="6"/>
        <v>740.13922522191956</v>
      </c>
    </row>
    <row r="56" spans="1:6">
      <c r="A56" s="7">
        <v>43363</v>
      </c>
      <c r="B56" s="1">
        <v>0.33333333333333331</v>
      </c>
      <c r="C56" s="2">
        <v>8599.7000000000007</v>
      </c>
      <c r="D56" s="2">
        <v>8.1</v>
      </c>
      <c r="E56" s="3">
        <f t="shared" si="5"/>
        <v>2.4646366603591239E-2</v>
      </c>
      <c r="F56" s="4">
        <f t="shared" si="6"/>
        <v>740.31392939356624</v>
      </c>
    </row>
    <row r="57" spans="1:6">
      <c r="A57" s="7">
        <v>43373</v>
      </c>
      <c r="B57" s="1">
        <v>0.33333333333333331</v>
      </c>
      <c r="C57" s="2">
        <v>8617.6</v>
      </c>
      <c r="D57" s="2">
        <v>8.1</v>
      </c>
      <c r="E57" s="3">
        <f t="shared" si="5"/>
        <v>2.3330476911255258E-2</v>
      </c>
      <c r="F57" s="4">
        <f t="shared" si="6"/>
        <v>740.17970864494794</v>
      </c>
    </row>
    <row r="58" spans="1:6">
      <c r="A58" s="7">
        <v>43383</v>
      </c>
      <c r="B58" s="1">
        <v>0.33333333333333331</v>
      </c>
      <c r="C58" s="2">
        <v>8620.2999999999993</v>
      </c>
      <c r="D58" s="2">
        <v>8</v>
      </c>
      <c r="E58" s="3">
        <f t="shared" si="5"/>
        <v>2.3025811755419307E-2</v>
      </c>
      <c r="F58" s="4">
        <f t="shared" si="6"/>
        <v>740.14863279905273</v>
      </c>
    </row>
    <row r="59" spans="1:6">
      <c r="A59" s="7">
        <v>43393</v>
      </c>
      <c r="B59" s="1">
        <v>0.33333333333333331</v>
      </c>
      <c r="C59" s="2">
        <v>8621.9</v>
      </c>
      <c r="D59" s="2">
        <v>7.9</v>
      </c>
      <c r="E59" s="3">
        <f t="shared" si="5"/>
        <v>2.2802001796913388E-2</v>
      </c>
      <c r="F59" s="4">
        <f t="shared" si="6"/>
        <v>740.12580418328514</v>
      </c>
    </row>
    <row r="60" spans="1:6">
      <c r="A60" s="7">
        <v>43605</v>
      </c>
      <c r="B60" s="1">
        <v>0.33333333333333331</v>
      </c>
      <c r="C60" s="2">
        <v>8637.2999999999993</v>
      </c>
      <c r="D60" s="2">
        <v>7.4</v>
      </c>
      <c r="E60" s="3">
        <f t="shared" si="5"/>
        <v>2.1139222369176262E-2</v>
      </c>
      <c r="F60" s="4">
        <f t="shared" si="6"/>
        <v>739.9562006816559</v>
      </c>
    </row>
    <row r="61" spans="1:6">
      <c r="A61" s="7">
        <v>43615</v>
      </c>
      <c r="B61" s="1">
        <v>0.33333333333333331</v>
      </c>
      <c r="C61" s="2">
        <v>8639.7000000000007</v>
      </c>
      <c r="D61" s="2">
        <v>7.4</v>
      </c>
      <c r="E61" s="3">
        <f t="shared" si="5"/>
        <v>2.0962876784095311E-2</v>
      </c>
      <c r="F61" s="4">
        <f t="shared" si="6"/>
        <v>739.93821343197772</v>
      </c>
    </row>
    <row r="62" spans="1:6">
      <c r="A62" s="7">
        <v>43626</v>
      </c>
      <c r="B62" s="1">
        <v>0.33333333333333331</v>
      </c>
      <c r="C62" s="2">
        <v>8641.2999999999993</v>
      </c>
      <c r="D62" s="2">
        <v>7.5</v>
      </c>
      <c r="E62" s="3">
        <f t="shared" si="5"/>
        <v>2.0951529526813745E-2</v>
      </c>
      <c r="F62" s="4">
        <f t="shared" si="6"/>
        <v>739.93705601173497</v>
      </c>
    </row>
    <row r="63" spans="1:6">
      <c r="A63" s="7">
        <v>43636</v>
      </c>
      <c r="B63" s="1">
        <v>0.33333333333333331</v>
      </c>
      <c r="C63" s="2">
        <v>8644.6</v>
      </c>
      <c r="D63" s="2">
        <v>7.5</v>
      </c>
      <c r="E63" s="3">
        <f t="shared" si="5"/>
        <v>2.0709072089127829E-2</v>
      </c>
      <c r="F63" s="4">
        <f t="shared" si="6"/>
        <v>739.91232535309098</v>
      </c>
    </row>
    <row r="64" spans="1:6">
      <c r="A64" s="7">
        <v>43646</v>
      </c>
      <c r="B64" s="1">
        <v>0.33333333333333331</v>
      </c>
      <c r="C64" s="2">
        <v>8640.7000000000007</v>
      </c>
      <c r="D64" s="2">
        <v>7.4</v>
      </c>
      <c r="E64" s="3">
        <f t="shared" si="5"/>
        <v>2.0889401510846787E-2</v>
      </c>
      <c r="F64" s="4">
        <f t="shared" si="6"/>
        <v>739.93071895410628</v>
      </c>
    </row>
    <row r="65" spans="1:6">
      <c r="A65" s="7">
        <v>43656</v>
      </c>
      <c r="B65" s="1">
        <v>0.33333333333333331</v>
      </c>
      <c r="C65" s="2">
        <v>8638.1</v>
      </c>
      <c r="D65" s="2">
        <v>7.4</v>
      </c>
      <c r="E65" s="3">
        <f t="shared" si="5"/>
        <v>2.1080439734261384E-2</v>
      </c>
      <c r="F65" s="4">
        <f t="shared" si="6"/>
        <v>739.95020485289467</v>
      </c>
    </row>
    <row r="66" spans="1:6">
      <c r="A66" s="7">
        <v>43666</v>
      </c>
      <c r="B66" s="1">
        <v>0.33333333333333331</v>
      </c>
      <c r="C66" s="2">
        <v>8637.5</v>
      </c>
      <c r="D66" s="2">
        <v>7.2</v>
      </c>
      <c r="E66" s="3">
        <f t="shared" si="5"/>
        <v>2.0912101437958002E-2</v>
      </c>
      <c r="F66" s="4">
        <f t="shared" si="6"/>
        <v>739.93303434667166</v>
      </c>
    </row>
    <row r="67" spans="1:6">
      <c r="A67" s="7">
        <v>43676</v>
      </c>
      <c r="B67" s="1">
        <v>0.33333333333333331</v>
      </c>
      <c r="C67" s="2">
        <v>8636.7999999999993</v>
      </c>
      <c r="D67" s="2">
        <v>7</v>
      </c>
      <c r="E67" s="3">
        <f t="shared" si="5"/>
        <v>2.0751111508649295E-2</v>
      </c>
      <c r="F67" s="4">
        <f t="shared" si="6"/>
        <v>739.91661337388223</v>
      </c>
    </row>
    <row r="68" spans="1:6">
      <c r="A68" s="7">
        <v>43687</v>
      </c>
      <c r="B68" s="9">
        <v>0.33333333333333331</v>
      </c>
      <c r="C68" s="2">
        <v>8598.2999999999993</v>
      </c>
      <c r="D68" s="2">
        <v>7</v>
      </c>
      <c r="E68" s="3">
        <f t="shared" si="5"/>
        <v>2.3580963072692546E-2</v>
      </c>
      <c r="F68" s="4">
        <f t="shared" si="6"/>
        <v>740.20525823341461</v>
      </c>
    </row>
    <row r="69" spans="1:6">
      <c r="A69" s="7">
        <v>43697</v>
      </c>
      <c r="B69" s="1">
        <v>0.33333333333333331</v>
      </c>
      <c r="C69" s="2">
        <v>8552.6</v>
      </c>
      <c r="D69" s="2">
        <v>7.1</v>
      </c>
      <c r="E69" s="3">
        <f t="shared" si="5"/>
        <v>2.7048570690278242E-2</v>
      </c>
      <c r="F69" s="4">
        <f t="shared" si="6"/>
        <v>740.55895421040839</v>
      </c>
    </row>
    <row r="70" spans="1:6">
      <c r="A70" s="7">
        <v>43707</v>
      </c>
      <c r="B70" s="9">
        <v>0.33333333333333331</v>
      </c>
      <c r="C70" s="2">
        <v>8511.7999999999993</v>
      </c>
      <c r="D70" s="2">
        <v>7.2</v>
      </c>
      <c r="E70" s="3">
        <f t="shared" si="5"/>
        <v>3.0157898066224303E-2</v>
      </c>
      <c r="F70" s="4">
        <f t="shared" si="6"/>
        <v>740.87610560275482</v>
      </c>
    </row>
  </sheetData>
  <phoneticPr fontId="4" type="noConversion"/>
  <pageMargins left="0.69930555555555596" right="0.69930555555555596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"/>
  <sheetViews>
    <sheetView topLeftCell="A52" workbookViewId="0">
      <selection activeCell="A68" sqref="A68:B70"/>
    </sheetView>
  </sheetViews>
  <sheetFormatPr defaultColWidth="9" defaultRowHeight="13.5"/>
  <cols>
    <col min="1" max="1" width="11.125" customWidth="1"/>
    <col min="2" max="2" width="13.875" customWidth="1"/>
  </cols>
  <sheetData>
    <row r="1" spans="1:7">
      <c r="A1" t="s">
        <v>0</v>
      </c>
      <c r="B1">
        <v>50388</v>
      </c>
      <c r="C1" t="s">
        <v>1</v>
      </c>
      <c r="D1">
        <v>731</v>
      </c>
    </row>
    <row r="2" spans="1:7">
      <c r="A2" t="s">
        <v>2</v>
      </c>
      <c r="B2">
        <f>5.5446*10^-10</f>
        <v>5.5446000000000007E-10</v>
      </c>
    </row>
    <row r="3" spans="1:7">
      <c r="A3" t="s">
        <v>3</v>
      </c>
      <c r="B3">
        <v>-8.6708999999999999E-5</v>
      </c>
    </row>
    <row r="4" spans="1:7">
      <c r="A4" t="s">
        <v>4</v>
      </c>
      <c r="B4">
        <v>0.73374547999999995</v>
      </c>
    </row>
    <row r="5" spans="1:7">
      <c r="A5" t="s">
        <v>5</v>
      </c>
      <c r="B5">
        <v>-1.1481340000000001E-3</v>
      </c>
    </row>
    <row r="6" spans="1:7">
      <c r="A6" t="s">
        <v>6</v>
      </c>
      <c r="B6" t="s">
        <v>7</v>
      </c>
      <c r="C6" t="s">
        <v>8</v>
      </c>
      <c r="D6" t="s">
        <v>9</v>
      </c>
      <c r="E6" t="s">
        <v>10</v>
      </c>
      <c r="F6" t="s">
        <v>11</v>
      </c>
      <c r="G6" t="s">
        <v>12</v>
      </c>
    </row>
    <row r="7" spans="1:7">
      <c r="A7" s="6">
        <v>42530</v>
      </c>
      <c r="B7" s="1">
        <v>0.33333333333333298</v>
      </c>
      <c r="C7" s="2">
        <v>8848.1</v>
      </c>
      <c r="D7" s="2">
        <v>12.7</v>
      </c>
      <c r="E7" s="3">
        <f>($B$2*C7^2+$B$3*C7+$B$4)-$B$5*D7</f>
        <v>2.4524927761800541E-2</v>
      </c>
      <c r="G7" t="s">
        <v>13</v>
      </c>
    </row>
    <row r="8" spans="1:7">
      <c r="A8" s="6">
        <v>42531</v>
      </c>
      <c r="B8" s="16">
        <v>0.35416666666666702</v>
      </c>
      <c r="C8" s="2">
        <v>6881.2</v>
      </c>
      <c r="D8" s="2">
        <v>5.8</v>
      </c>
      <c r="E8" s="3">
        <f>($B$2*C8^2+$B$3*C8+$B$4)-$B$5*D8-$E$7</f>
        <v>0.14547194610414191</v>
      </c>
      <c r="F8" s="4">
        <f>$D$1+102*E8</f>
        <v>745.83813850262243</v>
      </c>
      <c r="G8" s="5" t="s">
        <v>17</v>
      </c>
    </row>
    <row r="9" spans="1:7">
      <c r="A9" s="6">
        <v>42531</v>
      </c>
      <c r="B9" s="16">
        <v>0.375</v>
      </c>
      <c r="C9" s="2">
        <v>7158.5</v>
      </c>
      <c r="D9" s="2">
        <v>5.0999999999999996</v>
      </c>
      <c r="E9" s="3">
        <f>($B$2*C9^2+$B$3*C9+$B$4)-$B$5*D9-$E$7</f>
        <v>0.12278247516093441</v>
      </c>
      <c r="F9" s="4">
        <f t="shared" ref="F9:F48" si="0">$D$1+102*E9</f>
        <v>743.52381246641528</v>
      </c>
      <c r="G9" s="5" t="s">
        <v>14</v>
      </c>
    </row>
    <row r="10" spans="1:7">
      <c r="A10" s="6">
        <v>42532</v>
      </c>
      <c r="B10" s="16">
        <v>0.33333333333333298</v>
      </c>
      <c r="C10" s="2">
        <v>7981.7</v>
      </c>
      <c r="D10" s="2">
        <v>4.5</v>
      </c>
      <c r="E10" s="3">
        <f t="shared" ref="E10:E21" si="1">($B$2*C10^2+$B$3*C10+$B$4)-$B$5*D10-$E$7</f>
        <v>5.7625209733308883E-2</v>
      </c>
      <c r="F10" s="4">
        <f t="shared" si="0"/>
        <v>736.87777139279751</v>
      </c>
    </row>
    <row r="11" spans="1:7">
      <c r="A11" s="6">
        <v>42533</v>
      </c>
      <c r="B11" s="16">
        <v>0.33333333333333298</v>
      </c>
      <c r="C11" s="2">
        <v>7980.5</v>
      </c>
      <c r="D11" s="2">
        <v>4.4000000000000004</v>
      </c>
      <c r="E11" s="3">
        <f t="shared" si="1"/>
        <v>5.7603826651614426E-2</v>
      </c>
      <c r="F11" s="4">
        <f t="shared" si="0"/>
        <v>736.87559031846467</v>
      </c>
    </row>
    <row r="12" spans="1:7">
      <c r="A12" s="6">
        <v>42534</v>
      </c>
      <c r="B12" s="16">
        <v>0.33333333333333298</v>
      </c>
      <c r="C12" s="2">
        <v>7976.1</v>
      </c>
      <c r="D12" s="2">
        <v>4.4000000000000004</v>
      </c>
      <c r="E12" s="3">
        <f t="shared" si="1"/>
        <v>5.7946418147296036E-2</v>
      </c>
      <c r="F12" s="4">
        <f t="shared" si="0"/>
        <v>736.91053465102425</v>
      </c>
    </row>
    <row r="13" spans="1:7">
      <c r="A13" s="6">
        <v>42535</v>
      </c>
      <c r="B13" s="16">
        <v>0.33333333333333298</v>
      </c>
      <c r="C13" s="2">
        <v>7973.5</v>
      </c>
      <c r="D13" s="2">
        <v>4.3</v>
      </c>
      <c r="E13" s="3">
        <f t="shared" si="1"/>
        <v>5.8034055267734364E-2</v>
      </c>
      <c r="F13" s="4">
        <f t="shared" si="0"/>
        <v>736.9194736373089</v>
      </c>
    </row>
    <row r="14" spans="1:7">
      <c r="A14" s="6">
        <v>42536</v>
      </c>
      <c r="B14" s="9">
        <v>0.33333333333333298</v>
      </c>
      <c r="C14" s="2">
        <v>7977.4</v>
      </c>
      <c r="D14" s="2">
        <v>4.3</v>
      </c>
      <c r="E14" s="3">
        <f t="shared" si="1"/>
        <v>5.7730382298188998E-2</v>
      </c>
      <c r="F14" s="4">
        <f t="shared" si="0"/>
        <v>736.88849899441527</v>
      </c>
    </row>
    <row r="15" spans="1:7">
      <c r="A15" s="6">
        <v>42537</v>
      </c>
      <c r="B15" s="9">
        <v>0.33333333333333298</v>
      </c>
      <c r="C15" s="2">
        <v>7980.8</v>
      </c>
      <c r="D15" s="2">
        <v>4.2</v>
      </c>
      <c r="E15" s="3">
        <f t="shared" si="1"/>
        <v>5.7350842122333795E-2</v>
      </c>
      <c r="F15" s="4">
        <f t="shared" si="0"/>
        <v>736.84978589647801</v>
      </c>
    </row>
    <row r="16" spans="1:7">
      <c r="A16" s="6">
        <v>42538</v>
      </c>
      <c r="B16" s="9">
        <v>0.33333333333333298</v>
      </c>
      <c r="C16" s="2">
        <v>7977.4</v>
      </c>
      <c r="D16" s="2">
        <v>4.2</v>
      </c>
      <c r="E16" s="3">
        <f t="shared" si="1"/>
        <v>5.7615568898189001E-2</v>
      </c>
      <c r="F16" s="4">
        <f t="shared" si="0"/>
        <v>736.87678802761525</v>
      </c>
    </row>
    <row r="17" spans="1:7">
      <c r="A17" s="6">
        <v>42544</v>
      </c>
      <c r="B17" s="9">
        <v>0.33333333333333298</v>
      </c>
      <c r="C17" s="2">
        <v>7748.2</v>
      </c>
      <c r="D17" s="2">
        <v>4.2</v>
      </c>
      <c r="E17" s="3">
        <f t="shared" si="1"/>
        <v>7.5490827350649853E-2</v>
      </c>
      <c r="F17" s="4">
        <f t="shared" si="0"/>
        <v>738.70006438976634</v>
      </c>
    </row>
    <row r="18" spans="1:7">
      <c r="A18" s="7">
        <v>42551</v>
      </c>
      <c r="B18" s="9">
        <v>0.33333333333333298</v>
      </c>
      <c r="C18" s="2">
        <v>7872</v>
      </c>
      <c r="D18" s="2">
        <v>4.0999999999999996</v>
      </c>
      <c r="E18" s="3">
        <f t="shared" si="1"/>
        <v>6.5713643830839441E-2</v>
      </c>
      <c r="F18" s="4">
        <f t="shared" si="0"/>
        <v>737.70279167074557</v>
      </c>
    </row>
    <row r="19" spans="1:7">
      <c r="A19" s="7">
        <v>42561</v>
      </c>
      <c r="B19" s="9">
        <v>0.33333333333333298</v>
      </c>
      <c r="C19" s="2">
        <v>7905.3</v>
      </c>
      <c r="D19" s="2">
        <v>4.2</v>
      </c>
      <c r="E19" s="3">
        <f t="shared" si="1"/>
        <v>6.323235199338087E-2</v>
      </c>
      <c r="F19" s="4">
        <f t="shared" si="0"/>
        <v>737.44969990332481</v>
      </c>
    </row>
    <row r="20" spans="1:7">
      <c r="A20" s="7">
        <v>42571</v>
      </c>
      <c r="B20" s="9">
        <v>0.33333333333333298</v>
      </c>
      <c r="C20" s="2">
        <v>7894.5</v>
      </c>
      <c r="D20" s="2">
        <v>4.2</v>
      </c>
      <c r="E20" s="3">
        <f t="shared" si="1"/>
        <v>6.4074197336614486E-2</v>
      </c>
      <c r="F20" s="4">
        <f t="shared" si="0"/>
        <v>737.53556812833472</v>
      </c>
    </row>
    <row r="21" spans="1:7">
      <c r="A21" s="7">
        <v>42581</v>
      </c>
      <c r="B21" s="9">
        <v>0.33333333333333298</v>
      </c>
      <c r="C21" s="2">
        <v>7878.7</v>
      </c>
      <c r="D21" s="2">
        <v>4.2</v>
      </c>
      <c r="E21" s="3">
        <f t="shared" si="1"/>
        <v>6.5306018922756809E-2</v>
      </c>
      <c r="F21" s="4">
        <f t="shared" si="0"/>
        <v>737.66121393012122</v>
      </c>
    </row>
    <row r="22" spans="1:7">
      <c r="A22" s="7">
        <v>42592</v>
      </c>
      <c r="B22" s="1">
        <v>0.33333333333333298</v>
      </c>
      <c r="C22" s="2">
        <v>7887.5</v>
      </c>
      <c r="D22" s="2">
        <v>4.0999999999999996</v>
      </c>
      <c r="E22" s="3">
        <f t="shared" ref="E22:E43" si="2">($B$2*C22^2+$B$3*C22+$B$4)-$B$5*D22-$E$7</f>
        <v>6.4505093522574386E-2</v>
      </c>
      <c r="F22" s="4">
        <f t="shared" si="0"/>
        <v>737.57951953930262</v>
      </c>
      <c r="G22" s="2"/>
    </row>
    <row r="23" spans="1:7">
      <c r="A23" s="7">
        <v>42602</v>
      </c>
      <c r="B23" s="1">
        <v>0.33333333333333298</v>
      </c>
      <c r="C23" s="2">
        <v>7888.8</v>
      </c>
      <c r="D23" s="2">
        <v>4.2</v>
      </c>
      <c r="E23" s="3">
        <f t="shared" si="2"/>
        <v>6.4518556748061867E-2</v>
      </c>
      <c r="F23" s="4">
        <f t="shared" si="0"/>
        <v>737.58089278830232</v>
      </c>
      <c r="G23" s="2"/>
    </row>
    <row r="24" spans="1:7">
      <c r="A24" s="7">
        <v>42612</v>
      </c>
      <c r="B24" s="1">
        <v>0.33333333333333298</v>
      </c>
      <c r="C24" s="2">
        <v>7872.7</v>
      </c>
      <c r="D24" s="2">
        <v>4.2</v>
      </c>
      <c r="E24" s="3">
        <f t="shared" si="2"/>
        <v>6.5773871795292843E-2</v>
      </c>
      <c r="F24" s="4">
        <f t="shared" si="0"/>
        <v>737.70893492311984</v>
      </c>
      <c r="G24" s="2"/>
    </row>
    <row r="25" spans="1:7">
      <c r="A25" s="6">
        <v>42623</v>
      </c>
      <c r="B25" s="1">
        <v>0.33333333333333298</v>
      </c>
      <c r="C25" s="2">
        <v>7855.2</v>
      </c>
      <c r="D25" s="2">
        <v>4.2</v>
      </c>
      <c r="E25" s="3">
        <f t="shared" si="2"/>
        <v>6.7138670695197883E-2</v>
      </c>
      <c r="F25" s="4">
        <f t="shared" si="0"/>
        <v>737.84814441091021</v>
      </c>
      <c r="G25" s="2"/>
    </row>
    <row r="26" spans="1:7">
      <c r="A26" s="7">
        <v>42633</v>
      </c>
      <c r="B26" s="1">
        <v>0.33333333333333331</v>
      </c>
      <c r="C26" s="2">
        <v>7827.7</v>
      </c>
      <c r="D26" s="2">
        <v>4.2</v>
      </c>
      <c r="E26" s="3">
        <f t="shared" si="2"/>
        <v>6.9284040825012744E-2</v>
      </c>
      <c r="F26" s="4">
        <f t="shared" si="0"/>
        <v>738.06697216415125</v>
      </c>
    </row>
    <row r="27" spans="1:7">
      <c r="A27" s="7">
        <v>42643</v>
      </c>
      <c r="B27" s="1">
        <v>0.33333333333333331</v>
      </c>
      <c r="C27" s="2">
        <v>7871.8</v>
      </c>
      <c r="D27" s="2">
        <v>4.3</v>
      </c>
      <c r="E27" s="3">
        <f t="shared" si="2"/>
        <v>6.5958866569369723E-2</v>
      </c>
      <c r="F27" s="4">
        <f t="shared" si="0"/>
        <v>737.72780439007568</v>
      </c>
    </row>
    <row r="28" spans="1:7">
      <c r="A28" s="7">
        <v>42883</v>
      </c>
      <c r="B28" s="1">
        <v>0.33333333333333331</v>
      </c>
      <c r="C28" s="2">
        <v>7947.5</v>
      </c>
      <c r="D28" s="2">
        <v>6.2</v>
      </c>
      <c r="E28" s="3">
        <f t="shared" si="2"/>
        <v>6.2240427368574477E-2</v>
      </c>
      <c r="F28" s="4">
        <f t="shared" si="0"/>
        <v>737.34852359159459</v>
      </c>
    </row>
    <row r="29" spans="1:7">
      <c r="A29" s="7">
        <v>42885</v>
      </c>
      <c r="B29" s="1">
        <v>0.33333333333333331</v>
      </c>
      <c r="C29" s="2">
        <v>7954.1</v>
      </c>
      <c r="D29" s="2">
        <v>6.2</v>
      </c>
      <c r="E29" s="3">
        <f t="shared" si="2"/>
        <v>6.1726338856072024E-2</v>
      </c>
      <c r="F29" s="4">
        <f t="shared" si="0"/>
        <v>737.29608656331936</v>
      </c>
    </row>
    <row r="30" spans="1:7">
      <c r="A30" s="7">
        <v>42896</v>
      </c>
      <c r="B30" s="1">
        <v>0.33333333333333331</v>
      </c>
      <c r="C30" s="2">
        <v>7958.7</v>
      </c>
      <c r="D30" s="2">
        <v>6.2</v>
      </c>
      <c r="E30" s="3">
        <f t="shared" si="2"/>
        <v>6.1368063307076767E-2</v>
      </c>
      <c r="F30" s="4">
        <f t="shared" si="0"/>
        <v>737.2595424573218</v>
      </c>
    </row>
    <row r="31" spans="1:7">
      <c r="A31" s="7">
        <v>42906</v>
      </c>
      <c r="B31" s="1">
        <v>0.33333333333333331</v>
      </c>
      <c r="C31" s="2">
        <v>7955</v>
      </c>
      <c r="D31" s="2">
        <v>6.3</v>
      </c>
      <c r="E31" s="3">
        <f t="shared" si="2"/>
        <v>6.1771053019699443E-2</v>
      </c>
      <c r="F31" s="4">
        <f t="shared" si="0"/>
        <v>737.30064740800935</v>
      </c>
    </row>
    <row r="32" spans="1:7">
      <c r="A32" s="7">
        <v>42916</v>
      </c>
      <c r="B32" s="1">
        <v>0.33333333333333331</v>
      </c>
      <c r="C32" s="2">
        <v>7935.3</v>
      </c>
      <c r="D32" s="2">
        <v>6.3</v>
      </c>
      <c r="E32" s="3">
        <f t="shared" si="2"/>
        <v>6.3305652765660816E-2</v>
      </c>
      <c r="F32" s="4">
        <f t="shared" si="0"/>
        <v>737.45717658209742</v>
      </c>
    </row>
    <row r="33" spans="1:6">
      <c r="A33" s="7">
        <v>42926</v>
      </c>
      <c r="B33" s="1">
        <v>0.33333333333333331</v>
      </c>
      <c r="C33" s="2">
        <v>7967.5</v>
      </c>
      <c r="D33" s="2">
        <v>6.3</v>
      </c>
      <c r="E33" s="3">
        <f t="shared" si="2"/>
        <v>6.0797545386574461E-2</v>
      </c>
      <c r="F33" s="4">
        <f t="shared" si="0"/>
        <v>737.20134962943064</v>
      </c>
    </row>
    <row r="34" spans="1:6">
      <c r="A34" s="7">
        <v>42936</v>
      </c>
      <c r="B34" s="1">
        <v>0.33333333333333331</v>
      </c>
      <c r="C34" s="2">
        <v>7962</v>
      </c>
      <c r="D34" s="2">
        <v>6.4</v>
      </c>
      <c r="E34" s="3">
        <f t="shared" si="2"/>
        <v>6.1340680798439393E-2</v>
      </c>
      <c r="F34" s="4">
        <f t="shared" si="0"/>
        <v>737.25674944144077</v>
      </c>
    </row>
    <row r="35" spans="1:6">
      <c r="A35" s="7">
        <v>42946</v>
      </c>
      <c r="B35" s="1">
        <v>0.33333333333333331</v>
      </c>
      <c r="C35" s="2">
        <v>7975.6</v>
      </c>
      <c r="D35" s="2">
        <v>6.4</v>
      </c>
      <c r="E35" s="3">
        <f t="shared" si="2"/>
        <v>6.0281618357504937E-2</v>
      </c>
      <c r="F35" s="4">
        <f t="shared" si="0"/>
        <v>737.14872507246548</v>
      </c>
    </row>
    <row r="36" spans="1:6">
      <c r="A36" s="7">
        <v>42957</v>
      </c>
      <c r="B36" s="1">
        <v>0.33333333333333331</v>
      </c>
      <c r="C36" s="2">
        <v>7960.5</v>
      </c>
      <c r="D36" s="2">
        <v>6.5</v>
      </c>
      <c r="E36" s="3">
        <f t="shared" si="2"/>
        <v>6.1572315114414369E-2</v>
      </c>
      <c r="F36" s="4">
        <f t="shared" si="0"/>
        <v>737.28037614167022</v>
      </c>
    </row>
    <row r="37" spans="1:6">
      <c r="A37" s="7">
        <v>42967</v>
      </c>
      <c r="B37" s="1">
        <v>0.33333333333333331</v>
      </c>
      <c r="C37" s="2">
        <v>7969.6</v>
      </c>
      <c r="D37" s="2">
        <v>6.5</v>
      </c>
      <c r="E37" s="3">
        <f t="shared" si="2"/>
        <v>6.0863639903953007E-2</v>
      </c>
      <c r="F37" s="4">
        <f t="shared" si="0"/>
        <v>737.20809127020323</v>
      </c>
    </row>
    <row r="38" spans="1:6">
      <c r="A38" s="7">
        <v>42977</v>
      </c>
      <c r="B38" s="1">
        <v>0.33333333333333331</v>
      </c>
      <c r="C38" s="2">
        <v>7959.5</v>
      </c>
      <c r="D38" s="2">
        <v>7.3</v>
      </c>
      <c r="E38" s="3">
        <f t="shared" si="2"/>
        <v>6.2568704311214404E-2</v>
      </c>
      <c r="F38" s="4">
        <f t="shared" si="0"/>
        <v>737.38200783974389</v>
      </c>
    </row>
    <row r="39" spans="1:6">
      <c r="A39" s="7">
        <v>42988</v>
      </c>
      <c r="B39" s="1">
        <v>0.33333333333333331</v>
      </c>
      <c r="C39" s="2">
        <v>7957.4</v>
      </c>
      <c r="D39" s="2">
        <v>6.6</v>
      </c>
      <c r="E39" s="3">
        <f t="shared" si="2"/>
        <v>6.1928566314029099E-2</v>
      </c>
      <c r="F39" s="4">
        <f t="shared" si="0"/>
        <v>737.31671376403096</v>
      </c>
    </row>
    <row r="40" spans="1:6">
      <c r="A40" s="7">
        <v>42998</v>
      </c>
      <c r="B40" s="1">
        <v>0.33333333333333331</v>
      </c>
      <c r="C40" s="2">
        <v>7969.9</v>
      </c>
      <c r="D40" s="2">
        <v>6.6</v>
      </c>
      <c r="E40" s="3">
        <f t="shared" si="2"/>
        <v>6.0955091948504014E-2</v>
      </c>
      <c r="F40" s="4">
        <f t="shared" si="0"/>
        <v>737.21741937874742</v>
      </c>
    </row>
    <row r="41" spans="1:6">
      <c r="A41" s="7">
        <v>43008</v>
      </c>
      <c r="B41" s="1">
        <v>0.33333333333333331</v>
      </c>
      <c r="C41" s="2">
        <v>7970.3</v>
      </c>
      <c r="D41" s="2">
        <v>6.5</v>
      </c>
      <c r="E41" s="3">
        <f t="shared" si="2"/>
        <v>6.0809130229820776E-2</v>
      </c>
      <c r="F41" s="4">
        <f t="shared" si="0"/>
        <v>737.20253128344177</v>
      </c>
    </row>
    <row r="42" spans="1:6">
      <c r="A42" s="7">
        <v>43018</v>
      </c>
      <c r="B42" s="1">
        <v>0.33333333333333331</v>
      </c>
      <c r="C42" s="2">
        <v>7968.6</v>
      </c>
      <c r="D42" s="2">
        <v>6.7</v>
      </c>
      <c r="E42" s="3">
        <f t="shared" si="2"/>
        <v>6.1171138609581038E-2</v>
      </c>
      <c r="F42" s="4">
        <f t="shared" si="0"/>
        <v>737.23945613817727</v>
      </c>
    </row>
    <row r="43" spans="1:6">
      <c r="A43" s="7">
        <v>43230</v>
      </c>
      <c r="B43" s="1">
        <v>0.33333333333333331</v>
      </c>
      <c r="C43" s="2">
        <v>7979.4</v>
      </c>
      <c r="D43" s="2">
        <v>6.9</v>
      </c>
      <c r="E43" s="3">
        <f t="shared" si="2"/>
        <v>6.0559807512845037E-2</v>
      </c>
      <c r="F43" s="4">
        <f t="shared" si="0"/>
        <v>737.17710036631024</v>
      </c>
    </row>
    <row r="44" spans="1:6">
      <c r="A44" s="7">
        <v>43240</v>
      </c>
      <c r="B44" s="1">
        <v>0.33333333333333331</v>
      </c>
      <c r="C44" s="2">
        <v>7987.6</v>
      </c>
      <c r="D44" s="2">
        <v>6.8</v>
      </c>
      <c r="E44" s="3">
        <f>($B$2*C44^2+$B$3*C44+$B$4)-$B$5*D44-$E$7</f>
        <v>5.9806575427969022E-2</v>
      </c>
      <c r="F44" s="4">
        <f t="shared" si="0"/>
        <v>737.10027069365287</v>
      </c>
    </row>
    <row r="45" spans="1:6">
      <c r="A45" s="7">
        <v>43250</v>
      </c>
      <c r="B45" s="1">
        <v>0.33333333333333331</v>
      </c>
      <c r="C45" s="2">
        <v>7980.5</v>
      </c>
      <c r="D45" s="2">
        <v>7</v>
      </c>
      <c r="E45" s="3">
        <f>($B$2*C45^2+$B$3*C45+$B$4)-$B$5*D45-$E$7</f>
        <v>6.0588975051614424E-2</v>
      </c>
      <c r="F45" s="4">
        <f t="shared" si="0"/>
        <v>737.18007545526461</v>
      </c>
    </row>
    <row r="46" spans="1:6">
      <c r="A46" s="7">
        <v>43261</v>
      </c>
      <c r="B46" s="1">
        <v>0.33333333333333331</v>
      </c>
      <c r="C46" s="2">
        <v>7968.6</v>
      </c>
      <c r="D46" s="2">
        <v>6.9</v>
      </c>
      <c r="E46" s="3">
        <f>($B$2*C46^2+$B$3*C46+$B$4)-$B$5*D46-$E$7</f>
        <v>6.1400765409581032E-2</v>
      </c>
      <c r="F46" s="4">
        <f t="shared" si="0"/>
        <v>737.26287807177732</v>
      </c>
    </row>
    <row r="47" spans="1:6">
      <c r="A47" s="7">
        <v>43271</v>
      </c>
      <c r="B47" s="1">
        <v>0.33333333333333331</v>
      </c>
      <c r="C47" s="2">
        <v>7835.2</v>
      </c>
      <c r="D47" s="2">
        <v>7.1</v>
      </c>
      <c r="E47" s="3">
        <f>($B$2*C47^2+$B$3*C47+$B$4)-$B$5*D47-$E$7</f>
        <v>7.2028445311517794E-2</v>
      </c>
      <c r="F47" s="4">
        <f t="shared" si="0"/>
        <v>738.34690142177476</v>
      </c>
    </row>
    <row r="48" spans="1:6">
      <c r="A48" s="7">
        <v>43281</v>
      </c>
      <c r="B48" s="1">
        <v>0.33333333333333331</v>
      </c>
      <c r="C48" s="2">
        <v>7864.7</v>
      </c>
      <c r="D48" s="2">
        <v>6.9</v>
      </c>
      <c r="E48" s="3">
        <f>($B$2*C48^2+$B$3*C48+$B$4)-$B$5*D48-$E$7</f>
        <v>6.9497699524860818E-2</v>
      </c>
      <c r="F48" s="4">
        <f t="shared" si="0"/>
        <v>738.08876535153581</v>
      </c>
    </row>
    <row r="49" spans="1:6">
      <c r="A49" s="7">
        <v>43291</v>
      </c>
      <c r="B49" s="1">
        <v>0.33333333333333331</v>
      </c>
      <c r="C49" s="2">
        <v>7915.7</v>
      </c>
      <c r="D49" s="2">
        <v>8</v>
      </c>
      <c r="E49" s="3">
        <f t="shared" ref="E49:E52" si="3">($B$2*C49^2+$B$3*C49+$B$4)-$B$5*D49-$E$7</f>
        <v>6.6784717554644865E-2</v>
      </c>
      <c r="F49" s="4">
        <f t="shared" ref="F49:F52" si="4">$D$1+102*E49</f>
        <v>737.81204119057372</v>
      </c>
    </row>
    <row r="50" spans="1:6">
      <c r="A50" s="7">
        <v>43301</v>
      </c>
      <c r="B50" s="1">
        <v>0.33333333333333331</v>
      </c>
      <c r="C50" s="2">
        <v>7921.5</v>
      </c>
      <c r="D50" s="2">
        <v>6.5</v>
      </c>
      <c r="E50" s="3">
        <f t="shared" si="3"/>
        <v>6.461053469933449E-2</v>
      </c>
      <c r="F50" s="4">
        <f t="shared" si="4"/>
        <v>737.59027453933209</v>
      </c>
    </row>
    <row r="51" spans="1:6">
      <c r="A51" s="7">
        <v>43311</v>
      </c>
      <c r="B51" s="1">
        <v>0.33333333333333331</v>
      </c>
      <c r="C51" s="2">
        <v>7912.7</v>
      </c>
      <c r="D51" s="2">
        <v>7</v>
      </c>
      <c r="E51" s="3">
        <f t="shared" si="3"/>
        <v>6.5870381910652864E-2</v>
      </c>
      <c r="F51" s="4">
        <f t="shared" si="4"/>
        <v>737.7187789548866</v>
      </c>
    </row>
    <row r="52" spans="1:6">
      <c r="A52" s="7">
        <v>43322</v>
      </c>
      <c r="B52" s="1">
        <v>0.33333333333333331</v>
      </c>
      <c r="C52" s="2">
        <v>7870.5</v>
      </c>
      <c r="D52" s="2">
        <v>7</v>
      </c>
      <c r="E52" s="3">
        <f t="shared" si="3"/>
        <v>6.9160203051014446E-2</v>
      </c>
      <c r="F52" s="4">
        <f t="shared" si="4"/>
        <v>738.05434071120351</v>
      </c>
    </row>
    <row r="53" spans="1:6">
      <c r="A53" s="7">
        <v>43332</v>
      </c>
      <c r="B53" s="1">
        <v>0.33333333333333331</v>
      </c>
      <c r="C53" s="2">
        <v>7895.8</v>
      </c>
      <c r="D53" s="2">
        <v>7</v>
      </c>
      <c r="E53" s="3">
        <f t="shared" ref="E53:E70" si="5">($B$2*C53^2+$B$3*C53+$B$4)-$B$5*D53-$E$7</f>
        <v>6.7187632453273749E-2</v>
      </c>
      <c r="F53" s="4">
        <f t="shared" ref="F53:F70" si="6">$D$1+102*E53</f>
        <v>737.85313851023398</v>
      </c>
    </row>
    <row r="54" spans="1:6">
      <c r="A54" s="7">
        <v>43342</v>
      </c>
      <c r="B54" s="1">
        <v>0.33333333333333331</v>
      </c>
      <c r="C54" s="2">
        <v>7876.3</v>
      </c>
      <c r="D54" s="2">
        <v>7</v>
      </c>
      <c r="E54" s="3">
        <f t="shared" si="5"/>
        <v>6.8707930481236801E-2</v>
      </c>
      <c r="F54" s="4">
        <f t="shared" si="6"/>
        <v>738.00820890908619</v>
      </c>
    </row>
    <row r="55" spans="1:6">
      <c r="A55" s="7">
        <v>43353</v>
      </c>
      <c r="B55" s="1">
        <v>0.33333333333333331</v>
      </c>
      <c r="C55" s="2">
        <v>7866.6</v>
      </c>
      <c r="D55" s="2">
        <v>7</v>
      </c>
      <c r="E55" s="3">
        <f t="shared" si="5"/>
        <v>6.9464338340397003E-2</v>
      </c>
      <c r="F55" s="4">
        <f t="shared" si="6"/>
        <v>738.08536251072053</v>
      </c>
    </row>
    <row r="56" spans="1:6">
      <c r="A56" s="7">
        <v>43363</v>
      </c>
      <c r="B56" s="1">
        <v>0.33333333333333331</v>
      </c>
      <c r="C56" s="2">
        <v>7845.2</v>
      </c>
      <c r="D56" s="2">
        <v>7</v>
      </c>
      <c r="E56" s="3">
        <f t="shared" si="5"/>
        <v>7.1133483457357816E-2</v>
      </c>
      <c r="F56" s="4">
        <f t="shared" si="6"/>
        <v>738.25561531265055</v>
      </c>
    </row>
    <row r="57" spans="1:6">
      <c r="A57" s="7">
        <v>43373</v>
      </c>
      <c r="B57" s="1">
        <v>0.33333333333333331</v>
      </c>
      <c r="C57" s="2">
        <v>7870.3</v>
      </c>
      <c r="D57" s="2">
        <v>7</v>
      </c>
      <c r="E57" s="3">
        <f t="shared" si="5"/>
        <v>6.9175799322220732E-2</v>
      </c>
      <c r="F57" s="4">
        <f t="shared" si="6"/>
        <v>738.05593153086647</v>
      </c>
    </row>
    <row r="58" spans="1:6">
      <c r="A58" s="7">
        <v>43383</v>
      </c>
      <c r="B58" s="1">
        <v>0.33333333333333331</v>
      </c>
      <c r="C58" s="2">
        <v>7871</v>
      </c>
      <c r="D58" s="2">
        <v>7</v>
      </c>
      <c r="E58" s="3">
        <f t="shared" si="5"/>
        <v>6.9121212567059387E-2</v>
      </c>
      <c r="F58" s="4">
        <f t="shared" si="6"/>
        <v>738.05036368184005</v>
      </c>
    </row>
    <row r="59" spans="1:6">
      <c r="A59" s="7">
        <v>43393</v>
      </c>
      <c r="B59" s="1">
        <v>0.33333333333333331</v>
      </c>
      <c r="C59" s="2">
        <v>7872.4</v>
      </c>
      <c r="D59" s="2">
        <v>7</v>
      </c>
      <c r="E59" s="3">
        <f t="shared" si="5"/>
        <v>6.9012040686848963E-2</v>
      </c>
      <c r="F59" s="4">
        <f t="shared" si="6"/>
        <v>738.03922815005865</v>
      </c>
    </row>
    <row r="60" spans="1:6">
      <c r="A60" s="7">
        <v>43605</v>
      </c>
      <c r="B60" s="1">
        <v>0.33333333333333331</v>
      </c>
      <c r="C60" s="2">
        <v>7881.7</v>
      </c>
      <c r="D60" s="2">
        <v>6.7</v>
      </c>
      <c r="E60" s="3">
        <f t="shared" si="5"/>
        <v>6.7942442456908753E-2</v>
      </c>
      <c r="F60" s="4">
        <f t="shared" si="6"/>
        <v>737.93012913060466</v>
      </c>
    </row>
    <row r="61" spans="1:6">
      <c r="A61" s="7">
        <v>43615</v>
      </c>
      <c r="B61" s="1">
        <v>0.33333333333333331</v>
      </c>
      <c r="C61" s="2">
        <v>7882.6</v>
      </c>
      <c r="D61" s="2">
        <v>6.9</v>
      </c>
      <c r="E61" s="3">
        <f t="shared" si="5"/>
        <v>6.8101897763308966E-2</v>
      </c>
      <c r="F61" s="4">
        <f t="shared" si="6"/>
        <v>737.94639357185747</v>
      </c>
    </row>
    <row r="62" spans="1:6">
      <c r="A62" s="7">
        <v>43626</v>
      </c>
      <c r="B62" s="1">
        <v>0.33333333333333331</v>
      </c>
      <c r="C62" s="2">
        <v>7884.3</v>
      </c>
      <c r="D62" s="2">
        <v>6.9</v>
      </c>
      <c r="E62" s="3">
        <f t="shared" si="5"/>
        <v>6.7969354059444792E-2</v>
      </c>
      <c r="F62" s="4">
        <f t="shared" si="6"/>
        <v>737.93287411406334</v>
      </c>
    </row>
    <row r="63" spans="1:6">
      <c r="A63" s="7">
        <v>43636</v>
      </c>
      <c r="B63" s="1">
        <v>0.33333333333333331</v>
      </c>
      <c r="C63" s="2">
        <v>7887.2</v>
      </c>
      <c r="D63" s="2">
        <v>7</v>
      </c>
      <c r="E63" s="3">
        <f t="shared" si="5"/>
        <v>6.7858070890525868E-2</v>
      </c>
      <c r="F63" s="4">
        <f t="shared" si="6"/>
        <v>737.9215232308336</v>
      </c>
    </row>
    <row r="64" spans="1:6">
      <c r="A64" s="7">
        <v>43646</v>
      </c>
      <c r="B64" s="1">
        <v>0.33333333333333331</v>
      </c>
      <c r="C64" s="2">
        <v>7888.9</v>
      </c>
      <c r="D64" s="2">
        <v>6.9</v>
      </c>
      <c r="E64" s="3">
        <f t="shared" si="5"/>
        <v>6.7610722458416012E-2</v>
      </c>
      <c r="F64" s="4">
        <f t="shared" si="6"/>
        <v>737.8962936907584</v>
      </c>
    </row>
    <row r="65" spans="1:6">
      <c r="A65" s="7">
        <v>43656</v>
      </c>
      <c r="B65" s="1">
        <v>0.33333333333333331</v>
      </c>
      <c r="C65" s="2">
        <v>7890.8</v>
      </c>
      <c r="D65" s="2">
        <v>6.9</v>
      </c>
      <c r="E65" s="3">
        <f t="shared" si="5"/>
        <v>6.7462598862093798E-2</v>
      </c>
      <c r="F65" s="4">
        <f t="shared" si="6"/>
        <v>737.88118508393359</v>
      </c>
    </row>
    <row r="66" spans="1:6">
      <c r="A66" s="7">
        <v>43666</v>
      </c>
      <c r="B66" s="1">
        <v>0.33333333333333331</v>
      </c>
      <c r="C66" s="2">
        <v>7892.4</v>
      </c>
      <c r="D66" s="2">
        <v>6.8</v>
      </c>
      <c r="E66" s="3">
        <f t="shared" si="5"/>
        <v>6.7223052907009084E-2</v>
      </c>
      <c r="F66" s="4">
        <f t="shared" si="6"/>
        <v>737.85675139651494</v>
      </c>
    </row>
    <row r="67" spans="1:6">
      <c r="A67" s="7">
        <v>43676</v>
      </c>
      <c r="B67" s="1">
        <v>0.33333333333333331</v>
      </c>
      <c r="C67" s="2">
        <v>7890.6</v>
      </c>
      <c r="D67" s="2">
        <v>6.7</v>
      </c>
      <c r="E67" s="3">
        <f t="shared" si="5"/>
        <v>6.7248563831085045E-2</v>
      </c>
      <c r="F67" s="4">
        <f t="shared" si="6"/>
        <v>737.85935351077069</v>
      </c>
    </row>
    <row r="68" spans="1:6">
      <c r="A68" s="7">
        <v>43687</v>
      </c>
      <c r="B68" s="9">
        <v>0.33333333333333331</v>
      </c>
      <c r="C68" s="2">
        <v>7850.3</v>
      </c>
      <c r="D68" s="2">
        <v>6.7</v>
      </c>
      <c r="E68" s="3">
        <f t="shared" si="5"/>
        <v>7.0391210244700769E-2</v>
      </c>
      <c r="F68" s="4">
        <f t="shared" si="6"/>
        <v>738.17990344495945</v>
      </c>
    </row>
    <row r="69" spans="1:6">
      <c r="A69" s="7">
        <v>43697</v>
      </c>
      <c r="B69" s="1">
        <v>0.33333333333333331</v>
      </c>
      <c r="C69" s="2">
        <v>7801.5</v>
      </c>
      <c r="D69" s="2">
        <v>6.7</v>
      </c>
      <c r="E69" s="3">
        <f t="shared" si="5"/>
        <v>7.4199108549734466E-2</v>
      </c>
      <c r="F69" s="4">
        <f t="shared" si="6"/>
        <v>738.56830907207291</v>
      </c>
    </row>
    <row r="70" spans="1:6">
      <c r="A70" s="7">
        <v>43707</v>
      </c>
      <c r="B70" s="9">
        <v>0.33333333333333331</v>
      </c>
      <c r="C70" s="2">
        <v>7771.4</v>
      </c>
      <c r="D70" s="2">
        <v>6.7</v>
      </c>
      <c r="E70" s="3">
        <f t="shared" si="5"/>
        <v>7.6549149490701046E-2</v>
      </c>
      <c r="F70" s="4">
        <f t="shared" si="6"/>
        <v>738.80801324805145</v>
      </c>
    </row>
  </sheetData>
  <phoneticPr fontId="4" type="noConversion"/>
  <pageMargins left="0.69930555555555596" right="0.69930555555555596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"/>
  <sheetViews>
    <sheetView topLeftCell="A52" workbookViewId="0">
      <selection activeCell="E70" sqref="E70"/>
    </sheetView>
  </sheetViews>
  <sheetFormatPr defaultColWidth="9" defaultRowHeight="13.5"/>
  <cols>
    <col min="1" max="1" width="11.25" customWidth="1"/>
    <col min="2" max="2" width="13.875" customWidth="1"/>
    <col min="3" max="3" width="9.5" customWidth="1"/>
  </cols>
  <sheetData>
    <row r="1" spans="1:7">
      <c r="A1" t="s">
        <v>0</v>
      </c>
      <c r="B1">
        <v>11257</v>
      </c>
      <c r="C1" t="s">
        <v>1</v>
      </c>
      <c r="D1">
        <v>725.5</v>
      </c>
    </row>
    <row r="2" spans="1:7">
      <c r="A2" t="s">
        <v>2</v>
      </c>
      <c r="B2">
        <f>7.99976*10^-10</f>
        <v>7.9997600000000003E-10</v>
      </c>
    </row>
    <row r="3" spans="1:7">
      <c r="A3" t="s">
        <v>3</v>
      </c>
      <c r="B3">
        <v>-1.61106E-4</v>
      </c>
    </row>
    <row r="4" spans="1:7">
      <c r="A4" t="s">
        <v>4</v>
      </c>
      <c r="B4">
        <v>1.6025306800000001</v>
      </c>
    </row>
    <row r="5" spans="1:7">
      <c r="A5" t="s">
        <v>5</v>
      </c>
      <c r="B5">
        <v>-3.0394300000000001E-3</v>
      </c>
    </row>
    <row r="6" spans="1:7">
      <c r="A6" t="s">
        <v>6</v>
      </c>
      <c r="B6" t="s">
        <v>7</v>
      </c>
      <c r="C6" t="s">
        <v>8</v>
      </c>
      <c r="D6" t="s">
        <v>9</v>
      </c>
      <c r="E6" t="s">
        <v>10</v>
      </c>
      <c r="F6" t="s">
        <v>11</v>
      </c>
      <c r="G6" t="s">
        <v>12</v>
      </c>
    </row>
    <row r="7" spans="1:7">
      <c r="A7" s="6">
        <v>42530</v>
      </c>
      <c r="B7" s="1">
        <v>0.33333333333333298</v>
      </c>
      <c r="C7" s="2">
        <v>9804.9</v>
      </c>
      <c r="D7" s="2">
        <v>12.6</v>
      </c>
      <c r="E7" s="3">
        <f>($B$2*C7^2+$B$3*C7+$B$4)-$B$5*D7</f>
        <v>0.13810582254246379</v>
      </c>
      <c r="G7" t="s">
        <v>13</v>
      </c>
    </row>
    <row r="8" spans="1:7">
      <c r="A8" s="6">
        <v>42531</v>
      </c>
      <c r="B8" s="16">
        <v>0.35416666666666702</v>
      </c>
      <c r="C8" s="2">
        <v>9443</v>
      </c>
      <c r="D8" s="2">
        <v>6.1</v>
      </c>
      <c r="E8" s="3">
        <f>($B$2*C8^2+$B$3*C8+$B$4)-$B$5*D8-$E$7</f>
        <v>3.2975481571560245E-2</v>
      </c>
      <c r="F8" s="4">
        <f>$D$1+102*E8</f>
        <v>728.86349912029914</v>
      </c>
      <c r="G8" s="5" t="s">
        <v>17</v>
      </c>
    </row>
    <row r="9" spans="1:7">
      <c r="A9" s="6">
        <v>42531</v>
      </c>
      <c r="B9" s="16">
        <v>0.375</v>
      </c>
      <c r="C9" s="2">
        <v>9322.2999999999993</v>
      </c>
      <c r="D9" s="2">
        <v>5.5</v>
      </c>
      <c r="E9" s="3">
        <f>($B$2*C9^2+$B$3*C9+$B$4)-$B$5*D9-$E$7</f>
        <v>4.8785394762881601E-2</v>
      </c>
      <c r="F9" s="4">
        <f t="shared" ref="F9:F48" si="0">$D$1+102*E9</f>
        <v>730.47611026581387</v>
      </c>
      <c r="G9" s="5" t="s">
        <v>14</v>
      </c>
    </row>
    <row r="10" spans="1:7">
      <c r="A10" s="6">
        <v>42532</v>
      </c>
      <c r="B10" s="16">
        <v>0.33333333333333298</v>
      </c>
      <c r="C10" s="2">
        <v>8972.7000000000007</v>
      </c>
      <c r="D10" s="2">
        <v>5.0999999999999996</v>
      </c>
      <c r="E10" s="3">
        <f t="shared" ref="E10:E21" si="1">($B$2*C10^2+$B$3*C10+$B$4)-$B$5*D10-$E$7</f>
        <v>9.8775688265249434E-2</v>
      </c>
      <c r="F10" s="4">
        <f t="shared" si="0"/>
        <v>735.57512020305546</v>
      </c>
    </row>
    <row r="11" spans="1:7">
      <c r="A11" s="6">
        <v>42533</v>
      </c>
      <c r="B11" s="16">
        <v>0.33333333333333298</v>
      </c>
      <c r="C11" s="2">
        <v>8971.7000000000007</v>
      </c>
      <c r="D11" s="2">
        <v>5</v>
      </c>
      <c r="E11" s="3">
        <f t="shared" si="1"/>
        <v>9.8618496175914838E-2</v>
      </c>
      <c r="F11" s="4">
        <f t="shared" si="0"/>
        <v>735.55908660994328</v>
      </c>
    </row>
    <row r="12" spans="1:7">
      <c r="A12" s="6">
        <v>42534</v>
      </c>
      <c r="B12" s="16">
        <v>0.33333333333333298</v>
      </c>
      <c r="C12" s="2">
        <v>8969.2999999999993</v>
      </c>
      <c r="D12" s="2">
        <v>4.9000000000000004</v>
      </c>
      <c r="E12" s="3">
        <f t="shared" si="1"/>
        <v>9.866676188931664E-2</v>
      </c>
      <c r="F12" s="4">
        <f t="shared" si="0"/>
        <v>735.56400971271034</v>
      </c>
    </row>
    <row r="13" spans="1:7">
      <c r="A13" s="6">
        <v>42535</v>
      </c>
      <c r="B13" s="16">
        <v>0.33333333333333298</v>
      </c>
      <c r="C13" s="2">
        <v>8967.9</v>
      </c>
      <c r="D13" s="2">
        <v>5</v>
      </c>
      <c r="E13" s="3">
        <f t="shared" si="1"/>
        <v>9.9176164228006625E-2</v>
      </c>
      <c r="F13" s="4">
        <f t="shared" si="0"/>
        <v>735.61596875125667</v>
      </c>
    </row>
    <row r="14" spans="1:7">
      <c r="A14" s="6">
        <v>42536</v>
      </c>
      <c r="B14" s="9">
        <v>0.33333333333333298</v>
      </c>
      <c r="C14" s="2">
        <v>8969.4</v>
      </c>
      <c r="D14" s="2">
        <v>4.5</v>
      </c>
      <c r="E14" s="3">
        <f t="shared" si="1"/>
        <v>9.7436314342263713E-2</v>
      </c>
      <c r="F14" s="4">
        <f t="shared" si="0"/>
        <v>735.43850406291085</v>
      </c>
    </row>
    <row r="15" spans="1:7">
      <c r="A15" s="6">
        <v>42537</v>
      </c>
      <c r="B15" s="9">
        <v>0.33333333333333298</v>
      </c>
      <c r="C15" s="2">
        <v>8971</v>
      </c>
      <c r="D15" s="2">
        <v>3.9</v>
      </c>
      <c r="E15" s="3">
        <f t="shared" si="1"/>
        <v>9.5377849765352185E-2</v>
      </c>
      <c r="F15" s="4">
        <f t="shared" si="0"/>
        <v>735.2285406760659</v>
      </c>
    </row>
    <row r="16" spans="1:7">
      <c r="A16" s="6">
        <v>42538</v>
      </c>
      <c r="B16" s="9">
        <v>0.33333333333333298</v>
      </c>
      <c r="C16" s="2">
        <v>8969.9</v>
      </c>
      <c r="D16" s="2">
        <v>4.9000000000000004</v>
      </c>
      <c r="E16" s="3">
        <f t="shared" si="1"/>
        <v>9.8578708846992019E-2</v>
      </c>
      <c r="F16" s="4">
        <f t="shared" si="0"/>
        <v>735.55502830239323</v>
      </c>
    </row>
    <row r="17" spans="1:7">
      <c r="A17" s="6">
        <v>42544</v>
      </c>
      <c r="B17" s="9">
        <v>0.33333333333333298</v>
      </c>
      <c r="C17" s="2">
        <v>8858.4</v>
      </c>
      <c r="D17" s="2">
        <v>4.9000000000000004</v>
      </c>
      <c r="E17" s="3">
        <f t="shared" si="1"/>
        <v>0.1149517911955229</v>
      </c>
      <c r="F17" s="4">
        <f t="shared" si="0"/>
        <v>737.22508270194339</v>
      </c>
    </row>
    <row r="18" spans="1:7">
      <c r="A18" s="7">
        <v>42551</v>
      </c>
      <c r="B18" s="9">
        <v>0.33333333333333298</v>
      </c>
      <c r="C18" s="2">
        <v>8917.4</v>
      </c>
      <c r="D18" s="2">
        <v>4.9000000000000004</v>
      </c>
      <c r="E18" s="3">
        <f t="shared" si="1"/>
        <v>0.10628552978499026</v>
      </c>
      <c r="F18" s="4">
        <f t="shared" si="0"/>
        <v>736.34112403806898</v>
      </c>
    </row>
    <row r="19" spans="1:7">
      <c r="A19" s="7">
        <v>42561</v>
      </c>
      <c r="B19" s="9">
        <v>0.33333333333333298</v>
      </c>
      <c r="C19" s="2">
        <v>8933.1</v>
      </c>
      <c r="D19" s="2">
        <v>4.8</v>
      </c>
      <c r="E19" s="3">
        <f t="shared" si="1"/>
        <v>0.10367641813892159</v>
      </c>
      <c r="F19" s="4">
        <f t="shared" si="0"/>
        <v>736.07499465016997</v>
      </c>
    </row>
    <row r="20" spans="1:7">
      <c r="A20" s="7">
        <v>42571</v>
      </c>
      <c r="B20" s="9">
        <v>0.33333333333333298</v>
      </c>
      <c r="C20" s="2">
        <v>8927</v>
      </c>
      <c r="D20" s="2">
        <v>4.8</v>
      </c>
      <c r="E20" s="3">
        <f t="shared" si="1"/>
        <v>0.10457201006564043</v>
      </c>
      <c r="F20" s="4">
        <f t="shared" si="0"/>
        <v>736.16634502669535</v>
      </c>
    </row>
    <row r="21" spans="1:7">
      <c r="A21" s="7">
        <v>42581</v>
      </c>
      <c r="B21" s="9">
        <v>0.33333333333333298</v>
      </c>
      <c r="C21" s="2">
        <v>8919.7999999999993</v>
      </c>
      <c r="D21" s="2">
        <v>4.8</v>
      </c>
      <c r="E21" s="3">
        <f t="shared" si="1"/>
        <v>0.10562917878156752</v>
      </c>
      <c r="F21" s="4">
        <f t="shared" si="0"/>
        <v>736.27417623571989</v>
      </c>
    </row>
    <row r="22" spans="1:7">
      <c r="A22" s="7">
        <v>42592</v>
      </c>
      <c r="B22" s="1">
        <v>0.33333333333333298</v>
      </c>
      <c r="C22" s="2">
        <v>8922.4</v>
      </c>
      <c r="D22" s="2">
        <v>4.8</v>
      </c>
      <c r="E22" s="3">
        <f t="shared" ref="E22:E43" si="2">($B$2*C22^2+$B$3*C22+$B$4)-$B$5*D22-$E$7</f>
        <v>0.1052474138442141</v>
      </c>
      <c r="F22" s="4">
        <f t="shared" si="0"/>
        <v>736.23523621210984</v>
      </c>
      <c r="G22" s="2"/>
    </row>
    <row r="23" spans="1:7">
      <c r="A23" s="7">
        <v>42602</v>
      </c>
      <c r="B23" s="1">
        <v>0.33333333333333298</v>
      </c>
      <c r="C23" s="2">
        <v>8923.1</v>
      </c>
      <c r="D23" s="2">
        <v>4.7</v>
      </c>
      <c r="E23" s="3">
        <f t="shared" si="2"/>
        <v>0.10484068982440967</v>
      </c>
      <c r="F23" s="4">
        <f t="shared" si="0"/>
        <v>736.19375036208976</v>
      </c>
      <c r="G23" s="2"/>
    </row>
    <row r="24" spans="1:7">
      <c r="A24" s="7">
        <v>42612</v>
      </c>
      <c r="B24" s="1">
        <v>0.33333333333333298</v>
      </c>
      <c r="C24" s="2">
        <v>8913.6</v>
      </c>
      <c r="D24" s="2">
        <v>4.7</v>
      </c>
      <c r="E24" s="3">
        <f t="shared" si="2"/>
        <v>0.10623564197117721</v>
      </c>
      <c r="F24" s="4">
        <f t="shared" si="0"/>
        <v>736.33603548106009</v>
      </c>
      <c r="G24" s="2"/>
    </row>
    <row r="25" spans="1:7">
      <c r="A25" s="6">
        <v>42623</v>
      </c>
      <c r="B25" s="1">
        <v>0.33333333333333298</v>
      </c>
      <c r="C25" s="2">
        <v>8905.7000000000007</v>
      </c>
      <c r="D25" s="2">
        <v>4.7</v>
      </c>
      <c r="E25" s="3">
        <f t="shared" si="2"/>
        <v>0.10739576477371651</v>
      </c>
      <c r="F25" s="4">
        <f t="shared" si="0"/>
        <v>736.45436800691914</v>
      </c>
      <c r="G25" s="2"/>
    </row>
    <row r="26" spans="1:7">
      <c r="A26" s="7">
        <v>42633</v>
      </c>
      <c r="B26" s="1">
        <v>0.33333333333333331</v>
      </c>
      <c r="C26" s="2">
        <v>8890.7999999999993</v>
      </c>
      <c r="D26" s="2">
        <v>4.7</v>
      </c>
      <c r="E26" s="3">
        <f t="shared" si="2"/>
        <v>0.10958411625774492</v>
      </c>
      <c r="F26" s="4">
        <f t="shared" si="0"/>
        <v>736.67757985828996</v>
      </c>
    </row>
    <row r="27" spans="1:7">
      <c r="A27" s="7">
        <v>42643</v>
      </c>
      <c r="B27" s="1">
        <v>0.33333333333333331</v>
      </c>
      <c r="C27" s="2">
        <v>8911.4</v>
      </c>
      <c r="D27" s="2">
        <v>4.7</v>
      </c>
      <c r="E27" s="3">
        <f t="shared" si="2"/>
        <v>0.10655870411233728</v>
      </c>
      <c r="F27" s="4">
        <f t="shared" si="0"/>
        <v>736.36898781945843</v>
      </c>
    </row>
    <row r="28" spans="1:7">
      <c r="A28" s="7">
        <v>42883</v>
      </c>
      <c r="B28" s="1">
        <v>0.33333333333333331</v>
      </c>
      <c r="C28" s="2">
        <v>8944.2999999999993</v>
      </c>
      <c r="D28" s="2">
        <v>4.9000000000000004</v>
      </c>
      <c r="E28" s="3">
        <f t="shared" si="2"/>
        <v>0.10233615063747667</v>
      </c>
      <c r="F28" s="4">
        <f t="shared" si="0"/>
        <v>735.93828736502257</v>
      </c>
    </row>
    <row r="29" spans="1:7">
      <c r="A29" s="7">
        <v>42885</v>
      </c>
      <c r="B29" s="1">
        <v>0.33333333333333331</v>
      </c>
      <c r="C29" s="2">
        <v>8946.7000000000007</v>
      </c>
      <c r="D29" s="2">
        <v>4.9000000000000004</v>
      </c>
      <c r="E29" s="3">
        <f t="shared" si="2"/>
        <v>0.10198384592695506</v>
      </c>
      <c r="F29" s="4">
        <f t="shared" si="0"/>
        <v>735.90235228454947</v>
      </c>
    </row>
    <row r="30" spans="1:7">
      <c r="A30" s="7">
        <v>42896</v>
      </c>
      <c r="B30" s="1">
        <v>0.33333333333333331</v>
      </c>
      <c r="C30" s="2">
        <v>8949.6</v>
      </c>
      <c r="D30" s="2">
        <v>4.9000000000000004</v>
      </c>
      <c r="E30" s="3">
        <f t="shared" si="2"/>
        <v>0.10155815669737242</v>
      </c>
      <c r="F30" s="4">
        <f t="shared" si="0"/>
        <v>735.85893198313204</v>
      </c>
    </row>
    <row r="31" spans="1:7">
      <c r="A31" s="7">
        <v>42906</v>
      </c>
      <c r="B31" s="1">
        <v>0.33333333333333331</v>
      </c>
      <c r="C31" s="2">
        <v>8948.5</v>
      </c>
      <c r="D31" s="2">
        <v>4.9000000000000004</v>
      </c>
      <c r="E31" s="3">
        <f t="shared" si="2"/>
        <v>0.10171962344188221</v>
      </c>
      <c r="F31" s="4">
        <f t="shared" si="0"/>
        <v>735.87540159107198</v>
      </c>
    </row>
    <row r="32" spans="1:7">
      <c r="A32" s="7">
        <v>42916</v>
      </c>
      <c r="B32" s="1">
        <v>0.33333333333333331</v>
      </c>
      <c r="C32" s="2">
        <v>8939.4</v>
      </c>
      <c r="D32" s="2">
        <v>4.9000000000000004</v>
      </c>
      <c r="E32" s="3">
        <f t="shared" si="2"/>
        <v>0.10305546803659979</v>
      </c>
      <c r="F32" s="4">
        <f t="shared" si="0"/>
        <v>736.01165773973321</v>
      </c>
    </row>
    <row r="33" spans="1:6">
      <c r="A33" s="7">
        <v>42926</v>
      </c>
      <c r="B33" s="1">
        <v>0.33333333333333331</v>
      </c>
      <c r="C33" s="2">
        <v>8954.9</v>
      </c>
      <c r="D33" s="2">
        <v>5</v>
      </c>
      <c r="E33" s="3">
        <f t="shared" si="2"/>
        <v>0.10108415069992022</v>
      </c>
      <c r="F33" s="4">
        <f t="shared" si="0"/>
        <v>735.81058337139189</v>
      </c>
    </row>
    <row r="34" spans="1:6">
      <c r="A34" s="7">
        <v>42936</v>
      </c>
      <c r="B34" s="1">
        <v>0.33333333333333331</v>
      </c>
      <c r="C34" s="2">
        <v>8952.6</v>
      </c>
      <c r="D34" s="2">
        <v>5</v>
      </c>
      <c r="E34" s="3">
        <f t="shared" si="2"/>
        <v>0.10142174568841406</v>
      </c>
      <c r="F34" s="4">
        <f t="shared" si="0"/>
        <v>735.84501806021819</v>
      </c>
    </row>
    <row r="35" spans="1:6">
      <c r="A35" s="7">
        <v>42946</v>
      </c>
      <c r="B35" s="1">
        <v>0.33333333333333331</v>
      </c>
      <c r="C35" s="2">
        <v>8959.2999999999993</v>
      </c>
      <c r="D35" s="2">
        <v>5</v>
      </c>
      <c r="E35" s="3">
        <f t="shared" si="2"/>
        <v>0.10043834039218064</v>
      </c>
      <c r="F35" s="4">
        <f t="shared" si="0"/>
        <v>735.74471072000244</v>
      </c>
    </row>
    <row r="36" spans="1:6">
      <c r="A36" s="7">
        <v>42957</v>
      </c>
      <c r="B36" s="1">
        <v>0.33333333333333331</v>
      </c>
      <c r="C36" s="2">
        <v>8952.4</v>
      </c>
      <c r="D36" s="2">
        <v>5</v>
      </c>
      <c r="E36" s="3">
        <f t="shared" si="2"/>
        <v>0.10145110217435821</v>
      </c>
      <c r="F36" s="4">
        <f t="shared" si="0"/>
        <v>735.84801242178457</v>
      </c>
    </row>
    <row r="37" spans="1:6">
      <c r="A37" s="7">
        <v>42967</v>
      </c>
      <c r="B37" s="1">
        <v>0.33333333333333331</v>
      </c>
      <c r="C37" s="2">
        <v>8956.4</v>
      </c>
      <c r="D37" s="2">
        <v>5</v>
      </c>
      <c r="E37" s="3">
        <f t="shared" si="2"/>
        <v>0.10086398461511331</v>
      </c>
      <c r="F37" s="4">
        <f t="shared" si="0"/>
        <v>735.78812643074161</v>
      </c>
    </row>
    <row r="38" spans="1:6">
      <c r="A38" s="7">
        <v>42977</v>
      </c>
      <c r="B38" s="1">
        <v>0.33333333333333331</v>
      </c>
      <c r="C38" s="2">
        <v>8952.4</v>
      </c>
      <c r="D38" s="2">
        <v>5.8</v>
      </c>
      <c r="E38" s="3">
        <f t="shared" si="2"/>
        <v>0.10388264617435822</v>
      </c>
      <c r="F38" s="4">
        <f t="shared" si="0"/>
        <v>736.09602990978453</v>
      </c>
    </row>
    <row r="39" spans="1:6">
      <c r="A39" s="7">
        <v>42988</v>
      </c>
      <c r="B39" s="1">
        <v>0.33333333333333331</v>
      </c>
      <c r="C39" s="2">
        <v>8951.2999999999993</v>
      </c>
      <c r="D39" s="2">
        <v>5.0999999999999996</v>
      </c>
      <c r="E39" s="3">
        <f t="shared" si="2"/>
        <v>0.10191650699101587</v>
      </c>
      <c r="F39" s="4">
        <f t="shared" si="0"/>
        <v>735.89548371308365</v>
      </c>
    </row>
    <row r="40" spans="1:6">
      <c r="A40" s="7">
        <v>42998</v>
      </c>
      <c r="B40" s="1">
        <v>0.33333333333333331</v>
      </c>
      <c r="C40" s="2">
        <v>8958.2999999999993</v>
      </c>
      <c r="D40" s="2">
        <v>5.3</v>
      </c>
      <c r="E40" s="3">
        <f t="shared" si="2"/>
        <v>0.10149694174220322</v>
      </c>
      <c r="F40" s="4">
        <f t="shared" si="0"/>
        <v>735.85268805770477</v>
      </c>
    </row>
    <row r="41" spans="1:6">
      <c r="A41" s="7">
        <v>43008</v>
      </c>
      <c r="B41" s="1">
        <v>0.33333333333333331</v>
      </c>
      <c r="C41" s="2">
        <v>8957.9</v>
      </c>
      <c r="D41" s="2">
        <v>5.2</v>
      </c>
      <c r="E41" s="3">
        <f t="shared" si="2"/>
        <v>0.10125170813019857</v>
      </c>
      <c r="F41" s="4">
        <f t="shared" si="0"/>
        <v>735.82767422928021</v>
      </c>
    </row>
    <row r="42" spans="1:6">
      <c r="A42" s="7">
        <v>43018</v>
      </c>
      <c r="B42" s="1">
        <v>0.33333333333333331</v>
      </c>
      <c r="C42" s="2">
        <v>8957.4</v>
      </c>
      <c r="D42" s="2">
        <v>5.0999999999999996</v>
      </c>
      <c r="E42" s="3">
        <f t="shared" si="2"/>
        <v>0.10102115222518218</v>
      </c>
      <c r="F42" s="4">
        <f t="shared" si="0"/>
        <v>735.80415752696854</v>
      </c>
    </row>
    <row r="43" spans="1:6">
      <c r="A43" s="7">
        <v>43230</v>
      </c>
      <c r="B43" s="1">
        <v>0.33333333333333331</v>
      </c>
      <c r="C43" s="2">
        <v>8971.4</v>
      </c>
      <c r="D43" s="2">
        <v>5.4</v>
      </c>
      <c r="E43" s="3">
        <f t="shared" si="2"/>
        <v>9.9878293761105408E-2</v>
      </c>
      <c r="F43" s="4">
        <f t="shared" si="0"/>
        <v>735.68758596363273</v>
      </c>
    </row>
    <row r="44" spans="1:6">
      <c r="A44" s="7">
        <v>43240</v>
      </c>
      <c r="B44" s="1">
        <v>0.33333333333333331</v>
      </c>
      <c r="C44" s="2">
        <v>8975.2999999999993</v>
      </c>
      <c r="D44" s="2">
        <v>5.6</v>
      </c>
      <c r="E44" s="3">
        <f>($B$2*C44^2+$B$3*C44+$B$4)-$B$5*D44-$E$7</f>
        <v>9.9913858385294319E-2</v>
      </c>
      <c r="F44" s="4">
        <f t="shared" si="0"/>
        <v>735.69121355530001</v>
      </c>
    </row>
    <row r="45" spans="1:6">
      <c r="A45" s="7">
        <v>43250</v>
      </c>
      <c r="B45" s="1">
        <v>0.33333333333333331</v>
      </c>
      <c r="C45" s="2">
        <v>8972.2000000000007</v>
      </c>
      <c r="D45" s="2">
        <v>5.7</v>
      </c>
      <c r="E45" s="3">
        <f>($B$2*C45^2+$B$3*C45+$B$4)-$B$5*D45-$E$7</f>
        <v>0.10067272152058801</v>
      </c>
      <c r="F45" s="4">
        <f t="shared" si="0"/>
        <v>735.76861759509995</v>
      </c>
    </row>
    <row r="46" spans="1:6">
      <c r="A46" s="7">
        <v>43261</v>
      </c>
      <c r="B46" s="1">
        <v>0.33333333333333331</v>
      </c>
      <c r="C46" s="2">
        <v>8967.1</v>
      </c>
      <c r="D46" s="2">
        <v>5.6</v>
      </c>
      <c r="E46" s="3">
        <f>($B$2*C46^2+$B$3*C46+$B$4)-$B$5*D46-$E$7</f>
        <v>0.10111722897235853</v>
      </c>
      <c r="F46" s="4">
        <f t="shared" si="0"/>
        <v>735.81395735518061</v>
      </c>
    </row>
    <row r="47" spans="1:6">
      <c r="A47" s="7">
        <v>43271</v>
      </c>
      <c r="B47" s="1">
        <v>0.33333333333333331</v>
      </c>
      <c r="C47" s="2">
        <v>8902.4</v>
      </c>
      <c r="D47" s="2">
        <v>6</v>
      </c>
      <c r="E47" s="3">
        <f>($B$2*C47^2+$B$3*C47+$B$4)-$B$5*D47-$E$7</f>
        <v>0.11183166160011815</v>
      </c>
      <c r="F47" s="4">
        <f t="shared" si="0"/>
        <v>736.90682948321205</v>
      </c>
    </row>
    <row r="48" spans="1:6">
      <c r="A48" s="7">
        <v>43281</v>
      </c>
      <c r="B48" s="1">
        <v>0.33333333333333331</v>
      </c>
      <c r="C48" s="2">
        <v>8916.5</v>
      </c>
      <c r="D48" s="2">
        <v>5.6</v>
      </c>
      <c r="E48" s="3">
        <f>($B$2*C48^2+$B$3*C48+$B$4)-$B$5*D48-$E$7</f>
        <v>0.10854528616220227</v>
      </c>
      <c r="F48" s="4">
        <f t="shared" si="0"/>
        <v>736.57161918854467</v>
      </c>
    </row>
    <row r="49" spans="1:6">
      <c r="A49" s="7">
        <v>43291</v>
      </c>
      <c r="B49" s="1">
        <v>0.33333333333333331</v>
      </c>
      <c r="C49" s="2">
        <v>8941.1</v>
      </c>
      <c r="D49" s="2">
        <v>6.7</v>
      </c>
      <c r="E49" s="3">
        <f t="shared" ref="E49:E52" si="3">($B$2*C49^2+$B$3*C49+$B$4)-$B$5*D49-$E$7</f>
        <v>0.10827687858707527</v>
      </c>
      <c r="F49" s="4">
        <f t="shared" ref="F49:F52" si="4">$D$1+102*E49</f>
        <v>736.54424161588167</v>
      </c>
    </row>
    <row r="50" spans="1:6">
      <c r="A50" s="7">
        <v>43301</v>
      </c>
      <c r="B50" s="1">
        <v>0.33333333333333331</v>
      </c>
      <c r="C50" s="2">
        <v>8944.2000000000007</v>
      </c>
      <c r="D50" s="2">
        <v>5.8</v>
      </c>
      <c r="E50" s="3">
        <f t="shared" si="3"/>
        <v>0.10508631720040879</v>
      </c>
      <c r="F50" s="4">
        <f t="shared" si="4"/>
        <v>736.21880435444166</v>
      </c>
    </row>
    <row r="51" spans="1:6">
      <c r="A51" s="7">
        <v>43311</v>
      </c>
      <c r="B51" s="1">
        <v>0.33333333333333331</v>
      </c>
      <c r="C51" s="2">
        <v>8940.2000000000007</v>
      </c>
      <c r="D51" s="2">
        <v>5.7</v>
      </c>
      <c r="E51" s="3">
        <f t="shared" si="3"/>
        <v>0.10536956983731136</v>
      </c>
      <c r="F51" s="4">
        <f t="shared" si="4"/>
        <v>736.24769612340572</v>
      </c>
    </row>
    <row r="52" spans="1:6">
      <c r="A52" s="7">
        <v>43322</v>
      </c>
      <c r="B52" s="1">
        <v>0.33333333333333331</v>
      </c>
      <c r="C52" s="2">
        <v>8920.1</v>
      </c>
      <c r="D52" s="2">
        <v>5.8</v>
      </c>
      <c r="E52" s="3">
        <f t="shared" si="3"/>
        <v>0.10862455842912005</v>
      </c>
      <c r="F52" s="4">
        <f t="shared" si="4"/>
        <v>736.5797049597702</v>
      </c>
    </row>
    <row r="53" spans="1:6">
      <c r="A53" s="7">
        <v>43332</v>
      </c>
      <c r="B53" s="1">
        <v>0.33333333333333331</v>
      </c>
      <c r="C53" s="2">
        <v>8932.5</v>
      </c>
      <c r="D53" s="2">
        <v>6</v>
      </c>
      <c r="E53" s="3">
        <f t="shared" ref="E53:E70" si="5">($B$2*C53^2+$B$3*C53+$B$4)-$B$5*D53-$E$7</f>
        <v>0.10741182250818648</v>
      </c>
      <c r="F53" s="4">
        <f t="shared" ref="F53:F70" si="6">$D$1+102*E53</f>
        <v>736.45600589583501</v>
      </c>
    </row>
    <row r="54" spans="1:6">
      <c r="A54" s="7">
        <v>43342</v>
      </c>
      <c r="B54" s="1">
        <v>0.33333333333333331</v>
      </c>
      <c r="C54" s="2">
        <v>8927.5</v>
      </c>
      <c r="D54" s="2">
        <v>5.9</v>
      </c>
      <c r="E54" s="3">
        <f t="shared" si="5"/>
        <v>0.10784197165138623</v>
      </c>
      <c r="F54" s="4">
        <f t="shared" si="6"/>
        <v>736.4998811084414</v>
      </c>
    </row>
    <row r="55" spans="1:6">
      <c r="A55" s="7">
        <v>43353</v>
      </c>
      <c r="B55" s="1">
        <v>0.33333333333333331</v>
      </c>
      <c r="C55" s="2">
        <v>8919.4</v>
      </c>
      <c r="D55" s="2">
        <v>5.7</v>
      </c>
      <c r="E55" s="3">
        <f t="shared" si="5"/>
        <v>0.10842339980882373</v>
      </c>
      <c r="F55" s="4">
        <f t="shared" si="6"/>
        <v>736.5591867805</v>
      </c>
    </row>
    <row r="56" spans="1:6">
      <c r="A56" s="7">
        <v>43363</v>
      </c>
      <c r="B56" s="1">
        <v>0.33333333333333331</v>
      </c>
      <c r="C56" s="2">
        <v>8908.7000000000007</v>
      </c>
      <c r="D56" s="2">
        <v>5.7</v>
      </c>
      <c r="E56" s="3">
        <f t="shared" si="5"/>
        <v>0.10999463005107965</v>
      </c>
      <c r="F56" s="4">
        <f t="shared" si="6"/>
        <v>736.71945226521018</v>
      </c>
    </row>
    <row r="57" spans="1:6">
      <c r="A57" s="7">
        <v>43373</v>
      </c>
      <c r="B57" s="1">
        <v>0.33333333333333331</v>
      </c>
      <c r="C57" s="2">
        <v>8923.4</v>
      </c>
      <c r="D57" s="2">
        <v>5.6</v>
      </c>
      <c r="E57" s="3">
        <f t="shared" si="5"/>
        <v>0.10753212805591494</v>
      </c>
      <c r="F57" s="4">
        <f t="shared" si="6"/>
        <v>736.46827706170336</v>
      </c>
    </row>
    <row r="58" spans="1:6">
      <c r="A58" s="7">
        <v>43383</v>
      </c>
      <c r="B58" s="1">
        <v>0.33333333333333331</v>
      </c>
      <c r="C58" s="2">
        <v>8924.2000000000007</v>
      </c>
      <c r="D58" s="2">
        <v>5.6</v>
      </c>
      <c r="E58" s="3">
        <f t="shared" si="5"/>
        <v>0.10741466537724076</v>
      </c>
      <c r="F58" s="4">
        <f t="shared" si="6"/>
        <v>736.45629586847861</v>
      </c>
    </row>
    <row r="59" spans="1:6">
      <c r="A59" s="7">
        <v>43393</v>
      </c>
      <c r="B59" s="1">
        <v>0.33333333333333331</v>
      </c>
      <c r="C59" s="2">
        <v>8925.7000000000007</v>
      </c>
      <c r="D59" s="2">
        <v>5.5</v>
      </c>
      <c r="E59" s="3">
        <f t="shared" si="5"/>
        <v>0.10689048261464443</v>
      </c>
      <c r="F59" s="4">
        <f t="shared" si="6"/>
        <v>736.40282922669371</v>
      </c>
    </row>
    <row r="60" spans="1:6">
      <c r="A60" s="7">
        <v>43605</v>
      </c>
      <c r="B60" s="1">
        <v>0.33333333333333331</v>
      </c>
      <c r="C60" s="2">
        <v>8947.6</v>
      </c>
      <c r="D60" s="2">
        <v>5.3</v>
      </c>
      <c r="E60" s="3">
        <f t="shared" si="5"/>
        <v>0.10306750603643797</v>
      </c>
      <c r="F60" s="4">
        <f t="shared" si="6"/>
        <v>736.01288561571664</v>
      </c>
    </row>
    <row r="61" spans="1:6">
      <c r="A61" s="7">
        <v>43615</v>
      </c>
      <c r="B61" s="1">
        <v>0.33333333333333331</v>
      </c>
      <c r="C61" s="2">
        <v>8949.7000000000007</v>
      </c>
      <c r="D61" s="2">
        <v>5.3</v>
      </c>
      <c r="E61" s="3">
        <f t="shared" si="5"/>
        <v>0.1027592499984141</v>
      </c>
      <c r="F61" s="4">
        <f t="shared" si="6"/>
        <v>735.98144349983829</v>
      </c>
    </row>
    <row r="62" spans="1:6">
      <c r="A62" s="7">
        <v>43626</v>
      </c>
      <c r="B62" s="1">
        <v>0.33333333333333331</v>
      </c>
      <c r="C62" s="2">
        <v>8951.2000000000007</v>
      </c>
      <c r="D62" s="2">
        <v>5.5</v>
      </c>
      <c r="E62" s="3">
        <f t="shared" si="5"/>
        <v>0.10314695743398164</v>
      </c>
      <c r="F62" s="4">
        <f t="shared" si="6"/>
        <v>736.0209896582661</v>
      </c>
    </row>
    <row r="63" spans="1:6">
      <c r="A63" s="7">
        <v>43636</v>
      </c>
      <c r="B63" s="1">
        <v>0.33333333333333331</v>
      </c>
      <c r="C63" s="2">
        <v>8953.4</v>
      </c>
      <c r="D63" s="2">
        <v>5.7</v>
      </c>
      <c r="E63" s="3">
        <f t="shared" si="5"/>
        <v>0.10343192138461885</v>
      </c>
      <c r="F63" s="4">
        <f t="shared" si="6"/>
        <v>736.05005598123114</v>
      </c>
    </row>
    <row r="64" spans="1:6">
      <c r="A64" s="7">
        <v>43646</v>
      </c>
      <c r="B64" s="1">
        <v>0.33333333333333331</v>
      </c>
      <c r="C64" s="2">
        <v>8950.7000000000007</v>
      </c>
      <c r="D64" s="2">
        <v>5.7</v>
      </c>
      <c r="E64" s="3">
        <f t="shared" si="5"/>
        <v>0.10382823588880449</v>
      </c>
      <c r="F64" s="4">
        <f t="shared" si="6"/>
        <v>736.09048006065802</v>
      </c>
    </row>
    <row r="65" spans="1:6">
      <c r="A65" s="7">
        <v>43656</v>
      </c>
      <c r="B65" s="1">
        <v>0.33333333333333331</v>
      </c>
      <c r="C65" s="2">
        <v>8945.2999999999993</v>
      </c>
      <c r="D65" s="2">
        <v>5.9</v>
      </c>
      <c r="E65" s="3">
        <f t="shared" si="5"/>
        <v>0.10522878588812637</v>
      </c>
      <c r="F65" s="4">
        <f t="shared" si="6"/>
        <v>736.23333616058892</v>
      </c>
    </row>
    <row r="66" spans="1:6">
      <c r="A66" s="7">
        <v>43666</v>
      </c>
      <c r="B66" s="1">
        <v>0.33333333333333331</v>
      </c>
      <c r="C66" s="2">
        <v>8941.6</v>
      </c>
      <c r="D66" s="2">
        <v>6</v>
      </c>
      <c r="E66" s="3">
        <f t="shared" si="5"/>
        <v>0.1060758774524827</v>
      </c>
      <c r="F66" s="4">
        <f t="shared" si="6"/>
        <v>736.31973950015322</v>
      </c>
    </row>
    <row r="67" spans="1:6">
      <c r="A67" s="7">
        <v>43676</v>
      </c>
      <c r="B67" s="1">
        <v>0.33333333333333331</v>
      </c>
      <c r="C67" s="2">
        <v>8938.9</v>
      </c>
      <c r="D67" s="2">
        <v>5.8</v>
      </c>
      <c r="E67" s="3">
        <f t="shared" si="5"/>
        <v>0.10586435693113921</v>
      </c>
      <c r="F67" s="4">
        <f t="shared" si="6"/>
        <v>736.29816440697618</v>
      </c>
    </row>
    <row r="68" spans="1:6">
      <c r="A68" s="7">
        <v>43687</v>
      </c>
      <c r="B68" s="9">
        <v>0.33333333333333331</v>
      </c>
      <c r="C68" s="2">
        <v>8903.5</v>
      </c>
      <c r="D68" s="2">
        <v>5.8</v>
      </c>
      <c r="E68" s="3">
        <f t="shared" si="5"/>
        <v>0.11106222772204227</v>
      </c>
      <c r="F68" s="4">
        <f t="shared" si="6"/>
        <v>736.82834722764835</v>
      </c>
    </row>
    <row r="69" spans="1:6">
      <c r="A69" s="7">
        <v>43697</v>
      </c>
      <c r="B69" s="1">
        <v>0.33333333333333331</v>
      </c>
      <c r="C69" s="2">
        <v>8891.2000000000007</v>
      </c>
      <c r="D69" s="2">
        <v>5.8</v>
      </c>
      <c r="E69" s="3">
        <f t="shared" si="5"/>
        <v>0.11286873692703753</v>
      </c>
      <c r="F69" s="4">
        <f t="shared" si="6"/>
        <v>737.0126111665578</v>
      </c>
    </row>
    <row r="70" spans="1:6">
      <c r="A70" s="7">
        <v>43707</v>
      </c>
      <c r="B70" s="9">
        <v>0.33333333333333331</v>
      </c>
      <c r="C70" s="2">
        <v>8882.4</v>
      </c>
      <c r="D70" s="2">
        <v>5.8</v>
      </c>
      <c r="E70" s="3">
        <f t="shared" si="5"/>
        <v>0.11416134733682209</v>
      </c>
      <c r="F70" s="4">
        <f t="shared" si="6"/>
        <v>737.14445742835585</v>
      </c>
    </row>
  </sheetData>
  <phoneticPr fontId="4" type="noConversion"/>
  <pageMargins left="0.69930555555555596" right="0.69930555555555596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"/>
  <sheetViews>
    <sheetView topLeftCell="A37" workbookViewId="0">
      <selection activeCell="A45" sqref="A45:B51"/>
    </sheetView>
  </sheetViews>
  <sheetFormatPr defaultColWidth="9" defaultRowHeight="13.5"/>
  <cols>
    <col min="1" max="1" width="11.125" customWidth="1"/>
    <col min="2" max="2" width="13.875" customWidth="1"/>
    <col min="3" max="3" width="9.5" bestFit="1" customWidth="1"/>
  </cols>
  <sheetData>
    <row r="1" spans="1:7">
      <c r="A1" t="s">
        <v>0</v>
      </c>
      <c r="B1">
        <v>50358</v>
      </c>
      <c r="C1" t="s">
        <v>1</v>
      </c>
      <c r="D1">
        <v>750</v>
      </c>
    </row>
    <row r="2" spans="1:7">
      <c r="A2" t="s">
        <v>2</v>
      </c>
      <c r="B2" s="10">
        <v>7.3138100000000002E-10</v>
      </c>
    </row>
    <row r="3" spans="1:7">
      <c r="A3" t="s">
        <v>3</v>
      </c>
      <c r="B3">
        <v>-7.9414999999999998E-5</v>
      </c>
    </row>
    <row r="4" spans="1:7">
      <c r="A4" t="s">
        <v>4</v>
      </c>
      <c r="B4">
        <v>0.63823425</v>
      </c>
    </row>
    <row r="5" spans="1:7">
      <c r="A5" t="s">
        <v>5</v>
      </c>
      <c r="B5">
        <v>-8.57233E-4</v>
      </c>
    </row>
    <row r="6" spans="1:7">
      <c r="A6" t="s">
        <v>6</v>
      </c>
      <c r="B6" t="s">
        <v>7</v>
      </c>
      <c r="C6" t="s">
        <v>8</v>
      </c>
      <c r="D6" t="s">
        <v>9</v>
      </c>
      <c r="E6" t="s">
        <v>10</v>
      </c>
      <c r="F6" t="s">
        <v>11</v>
      </c>
      <c r="G6" t="s">
        <v>12</v>
      </c>
    </row>
    <row r="7" spans="1:7">
      <c r="A7" s="6">
        <v>42928</v>
      </c>
      <c r="B7" s="1">
        <v>0.27083333333333331</v>
      </c>
      <c r="C7" s="2">
        <v>8778.4</v>
      </c>
      <c r="D7" s="2">
        <v>18.3</v>
      </c>
      <c r="E7" s="3">
        <f>($B$2*C7^2+$B$3*C7+$B$4)-$B$5*D7</f>
        <v>1.3145421972159371E-2</v>
      </c>
      <c r="G7" t="s">
        <v>13</v>
      </c>
    </row>
    <row r="8" spans="1:7">
      <c r="A8" s="7">
        <v>42928</v>
      </c>
      <c r="B8" s="16">
        <v>0.33333333333333331</v>
      </c>
      <c r="C8" s="2">
        <v>8713.5</v>
      </c>
      <c r="D8" s="2">
        <v>15.1</v>
      </c>
      <c r="E8" s="3">
        <f t="shared" ref="E8:E29" si="0">($B$2*C8^2+$B$3*C8+$B$4)-$B$5*D8-$E$7</f>
        <v>1.5806064089278708E-3</v>
      </c>
      <c r="F8" s="4">
        <f>$D$1+102*E8</f>
        <v>750.16122185371069</v>
      </c>
      <c r="G8" s="5" t="s">
        <v>14</v>
      </c>
    </row>
    <row r="9" spans="1:7">
      <c r="A9" s="7">
        <v>42929</v>
      </c>
      <c r="B9" s="16">
        <v>0.33333333333333331</v>
      </c>
      <c r="C9" s="2">
        <v>8726.4</v>
      </c>
      <c r="D9" s="2">
        <v>17.2</v>
      </c>
      <c r="E9" s="3">
        <f t="shared" si="0"/>
        <v>2.5208844373025459E-3</v>
      </c>
      <c r="F9" s="4">
        <f t="shared" ref="F9:F29" si="1">$D$1+102*E9</f>
        <v>750.25713021260481</v>
      </c>
    </row>
    <row r="10" spans="1:7">
      <c r="A10" s="7">
        <v>42930</v>
      </c>
      <c r="B10" s="16">
        <v>0.33333333333333331</v>
      </c>
      <c r="C10" s="2">
        <v>8748.1</v>
      </c>
      <c r="D10" s="2">
        <v>18.7</v>
      </c>
      <c r="E10" s="3">
        <f t="shared" si="0"/>
        <v>2.3607656623760576E-3</v>
      </c>
      <c r="F10" s="4">
        <f t="shared" si="1"/>
        <v>750.24079809756233</v>
      </c>
    </row>
    <row r="11" spans="1:7">
      <c r="A11" s="7">
        <v>42931</v>
      </c>
      <c r="B11" s="16">
        <v>0.33333333333333331</v>
      </c>
      <c r="C11" s="2">
        <v>8742.4</v>
      </c>
      <c r="D11" s="2">
        <v>18.8</v>
      </c>
      <c r="E11" s="3">
        <f t="shared" si="0"/>
        <v>2.8262388119072099E-3</v>
      </c>
      <c r="F11" s="4">
        <f t="shared" si="1"/>
        <v>750.28827635881453</v>
      </c>
    </row>
    <row r="12" spans="1:7">
      <c r="A12" s="7">
        <v>42932</v>
      </c>
      <c r="B12" s="16">
        <v>0.33333333333333331</v>
      </c>
      <c r="C12" s="2">
        <v>8736.6</v>
      </c>
      <c r="D12" s="2">
        <v>18.8</v>
      </c>
      <c r="E12" s="3">
        <f t="shared" si="0"/>
        <v>3.2126997226129203E-3</v>
      </c>
      <c r="F12" s="4">
        <f t="shared" si="1"/>
        <v>750.32769537170657</v>
      </c>
    </row>
    <row r="13" spans="1:7">
      <c r="A13" s="7">
        <v>42933</v>
      </c>
      <c r="B13" s="16">
        <v>0.33333333333333331</v>
      </c>
      <c r="C13" s="2">
        <v>8750.1</v>
      </c>
      <c r="D13" s="2">
        <v>19.3</v>
      </c>
      <c r="E13" s="3">
        <f t="shared" si="0"/>
        <v>2.7418711644044275E-3</v>
      </c>
      <c r="F13" s="4">
        <f t="shared" si="1"/>
        <v>750.27967085876924</v>
      </c>
    </row>
    <row r="14" spans="1:7">
      <c r="A14" s="7">
        <v>42934</v>
      </c>
      <c r="B14" s="16">
        <v>0.33333333333333331</v>
      </c>
      <c r="C14" s="2">
        <v>8756.2999999999993</v>
      </c>
      <c r="D14" s="2">
        <v>19.600000000000001</v>
      </c>
      <c r="E14" s="3">
        <f t="shared" si="0"/>
        <v>2.5860519241025712E-3</v>
      </c>
      <c r="F14" s="4">
        <f t="shared" si="1"/>
        <v>750.26377729625847</v>
      </c>
    </row>
    <row r="15" spans="1:7">
      <c r="A15" s="7">
        <v>42936</v>
      </c>
      <c r="B15" s="16">
        <v>0.33333333333333331</v>
      </c>
      <c r="C15" s="2">
        <v>8762.7999999999993</v>
      </c>
      <c r="D15" s="2">
        <v>20.399999999999999</v>
      </c>
      <c r="E15" s="3">
        <f t="shared" si="0"/>
        <v>2.8389262138037372E-3</v>
      </c>
      <c r="F15" s="4">
        <f t="shared" si="1"/>
        <v>750.289570473808</v>
      </c>
    </row>
    <row r="16" spans="1:7">
      <c r="A16" s="7">
        <v>42946</v>
      </c>
      <c r="B16" s="16">
        <v>0.33333333333333331</v>
      </c>
      <c r="C16" s="2">
        <v>8792.7000000000007</v>
      </c>
      <c r="D16" s="2">
        <v>22.5</v>
      </c>
      <c r="E16" s="3">
        <f t="shared" si="0"/>
        <v>2.6485158122540493E-3</v>
      </c>
      <c r="F16" s="4">
        <f t="shared" si="1"/>
        <v>750.27014861284988</v>
      </c>
    </row>
    <row r="17" spans="1:7">
      <c r="A17" s="7">
        <v>42957</v>
      </c>
      <c r="B17" s="1">
        <v>0.33333333333333331</v>
      </c>
      <c r="C17" s="2">
        <v>8780.2999999999993</v>
      </c>
      <c r="D17" s="2">
        <v>22.5</v>
      </c>
      <c r="E17" s="3">
        <f t="shared" si="0"/>
        <v>3.4738900891729159E-3</v>
      </c>
      <c r="F17" s="4">
        <f t="shared" si="1"/>
        <v>750.35433678909567</v>
      </c>
    </row>
    <row r="18" spans="1:7">
      <c r="A18" s="7">
        <v>42967</v>
      </c>
      <c r="B18" s="9">
        <v>0.33333333333333331</v>
      </c>
      <c r="C18" s="2">
        <v>8786.9</v>
      </c>
      <c r="D18" s="2">
        <v>22</v>
      </c>
      <c r="E18" s="3">
        <f t="shared" si="0"/>
        <v>2.6059334767741492E-3</v>
      </c>
      <c r="F18" s="4">
        <f t="shared" si="1"/>
        <v>750.26580521463097</v>
      </c>
    </row>
    <row r="19" spans="1:7">
      <c r="A19" s="7">
        <v>42977</v>
      </c>
      <c r="B19" s="1">
        <v>0.33333333333333331</v>
      </c>
      <c r="C19" s="2">
        <v>8766.2999999999993</v>
      </c>
      <c r="D19" s="2">
        <v>22</v>
      </c>
      <c r="E19" s="3">
        <f t="shared" si="0"/>
        <v>3.9774180912086309E-3</v>
      </c>
      <c r="F19" s="4">
        <f t="shared" si="1"/>
        <v>750.40569664530324</v>
      </c>
    </row>
    <row r="20" spans="1:7">
      <c r="A20" s="7">
        <v>42988</v>
      </c>
      <c r="B20" s="1">
        <v>0.33333333333333331</v>
      </c>
      <c r="C20" s="2">
        <v>8751.7999999999993</v>
      </c>
      <c r="D20" s="2">
        <v>21.5</v>
      </c>
      <c r="E20" s="3">
        <f t="shared" si="0"/>
        <v>4.5145392115151263E-3</v>
      </c>
      <c r="F20" s="4">
        <f t="shared" si="1"/>
        <v>750.46048299957454</v>
      </c>
    </row>
    <row r="21" spans="1:7">
      <c r="A21" s="7">
        <v>42998</v>
      </c>
      <c r="B21" s="1">
        <v>0.33333333333333331</v>
      </c>
      <c r="C21" s="2">
        <v>8761.4</v>
      </c>
      <c r="D21" s="2">
        <v>20.7</v>
      </c>
      <c r="E21" s="3">
        <f t="shared" si="0"/>
        <v>3.1893335001154655E-3</v>
      </c>
      <c r="F21" s="4">
        <f t="shared" si="1"/>
        <v>750.32531201701181</v>
      </c>
    </row>
    <row r="22" spans="1:7">
      <c r="A22" s="7">
        <v>43008</v>
      </c>
      <c r="B22" s="1">
        <v>0.33333333333333331</v>
      </c>
      <c r="C22" s="2">
        <v>8767.5</v>
      </c>
      <c r="D22" s="2">
        <v>21.3</v>
      </c>
      <c r="E22" s="3">
        <f t="shared" si="0"/>
        <v>3.2974456570218531E-3</v>
      </c>
      <c r="F22" s="4">
        <f t="shared" si="1"/>
        <v>750.33633945701627</v>
      </c>
    </row>
    <row r="23" spans="1:7">
      <c r="A23" s="7">
        <v>43018</v>
      </c>
      <c r="B23" s="1">
        <v>0.33333333333333331</v>
      </c>
      <c r="C23" s="2">
        <v>8745.7000000000007</v>
      </c>
      <c r="D23" s="2">
        <v>19.7</v>
      </c>
      <c r="E23" s="3">
        <f t="shared" si="0"/>
        <v>3.3778875433252559E-3</v>
      </c>
      <c r="F23" s="4">
        <f t="shared" si="1"/>
        <v>750.34454452941918</v>
      </c>
    </row>
    <row r="24" spans="1:7">
      <c r="A24" s="7">
        <v>43230</v>
      </c>
      <c r="B24" s="1">
        <v>0.33333333333333331</v>
      </c>
      <c r="C24" s="2">
        <v>8627.1</v>
      </c>
      <c r="D24" s="2">
        <v>8.5</v>
      </c>
      <c r="E24" s="3">
        <f t="shared" si="0"/>
        <v>1.6885492330808195E-3</v>
      </c>
      <c r="F24" s="4">
        <f t="shared" si="1"/>
        <v>750.17223202177422</v>
      </c>
      <c r="G24" s="2"/>
    </row>
    <row r="25" spans="1:7">
      <c r="A25" s="7">
        <v>43240</v>
      </c>
      <c r="B25" s="1">
        <v>0.33333333333333331</v>
      </c>
      <c r="C25" s="2">
        <v>8621.7000000000007</v>
      </c>
      <c r="D25" s="2">
        <v>8.6999999999999993</v>
      </c>
      <c r="E25" s="3">
        <f t="shared" si="0"/>
        <v>2.2207134322796852E-3</v>
      </c>
      <c r="F25" s="4">
        <f t="shared" si="1"/>
        <v>750.22651277009254</v>
      </c>
      <c r="G25" s="2"/>
    </row>
    <row r="26" spans="1:7">
      <c r="A26" s="7">
        <v>43250</v>
      </c>
      <c r="B26" s="1">
        <v>0.33333333333333331</v>
      </c>
      <c r="C26" s="2">
        <v>8613.5</v>
      </c>
      <c r="D26" s="2">
        <v>8.5</v>
      </c>
      <c r="E26" s="3">
        <f t="shared" si="0"/>
        <v>2.5971047502279E-3</v>
      </c>
      <c r="F26" s="4">
        <f t="shared" si="1"/>
        <v>750.26490468452323</v>
      </c>
      <c r="G26" s="2"/>
    </row>
    <row r="27" spans="1:7">
      <c r="A27" s="6">
        <v>43261</v>
      </c>
      <c r="B27" s="1">
        <v>0.33333333333333331</v>
      </c>
      <c r="C27" s="2">
        <v>8620.7000000000007</v>
      </c>
      <c r="D27" s="2">
        <v>8.1999999999999993</v>
      </c>
      <c r="E27" s="3">
        <f t="shared" si="0"/>
        <v>1.8589011685252958E-3</v>
      </c>
      <c r="F27" s="4">
        <f t="shared" si="1"/>
        <v>750.1896079191896</v>
      </c>
      <c r="G27" s="2"/>
    </row>
    <row r="28" spans="1:7">
      <c r="A28" s="7">
        <v>43271</v>
      </c>
      <c r="B28" s="1">
        <v>0.33333333333333331</v>
      </c>
      <c r="C28" s="2">
        <v>8619.6</v>
      </c>
      <c r="D28" s="2">
        <v>7.9</v>
      </c>
      <c r="E28" s="3">
        <f t="shared" si="0"/>
        <v>1.675217617885515E-3</v>
      </c>
      <c r="F28" s="4">
        <f t="shared" si="1"/>
        <v>750.17087219702432</v>
      </c>
    </row>
    <row r="29" spans="1:7">
      <c r="A29" s="7">
        <v>43281</v>
      </c>
      <c r="B29" s="1">
        <v>0.33333333333333331</v>
      </c>
      <c r="C29" s="2">
        <v>8616.5</v>
      </c>
      <c r="D29" s="2">
        <v>7.9</v>
      </c>
      <c r="E29" s="3">
        <f t="shared" si="0"/>
        <v>1.8823250341179366E-3</v>
      </c>
      <c r="F29" s="4">
        <f t="shared" si="1"/>
        <v>750.19199715347997</v>
      </c>
    </row>
    <row r="30" spans="1:7">
      <c r="A30" s="7">
        <v>43291</v>
      </c>
      <c r="B30" s="1">
        <v>0.33333333333333331</v>
      </c>
      <c r="C30" s="2">
        <v>8627.5</v>
      </c>
      <c r="D30" s="2">
        <v>8.5</v>
      </c>
      <c r="E30" s="3">
        <f t="shared" ref="E30:E33" si="2">($B$2*C30^2+$B$3*C30+$B$4)-$B$5*D30-$E$7</f>
        <v>1.6618311077218929E-3</v>
      </c>
      <c r="F30" s="4">
        <f t="shared" ref="F30:F33" si="3">$D$1+102*E30</f>
        <v>750.16950677298769</v>
      </c>
    </row>
    <row r="31" spans="1:7">
      <c r="A31" s="7">
        <v>43301</v>
      </c>
      <c r="B31" s="1">
        <v>0.33333333333333331</v>
      </c>
      <c r="C31" s="2">
        <v>8623.9</v>
      </c>
      <c r="D31" s="2">
        <v>8.6999999999999993</v>
      </c>
      <c r="E31" s="3">
        <f t="shared" si="2"/>
        <v>2.0737492614616316E-3</v>
      </c>
      <c r="F31" s="4">
        <f t="shared" si="3"/>
        <v>750.21152242466906</v>
      </c>
    </row>
    <row r="32" spans="1:7">
      <c r="A32" s="7">
        <v>43311</v>
      </c>
      <c r="B32" s="1">
        <v>0.33333333333333331</v>
      </c>
      <c r="C32" s="2">
        <v>8619.9</v>
      </c>
      <c r="D32" s="2">
        <v>8.9</v>
      </c>
      <c r="E32" s="3">
        <f t="shared" si="2"/>
        <v>2.5124087107104322E-3</v>
      </c>
      <c r="F32" s="4">
        <f t="shared" si="3"/>
        <v>750.25626568849248</v>
      </c>
    </row>
    <row r="33" spans="1:6">
      <c r="A33" s="7">
        <v>43322</v>
      </c>
      <c r="B33" s="1">
        <v>0.33333333333333331</v>
      </c>
      <c r="C33" s="2">
        <v>8624.6</v>
      </c>
      <c r="D33" s="2">
        <v>9.5</v>
      </c>
      <c r="E33" s="3">
        <f t="shared" si="2"/>
        <v>2.712775819086622E-3</v>
      </c>
      <c r="F33" s="4">
        <f t="shared" si="3"/>
        <v>750.27670313354679</v>
      </c>
    </row>
    <row r="34" spans="1:6">
      <c r="A34" s="7">
        <v>43332</v>
      </c>
      <c r="B34" s="1">
        <v>0.33333333333333331</v>
      </c>
      <c r="C34" s="2">
        <v>8638</v>
      </c>
      <c r="D34" s="2">
        <v>9.6999999999999993</v>
      </c>
      <c r="E34" s="3">
        <f t="shared" ref="E34:E51" si="4">($B$2*C34^2+$B$3*C34+$B$4)-$B$5*D34-$E$7</f>
        <v>1.989243623604673E-3</v>
      </c>
      <c r="F34" s="4">
        <f t="shared" ref="F34:F51" si="5">$D$1+102*E34</f>
        <v>750.20290284960765</v>
      </c>
    </row>
    <row r="35" spans="1:6">
      <c r="A35" s="7">
        <v>43342</v>
      </c>
      <c r="B35" s="1">
        <v>0.33333333333333331</v>
      </c>
      <c r="C35" s="2">
        <v>8642.1</v>
      </c>
      <c r="D35" s="2">
        <v>10.199999999999999</v>
      </c>
      <c r="E35" s="3">
        <f t="shared" si="4"/>
        <v>2.1440758045588836E-3</v>
      </c>
      <c r="F35" s="4">
        <f t="shared" si="5"/>
        <v>750.21869573206504</v>
      </c>
    </row>
    <row r="36" spans="1:6">
      <c r="A36" s="7">
        <v>43353</v>
      </c>
      <c r="B36" s="1">
        <v>0.33333333333333331</v>
      </c>
      <c r="C36" s="2">
        <v>8647.9</v>
      </c>
      <c r="D36" s="2">
        <v>10.6</v>
      </c>
      <c r="E36" s="3">
        <f t="shared" si="4"/>
        <v>2.0997063540008874E-3</v>
      </c>
      <c r="F36" s="4">
        <f t="shared" si="5"/>
        <v>750.21417004810814</v>
      </c>
    </row>
    <row r="37" spans="1:6">
      <c r="A37" s="7">
        <v>43363</v>
      </c>
      <c r="B37" s="1">
        <v>0.33333333333333331</v>
      </c>
      <c r="C37" s="2">
        <v>8634</v>
      </c>
      <c r="D37" s="2">
        <v>11</v>
      </c>
      <c r="E37" s="3">
        <f t="shared" si="4"/>
        <v>3.3707768730766863E-3</v>
      </c>
      <c r="F37" s="4">
        <f t="shared" si="5"/>
        <v>750.34381924105378</v>
      </c>
    </row>
    <row r="38" spans="1:6">
      <c r="A38" s="7">
        <v>43373</v>
      </c>
      <c r="B38" s="1">
        <v>0.33333333333333331</v>
      </c>
      <c r="C38" s="2">
        <v>8640.7000000000007</v>
      </c>
      <c r="D38" s="2">
        <v>10.8</v>
      </c>
      <c r="E38" s="3">
        <f t="shared" si="4"/>
        <v>2.751900168393287E-3</v>
      </c>
      <c r="F38" s="4">
        <f t="shared" si="5"/>
        <v>750.28069381717614</v>
      </c>
    </row>
    <row r="39" spans="1:6">
      <c r="A39" s="7">
        <v>43383</v>
      </c>
      <c r="B39" s="1">
        <v>0.33333333333333331</v>
      </c>
      <c r="C39" s="2">
        <v>8642.2999999999993</v>
      </c>
      <c r="D39" s="2">
        <v>10.3</v>
      </c>
      <c r="E39" s="3">
        <f t="shared" si="4"/>
        <v>2.2164444009101694E-3</v>
      </c>
      <c r="F39" s="4">
        <f t="shared" si="5"/>
        <v>750.22607732889287</v>
      </c>
    </row>
    <row r="40" spans="1:6">
      <c r="A40" s="7">
        <v>43393</v>
      </c>
      <c r="B40" s="1">
        <v>0.33333333333333331</v>
      </c>
      <c r="C40" s="2">
        <v>8645.7000000000007</v>
      </c>
      <c r="D40" s="2">
        <v>10</v>
      </c>
      <c r="E40" s="3">
        <f t="shared" si="4"/>
        <v>1.7322534909852798E-3</v>
      </c>
      <c r="F40" s="4">
        <f t="shared" si="5"/>
        <v>750.17668985608054</v>
      </c>
    </row>
    <row r="41" spans="1:6">
      <c r="A41" s="7">
        <v>43605</v>
      </c>
      <c r="B41" s="1">
        <v>0.33333333333333331</v>
      </c>
      <c r="C41" s="2">
        <v>8649.2999999999993</v>
      </c>
      <c r="D41" s="2">
        <v>9.5</v>
      </c>
      <c r="E41" s="3">
        <f t="shared" si="4"/>
        <v>1.0632802348074406E-3</v>
      </c>
      <c r="F41" s="4">
        <f t="shared" si="5"/>
        <v>750.10845458395033</v>
      </c>
    </row>
    <row r="42" spans="1:6">
      <c r="A42" s="7">
        <v>43615</v>
      </c>
      <c r="B42" s="1">
        <v>0.33333333333333331</v>
      </c>
      <c r="C42" s="2">
        <v>8649.7000000000007</v>
      </c>
      <c r="D42" s="2">
        <v>9.8000000000000007</v>
      </c>
      <c r="E42" s="3">
        <f t="shared" si="4"/>
        <v>1.293744998774906E-3</v>
      </c>
      <c r="F42" s="4">
        <f t="shared" si="5"/>
        <v>750.13196198987509</v>
      </c>
    </row>
    <row r="43" spans="1:6">
      <c r="A43" s="7">
        <v>43626</v>
      </c>
      <c r="B43" s="1">
        <v>0.33333333333333331</v>
      </c>
      <c r="C43" s="2">
        <v>8650.2999999999993</v>
      </c>
      <c r="D43" s="2">
        <v>10</v>
      </c>
      <c r="E43" s="3">
        <f t="shared" si="4"/>
        <v>1.4251343335549664E-3</v>
      </c>
      <c r="F43" s="4">
        <f t="shared" si="5"/>
        <v>750.14536370202256</v>
      </c>
    </row>
    <row r="44" spans="1:6">
      <c r="A44" s="7">
        <v>43636</v>
      </c>
      <c r="B44" s="1">
        <v>0.33333333333333331</v>
      </c>
      <c r="C44" s="2">
        <v>8650.7000000000007</v>
      </c>
      <c r="D44" s="2">
        <v>10.3</v>
      </c>
      <c r="E44" s="3">
        <f t="shared" si="4"/>
        <v>1.6555996826272869E-3</v>
      </c>
      <c r="F44" s="4">
        <f t="shared" si="5"/>
        <v>750.16887116762803</v>
      </c>
    </row>
    <row r="45" spans="1:6">
      <c r="A45" s="7">
        <v>43646</v>
      </c>
      <c r="B45" s="1">
        <v>0.33333333333333331</v>
      </c>
      <c r="C45" s="2">
        <v>8637.7999999999993</v>
      </c>
      <c r="D45" s="2">
        <v>7.5</v>
      </c>
      <c r="E45" s="3">
        <f t="shared" si="4"/>
        <v>1.1668698522866727E-4</v>
      </c>
      <c r="F45" s="4">
        <f t="shared" si="5"/>
        <v>750.01190207249329</v>
      </c>
    </row>
    <row r="46" spans="1:6">
      <c r="A46" s="7">
        <v>43656</v>
      </c>
      <c r="B46" s="1">
        <v>0.33333333333333331</v>
      </c>
      <c r="C46" s="2">
        <v>8625.2999999999993</v>
      </c>
      <c r="D46" s="2">
        <v>7.3</v>
      </c>
      <c r="E46" s="3">
        <f t="shared" si="4"/>
        <v>7.8010409346493392E-4</v>
      </c>
      <c r="F46" s="4">
        <f t="shared" si="5"/>
        <v>750.07957061753348</v>
      </c>
    </row>
    <row r="47" spans="1:6">
      <c r="A47" s="7">
        <v>43666</v>
      </c>
      <c r="B47" s="1">
        <v>0.33333333333333331</v>
      </c>
      <c r="C47" s="2">
        <v>8627.2999999999993</v>
      </c>
      <c r="D47" s="2">
        <v>6.7</v>
      </c>
      <c r="E47" s="3">
        <f t="shared" si="4"/>
        <v>1.3217074114625638E-4</v>
      </c>
      <c r="F47" s="4">
        <f t="shared" si="5"/>
        <v>750.01348141559697</v>
      </c>
    </row>
    <row r="48" spans="1:6">
      <c r="A48" s="7">
        <v>43676</v>
      </c>
      <c r="B48" s="1">
        <v>0.33333333333333331</v>
      </c>
      <c r="C48" s="2">
        <v>8634.1</v>
      </c>
      <c r="D48" s="2">
        <v>6.3</v>
      </c>
      <c r="E48" s="3">
        <f t="shared" si="4"/>
        <v>-6.6489677089882904E-4</v>
      </c>
      <c r="F48" s="4">
        <f t="shared" si="5"/>
        <v>749.93218052936834</v>
      </c>
    </row>
    <row r="49" spans="1:6">
      <c r="A49" s="7">
        <v>43687</v>
      </c>
      <c r="B49" s="1">
        <v>0.33333333333333331</v>
      </c>
      <c r="C49" s="2">
        <v>8630.2999999999993</v>
      </c>
      <c r="D49" s="2">
        <v>6.7</v>
      </c>
      <c r="E49" s="3">
        <f t="shared" si="4"/>
        <v>-6.8208616617035367E-5</v>
      </c>
      <c r="F49" s="4">
        <f t="shared" si="5"/>
        <v>749.9930427211051</v>
      </c>
    </row>
    <row r="50" spans="1:6">
      <c r="A50" s="7">
        <v>43697</v>
      </c>
      <c r="B50" s="1">
        <v>0.33333333333333331</v>
      </c>
      <c r="C50" s="2">
        <v>8685.2000000000007</v>
      </c>
      <c r="D50" s="2">
        <v>6.9</v>
      </c>
      <c r="E50" s="3">
        <f t="shared" si="4"/>
        <v>-3.5613794155852085E-3</v>
      </c>
      <c r="F50" s="4">
        <f t="shared" si="5"/>
        <v>749.63673929961033</v>
      </c>
    </row>
    <row r="51" spans="1:6">
      <c r="A51" s="7">
        <v>43707</v>
      </c>
      <c r="B51" s="1">
        <v>0.33333333333333331</v>
      </c>
      <c r="C51" s="2">
        <v>8643.1</v>
      </c>
      <c r="D51" s="2">
        <v>8.3000000000000007</v>
      </c>
      <c r="E51" s="3">
        <f t="shared" si="4"/>
        <v>4.4856017142004892E-4</v>
      </c>
      <c r="F51" s="4">
        <f t="shared" si="5"/>
        <v>750.04575313748489</v>
      </c>
    </row>
  </sheetData>
  <phoneticPr fontId="5" type="noConversion"/>
  <pageMargins left="0.69930555555555596" right="0.69930555555555596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4"/>
  <sheetViews>
    <sheetView topLeftCell="A29" workbookViewId="0">
      <selection activeCell="A48" sqref="A48:B54"/>
    </sheetView>
  </sheetViews>
  <sheetFormatPr defaultColWidth="9" defaultRowHeight="13.5"/>
  <cols>
    <col min="1" max="1" width="11.25" customWidth="1"/>
    <col min="2" max="2" width="13.875" customWidth="1"/>
  </cols>
  <sheetData>
    <row r="1" spans="1:7">
      <c r="A1" t="s">
        <v>0</v>
      </c>
      <c r="B1">
        <v>50374</v>
      </c>
      <c r="C1" t="s">
        <v>1</v>
      </c>
      <c r="D1">
        <v>744.5</v>
      </c>
    </row>
    <row r="2" spans="1:7">
      <c r="A2" t="s">
        <v>2</v>
      </c>
      <c r="B2" s="10">
        <v>5.8905299999999997E-10</v>
      </c>
    </row>
    <row r="3" spans="1:7">
      <c r="A3" t="s">
        <v>3</v>
      </c>
      <c r="B3">
        <v>-7.5463000000000006E-5</v>
      </c>
    </row>
    <row r="4" spans="1:7">
      <c r="A4" t="s">
        <v>4</v>
      </c>
      <c r="B4">
        <v>0.64191856000000003</v>
      </c>
    </row>
    <row r="5" spans="1:7">
      <c r="A5" t="s">
        <v>5</v>
      </c>
      <c r="B5">
        <v>-9.8581199999999997E-4</v>
      </c>
    </row>
    <row r="6" spans="1:7">
      <c r="A6" t="s">
        <v>6</v>
      </c>
      <c r="B6" t="s">
        <v>7</v>
      </c>
      <c r="C6" t="s">
        <v>8</v>
      </c>
      <c r="D6" t="s">
        <v>9</v>
      </c>
      <c r="E6" t="s">
        <v>10</v>
      </c>
      <c r="F6" t="s">
        <v>11</v>
      </c>
      <c r="G6" t="s">
        <v>12</v>
      </c>
    </row>
    <row r="7" spans="1:7">
      <c r="A7" s="6">
        <v>42587</v>
      </c>
      <c r="B7" s="1">
        <v>0.33333333333333298</v>
      </c>
      <c r="C7" s="2">
        <v>9110.2999999999993</v>
      </c>
      <c r="D7" s="2">
        <v>20.9</v>
      </c>
      <c r="E7" s="3">
        <f>($B$2*C7^2+$B$3*C7+$B$4)-$B$5*D7</f>
        <v>2.3921427198012688E-2</v>
      </c>
      <c r="G7" t="s">
        <v>13</v>
      </c>
    </row>
    <row r="8" spans="1:7">
      <c r="A8" s="7">
        <v>42587</v>
      </c>
      <c r="B8" s="16">
        <v>0.64583333333333304</v>
      </c>
      <c r="C8" s="2">
        <v>9189.9</v>
      </c>
      <c r="D8" s="2">
        <v>26.2</v>
      </c>
      <c r="E8" s="3">
        <f t="shared" ref="E8:E32" si="0">($B$2*C8^2+$B$3*C8+$B$4)-$B$5*D8-$E$7</f>
        <v>7.6019901763875464E-5</v>
      </c>
      <c r="F8" s="4">
        <f>$D$1+102*E8</f>
        <v>744.50775402997988</v>
      </c>
      <c r="G8" s="5" t="s">
        <v>14</v>
      </c>
    </row>
    <row r="9" spans="1:7">
      <c r="A9" s="7">
        <v>42588</v>
      </c>
      <c r="B9" s="16">
        <v>0.33333333333333298</v>
      </c>
      <c r="C9" s="2">
        <v>9180.2999999999993</v>
      </c>
      <c r="D9" s="2">
        <v>24.6</v>
      </c>
      <c r="E9" s="3">
        <f t="shared" si="0"/>
        <v>-8.8071630387392963E-4</v>
      </c>
      <c r="F9" s="4">
        <f t="shared" ref="F9:F32" si="1">$D$1+102*E9</f>
        <v>744.41016693700487</v>
      </c>
    </row>
    <row r="10" spans="1:7">
      <c r="A10" s="7">
        <v>42589</v>
      </c>
      <c r="B10" s="16">
        <v>0.33333333333333298</v>
      </c>
      <c r="C10" s="2">
        <v>9175.4</v>
      </c>
      <c r="D10" s="2">
        <v>23.7</v>
      </c>
      <c r="E10" s="3">
        <f t="shared" si="0"/>
        <v>-1.4511595566192061E-3</v>
      </c>
      <c r="F10" s="4">
        <f t="shared" si="1"/>
        <v>744.35198172522485</v>
      </c>
    </row>
    <row r="11" spans="1:7">
      <c r="A11" s="7">
        <v>42590</v>
      </c>
      <c r="B11" s="16">
        <v>0.33333333333333298</v>
      </c>
      <c r="C11" s="2">
        <v>9168.1</v>
      </c>
      <c r="D11" s="2">
        <v>22.6</v>
      </c>
      <c r="E11" s="3">
        <f t="shared" si="0"/>
        <v>-2.0635515006693847E-3</v>
      </c>
      <c r="F11" s="4">
        <f t="shared" si="1"/>
        <v>744.28951774693178</v>
      </c>
    </row>
    <row r="12" spans="1:7">
      <c r="A12" s="7">
        <v>42602</v>
      </c>
      <c r="B12" s="16">
        <v>0.33333333333333298</v>
      </c>
      <c r="C12" s="2">
        <v>9188.2000000000007</v>
      </c>
      <c r="D12" s="2">
        <v>25.5</v>
      </c>
      <c r="E12" s="3">
        <f t="shared" si="0"/>
        <v>-5.04165045633026E-4</v>
      </c>
      <c r="F12" s="4">
        <f t="shared" si="1"/>
        <v>744.44857516534546</v>
      </c>
    </row>
    <row r="13" spans="1:7">
      <c r="A13" s="7">
        <v>42612</v>
      </c>
      <c r="B13" s="16">
        <v>0.33333333333333298</v>
      </c>
      <c r="C13" s="2">
        <v>9179.1</v>
      </c>
      <c r="D13" s="2">
        <v>25.6</v>
      </c>
      <c r="E13" s="3">
        <f t="shared" si="0"/>
        <v>1.826737045481884E-4</v>
      </c>
      <c r="F13" s="4">
        <f t="shared" si="1"/>
        <v>744.51863271786397</v>
      </c>
    </row>
    <row r="14" spans="1:7">
      <c r="A14" s="7">
        <v>42623</v>
      </c>
      <c r="B14" s="16">
        <v>0.33333333333333298</v>
      </c>
      <c r="C14" s="2">
        <v>9172.7000000000007</v>
      </c>
      <c r="D14" s="2">
        <v>24.7</v>
      </c>
      <c r="E14" s="3">
        <f t="shared" si="0"/>
        <v>-2.9077906566244219E-4</v>
      </c>
      <c r="F14" s="4">
        <f t="shared" si="1"/>
        <v>744.4703405353024</v>
      </c>
    </row>
    <row r="15" spans="1:7">
      <c r="A15" s="7">
        <v>42633</v>
      </c>
      <c r="B15" s="9">
        <v>0.33333333333333331</v>
      </c>
      <c r="C15" s="2">
        <v>9149.2999999999993</v>
      </c>
      <c r="D15" s="2">
        <v>23.7</v>
      </c>
      <c r="E15" s="3">
        <f t="shared" si="0"/>
        <v>2.3669561419328508E-4</v>
      </c>
      <c r="F15" s="4">
        <f t="shared" si="1"/>
        <v>744.52414295264771</v>
      </c>
    </row>
    <row r="16" spans="1:7">
      <c r="A16" s="7">
        <v>42643</v>
      </c>
      <c r="B16" s="9">
        <v>0.33333333333333331</v>
      </c>
      <c r="C16" s="2">
        <v>9149.9</v>
      </c>
      <c r="D16" s="2">
        <v>22.6</v>
      </c>
      <c r="E16" s="3">
        <f t="shared" si="0"/>
        <v>-8.8650786661214481E-4</v>
      </c>
      <c r="F16" s="4">
        <f t="shared" si="1"/>
        <v>744.40957619760559</v>
      </c>
    </row>
    <row r="17" spans="1:7">
      <c r="A17" s="7">
        <v>42926</v>
      </c>
      <c r="B17" s="1">
        <v>0.33333333333333331</v>
      </c>
      <c r="C17" s="2">
        <v>8989.2000000000007</v>
      </c>
      <c r="D17" s="2">
        <v>9.5</v>
      </c>
      <c r="E17" s="3">
        <f t="shared" si="0"/>
        <v>-3.3908029940708934E-3</v>
      </c>
      <c r="F17" s="4">
        <f t="shared" si="1"/>
        <v>744.15413809460472</v>
      </c>
    </row>
    <row r="18" spans="1:7">
      <c r="A18" s="7">
        <v>42936</v>
      </c>
      <c r="B18" s="9">
        <v>0.33333333333333331</v>
      </c>
      <c r="C18" s="2">
        <v>8980</v>
      </c>
      <c r="D18" s="2">
        <v>10.199999999999999</v>
      </c>
      <c r="E18" s="3">
        <f t="shared" si="0"/>
        <v>-2.1038552568126249E-3</v>
      </c>
      <c r="F18" s="4">
        <f t="shared" si="1"/>
        <v>744.2854067638051</v>
      </c>
    </row>
    <row r="19" spans="1:7">
      <c r="A19" s="7">
        <v>42946</v>
      </c>
      <c r="B19" s="1">
        <v>0.33333333333333331</v>
      </c>
      <c r="C19" s="2">
        <v>8998.2999999999993</v>
      </c>
      <c r="D19" s="2">
        <v>11.4</v>
      </c>
      <c r="E19" s="3">
        <f t="shared" si="0"/>
        <v>-2.1080536174494686E-3</v>
      </c>
      <c r="F19" s="4">
        <f t="shared" si="1"/>
        <v>744.2849785310201</v>
      </c>
    </row>
    <row r="20" spans="1:7">
      <c r="A20" s="7">
        <v>42957</v>
      </c>
      <c r="B20" s="1">
        <v>0.33333333333333331</v>
      </c>
      <c r="C20" s="2">
        <v>9002.2999999999993</v>
      </c>
      <c r="D20" s="2">
        <v>12.6</v>
      </c>
      <c r="E20" s="3">
        <f t="shared" si="0"/>
        <v>-1.1845179877222577E-3</v>
      </c>
      <c r="F20" s="4">
        <f t="shared" si="1"/>
        <v>744.37917916525237</v>
      </c>
    </row>
    <row r="21" spans="1:7">
      <c r="A21" s="7">
        <v>42967</v>
      </c>
      <c r="B21" s="1">
        <v>0.33333333333333331</v>
      </c>
      <c r="C21" s="2">
        <v>9020.2999999999993</v>
      </c>
      <c r="D21" s="2">
        <v>13</v>
      </c>
      <c r="E21" s="3">
        <f t="shared" si="0"/>
        <v>-1.9574343889619365E-3</v>
      </c>
      <c r="F21" s="4">
        <f t="shared" si="1"/>
        <v>744.3003416923259</v>
      </c>
    </row>
    <row r="22" spans="1:7">
      <c r="A22" s="7">
        <v>42977</v>
      </c>
      <c r="B22" s="1">
        <v>0.33333333333333331</v>
      </c>
      <c r="C22" s="2">
        <v>9011.6</v>
      </c>
      <c r="D22" s="2">
        <v>13.9</v>
      </c>
      <c r="E22" s="3">
        <f t="shared" si="0"/>
        <v>-5.0608466864100407E-4</v>
      </c>
      <c r="F22" s="4">
        <f t="shared" si="1"/>
        <v>744.44837936379861</v>
      </c>
    </row>
    <row r="23" spans="1:7">
      <c r="A23" s="7">
        <v>42988</v>
      </c>
      <c r="B23" s="1">
        <v>0.33333333333333331</v>
      </c>
      <c r="C23" s="2">
        <v>9019.1</v>
      </c>
      <c r="D23" s="2">
        <v>14.8</v>
      </c>
      <c r="E23" s="3">
        <f t="shared" si="0"/>
        <v>-1.0516858418783623E-4</v>
      </c>
      <c r="F23" s="4">
        <f t="shared" si="1"/>
        <v>744.48927280441285</v>
      </c>
    </row>
    <row r="24" spans="1:7">
      <c r="A24" s="7">
        <v>42998</v>
      </c>
      <c r="B24" s="1">
        <v>0.33333333333333331</v>
      </c>
      <c r="C24" s="2">
        <v>9035.2999999999993</v>
      </c>
      <c r="D24" s="2">
        <v>14.7</v>
      </c>
      <c r="E24" s="3">
        <f t="shared" si="0"/>
        <v>-1.2539634087599741E-3</v>
      </c>
      <c r="F24" s="4">
        <f t="shared" si="1"/>
        <v>744.37209573230643</v>
      </c>
      <c r="G24" s="2"/>
    </row>
    <row r="25" spans="1:7">
      <c r="A25" s="7">
        <v>43008</v>
      </c>
      <c r="B25" s="1">
        <v>0.33333333333333331</v>
      </c>
      <c r="C25" s="2">
        <v>9037.7999999999993</v>
      </c>
      <c r="D25" s="2">
        <v>14.5</v>
      </c>
      <c r="E25" s="3">
        <f t="shared" si="0"/>
        <v>-1.6131682743241449E-3</v>
      </c>
      <c r="F25" s="4">
        <f t="shared" si="1"/>
        <v>744.33545683601892</v>
      </c>
      <c r="G25" s="2"/>
    </row>
    <row r="26" spans="1:7">
      <c r="A26" s="7">
        <v>43018</v>
      </c>
      <c r="B26" s="1">
        <v>0.33333333333333331</v>
      </c>
      <c r="C26" s="2">
        <v>9033</v>
      </c>
      <c r="D26" s="2">
        <v>14.6</v>
      </c>
      <c r="E26" s="3">
        <f t="shared" si="0"/>
        <v>-1.2034590372957711E-3</v>
      </c>
      <c r="F26" s="4">
        <f t="shared" si="1"/>
        <v>744.37724717819583</v>
      </c>
      <c r="G26" s="2"/>
    </row>
    <row r="27" spans="1:7">
      <c r="A27" s="6">
        <v>43230</v>
      </c>
      <c r="B27" s="1">
        <v>0.33333333333333331</v>
      </c>
      <c r="C27" s="2">
        <v>9013.1</v>
      </c>
      <c r="D27" s="2">
        <v>12.3</v>
      </c>
      <c r="E27" s="3">
        <f t="shared" si="0"/>
        <v>-2.1806521132274499E-3</v>
      </c>
      <c r="F27" s="4">
        <f t="shared" si="1"/>
        <v>744.27757348445084</v>
      </c>
      <c r="G27" s="2"/>
    </row>
    <row r="28" spans="1:7">
      <c r="A28" s="7">
        <v>43240</v>
      </c>
      <c r="B28" s="1">
        <v>0.33333333333333331</v>
      </c>
      <c r="C28" s="2">
        <v>9008.7000000000007</v>
      </c>
      <c r="D28" s="2">
        <v>12.3</v>
      </c>
      <c r="E28" s="3">
        <f t="shared" si="0"/>
        <v>-1.895324412791239E-3</v>
      </c>
      <c r="F28" s="4">
        <f t="shared" si="1"/>
        <v>744.30667690989526</v>
      </c>
    </row>
    <row r="29" spans="1:7">
      <c r="A29" s="7">
        <v>43250</v>
      </c>
      <c r="B29" s="1">
        <v>0.33333333333333331</v>
      </c>
      <c r="C29" s="2">
        <v>9000</v>
      </c>
      <c r="D29" s="2">
        <v>12.3</v>
      </c>
      <c r="E29" s="3">
        <f t="shared" si="0"/>
        <v>-1.3310865980126936E-3</v>
      </c>
      <c r="F29" s="4">
        <f t="shared" si="1"/>
        <v>744.36422916700269</v>
      </c>
    </row>
    <row r="30" spans="1:7">
      <c r="A30" s="7">
        <v>43261</v>
      </c>
      <c r="B30" s="1">
        <v>0.33333333333333331</v>
      </c>
      <c r="C30" s="2">
        <v>9000.9</v>
      </c>
      <c r="D30" s="2">
        <v>11.8</v>
      </c>
      <c r="E30" s="3">
        <f t="shared" si="0"/>
        <v>-1.8823661622797694E-3</v>
      </c>
      <c r="F30" s="4">
        <f t="shared" si="1"/>
        <v>744.30799865144752</v>
      </c>
    </row>
    <row r="31" spans="1:7">
      <c r="A31" s="7">
        <v>43271</v>
      </c>
      <c r="B31" s="1">
        <v>0.33333333333333331</v>
      </c>
      <c r="C31" s="2">
        <v>9006.2000000000007</v>
      </c>
      <c r="D31" s="2">
        <v>11.5</v>
      </c>
      <c r="E31" s="3">
        <f t="shared" si="0"/>
        <v>-2.5218458400154027E-3</v>
      </c>
      <c r="F31" s="4">
        <f t="shared" si="1"/>
        <v>744.24277172431846</v>
      </c>
    </row>
    <row r="32" spans="1:7">
      <c r="A32" s="7">
        <v>43281</v>
      </c>
      <c r="B32" s="1">
        <v>0.33333333333333331</v>
      </c>
      <c r="C32" s="2">
        <v>8998.2999999999993</v>
      </c>
      <c r="D32" s="2">
        <v>11.2</v>
      </c>
      <c r="E32" s="3">
        <f t="shared" si="0"/>
        <v>-2.3052160174494678E-3</v>
      </c>
      <c r="F32" s="4">
        <f t="shared" si="1"/>
        <v>744.26486796622021</v>
      </c>
    </row>
    <row r="33" spans="1:6">
      <c r="A33" s="7">
        <v>43291</v>
      </c>
      <c r="B33" s="1">
        <v>0.33333333333333331</v>
      </c>
      <c r="C33" s="2">
        <v>9003.2999999999993</v>
      </c>
      <c r="D33" s="2">
        <v>11.3</v>
      </c>
      <c r="E33" s="3">
        <f t="shared" ref="E33:E36" si="2">($B$2*C33^2+$B$3*C33+$B$4)-$B$5*D33-$E$7</f>
        <v>-2.5309303350255323E-3</v>
      </c>
      <c r="F33" s="4">
        <f t="shared" ref="F33:F36" si="3">$D$1+102*E33</f>
        <v>744.24184510582745</v>
      </c>
    </row>
    <row r="34" spans="1:6">
      <c r="A34" s="7">
        <v>43301</v>
      </c>
      <c r="B34" s="1">
        <v>0.33333333333333331</v>
      </c>
      <c r="C34" s="2">
        <v>8993</v>
      </c>
      <c r="D34" s="2">
        <v>11</v>
      </c>
      <c r="E34" s="3">
        <f t="shared" si="2"/>
        <v>-2.1585930124156973E-3</v>
      </c>
      <c r="F34" s="4">
        <f t="shared" si="3"/>
        <v>744.27982351273363</v>
      </c>
    </row>
    <row r="35" spans="1:6">
      <c r="A35" s="7">
        <v>43311</v>
      </c>
      <c r="B35" s="1">
        <v>0.33333333333333331</v>
      </c>
      <c r="C35" s="2">
        <v>8982.6</v>
      </c>
      <c r="D35" s="2">
        <v>10.199999999999999</v>
      </c>
      <c r="E35" s="3">
        <f t="shared" si="2"/>
        <v>-2.2725486559264756E-3</v>
      </c>
      <c r="F35" s="4">
        <f t="shared" si="3"/>
        <v>744.26820003709554</v>
      </c>
    </row>
    <row r="36" spans="1:6">
      <c r="A36" s="7">
        <v>43322</v>
      </c>
      <c r="B36" s="1">
        <v>0.33333333333333331</v>
      </c>
      <c r="C36" s="2">
        <v>8976.7000000000007</v>
      </c>
      <c r="D36" s="2">
        <v>10.4</v>
      </c>
      <c r="E36" s="3">
        <f t="shared" si="2"/>
        <v>-1.6925705352296011E-3</v>
      </c>
      <c r="F36" s="4">
        <f t="shared" si="3"/>
        <v>744.32735780540656</v>
      </c>
    </row>
    <row r="37" spans="1:6">
      <c r="A37" s="7">
        <v>43332</v>
      </c>
      <c r="B37" s="1">
        <v>0.33333333333333331</v>
      </c>
      <c r="C37" s="2">
        <v>8987.1</v>
      </c>
      <c r="D37" s="2">
        <v>10.3</v>
      </c>
      <c r="E37" s="3">
        <f t="shared" ref="E37:E54" si="4">($B$2*C37^2+$B$3*C37+$B$4)-$B$5*D37-$E$7</f>
        <v>-2.4659179803029445E-3</v>
      </c>
      <c r="F37" s="4">
        <f t="shared" ref="F37:F54" si="5">$D$1+102*E37</f>
        <v>744.24847636600907</v>
      </c>
    </row>
    <row r="38" spans="1:6">
      <c r="A38" s="7">
        <v>43342</v>
      </c>
      <c r="B38" s="1">
        <v>0.33333333333333331</v>
      </c>
      <c r="C38" s="2">
        <v>8986.7000000000007</v>
      </c>
      <c r="D38" s="2">
        <v>10.3</v>
      </c>
      <c r="E38" s="3">
        <f t="shared" si="4"/>
        <v>-2.4399677886275499E-3</v>
      </c>
      <c r="F38" s="4">
        <f t="shared" si="5"/>
        <v>744.25112328555997</v>
      </c>
    </row>
    <row r="39" spans="1:6">
      <c r="A39" s="7">
        <v>43353</v>
      </c>
      <c r="B39" s="1">
        <v>0.33333333333333331</v>
      </c>
      <c r="C39" s="2">
        <v>8985.5</v>
      </c>
      <c r="D39" s="2">
        <v>10.199999999999999</v>
      </c>
      <c r="E39" s="3">
        <f t="shared" si="4"/>
        <v>-2.4606972826193944E-3</v>
      </c>
      <c r="F39" s="4">
        <f t="shared" si="5"/>
        <v>744.24900887717286</v>
      </c>
    </row>
    <row r="40" spans="1:6">
      <c r="A40" s="7">
        <v>43363</v>
      </c>
      <c r="B40" s="1">
        <v>0.33333333333333331</v>
      </c>
      <c r="C40" s="2">
        <v>8965.9</v>
      </c>
      <c r="D40" s="2">
        <v>10.199999999999999</v>
      </c>
      <c r="E40" s="3">
        <f t="shared" si="4"/>
        <v>-1.1888792726937984E-3</v>
      </c>
      <c r="F40" s="4">
        <f t="shared" si="5"/>
        <v>744.37873431418518</v>
      </c>
    </row>
    <row r="41" spans="1:6">
      <c r="A41" s="7">
        <v>43373</v>
      </c>
      <c r="B41" s="1">
        <v>0.33333333333333331</v>
      </c>
      <c r="C41" s="2">
        <v>8972.2999999999993</v>
      </c>
      <c r="D41" s="2">
        <v>10.199999999999999</v>
      </c>
      <c r="E41" s="3">
        <f t="shared" si="4"/>
        <v>-1.6042165493363562E-3</v>
      </c>
      <c r="F41" s="4">
        <f t="shared" si="5"/>
        <v>744.33636991196772</v>
      </c>
    </row>
    <row r="42" spans="1:6">
      <c r="A42" s="7">
        <v>43383</v>
      </c>
      <c r="B42" s="1">
        <v>0.33333333333333331</v>
      </c>
      <c r="C42" s="2">
        <v>8974.4</v>
      </c>
      <c r="D42" s="2">
        <v>10.199999999999999</v>
      </c>
      <c r="E42" s="3">
        <f t="shared" si="4"/>
        <v>-1.7404885786385764E-3</v>
      </c>
      <c r="F42" s="4">
        <f t="shared" si="5"/>
        <v>744.32247016497888</v>
      </c>
    </row>
    <row r="43" spans="1:6">
      <c r="A43" s="7">
        <v>43393</v>
      </c>
      <c r="B43" s="1">
        <v>0.33333333333333331</v>
      </c>
      <c r="C43" s="2">
        <v>8973.6</v>
      </c>
      <c r="D43" s="2">
        <v>10</v>
      </c>
      <c r="E43" s="3">
        <f t="shared" si="4"/>
        <v>-1.8857384372337783E-3</v>
      </c>
      <c r="F43" s="4">
        <f t="shared" si="5"/>
        <v>744.30765467940216</v>
      </c>
    </row>
    <row r="44" spans="1:6">
      <c r="A44" s="7">
        <v>43605</v>
      </c>
      <c r="B44" s="1">
        <v>0.33333333333333331</v>
      </c>
      <c r="C44" s="2">
        <v>8975.2999999999993</v>
      </c>
      <c r="D44" s="2">
        <v>9.8000000000000007</v>
      </c>
      <c r="E44" s="3">
        <f t="shared" si="4"/>
        <v>-2.1932140864678283E-3</v>
      </c>
      <c r="F44" s="4">
        <f t="shared" si="5"/>
        <v>744.2762921631803</v>
      </c>
    </row>
    <row r="45" spans="1:6">
      <c r="A45" s="7">
        <v>43615</v>
      </c>
      <c r="B45" s="1">
        <v>0.33333333333333331</v>
      </c>
      <c r="C45" s="2">
        <v>8975.7000000000007</v>
      </c>
      <c r="D45" s="2">
        <v>9.8000000000000007</v>
      </c>
      <c r="E45" s="3">
        <f t="shared" si="4"/>
        <v>-2.2191696503068258E-3</v>
      </c>
      <c r="F45" s="4">
        <f t="shared" si="5"/>
        <v>744.27364469566874</v>
      </c>
    </row>
    <row r="46" spans="1:6">
      <c r="A46" s="7">
        <v>43626</v>
      </c>
      <c r="B46" s="1">
        <v>0.33333333333333331</v>
      </c>
      <c r="C46" s="2">
        <v>8976.2000000000007</v>
      </c>
      <c r="D46" s="2">
        <v>9.6999999999999993</v>
      </c>
      <c r="E46" s="3">
        <f t="shared" si="4"/>
        <v>-2.3501950400314151E-3</v>
      </c>
      <c r="F46" s="4">
        <f t="shared" si="5"/>
        <v>744.26028010591676</v>
      </c>
    </row>
    <row r="47" spans="1:6">
      <c r="A47" s="7">
        <v>43636</v>
      </c>
      <c r="B47" s="1">
        <v>0.33333333333333331</v>
      </c>
      <c r="C47" s="2">
        <v>8977.4</v>
      </c>
      <c r="D47" s="2">
        <v>10.1</v>
      </c>
      <c r="E47" s="3">
        <f t="shared" si="4"/>
        <v>-2.0337350937024191E-3</v>
      </c>
      <c r="F47" s="4">
        <f t="shared" si="5"/>
        <v>744.29255902044235</v>
      </c>
    </row>
    <row r="48" spans="1:6">
      <c r="A48" s="7">
        <v>43646</v>
      </c>
      <c r="B48" s="1">
        <v>0.33333333333333331</v>
      </c>
      <c r="C48" s="2">
        <v>8970.7000000000007</v>
      </c>
      <c r="D48" s="2">
        <v>9.5</v>
      </c>
      <c r="E48" s="3">
        <f t="shared" si="4"/>
        <v>-2.1904551541027523E-3</v>
      </c>
      <c r="F48" s="4">
        <f t="shared" si="5"/>
        <v>744.27657357428154</v>
      </c>
    </row>
    <row r="49" spans="1:6">
      <c r="A49" s="7">
        <v>43656</v>
      </c>
      <c r="B49" s="1">
        <v>0.33333333333333331</v>
      </c>
      <c r="C49" s="2">
        <v>8969.2999999999993</v>
      </c>
      <c r="D49" s="2">
        <v>9</v>
      </c>
      <c r="E49" s="3">
        <f t="shared" si="4"/>
        <v>-2.5925076092506993E-3</v>
      </c>
      <c r="F49" s="4">
        <f t="shared" si="5"/>
        <v>744.23556422385639</v>
      </c>
    </row>
    <row r="50" spans="1:6">
      <c r="A50" s="7">
        <v>43666</v>
      </c>
      <c r="B50" s="1">
        <v>0.33333333333333331</v>
      </c>
      <c r="C50" s="2">
        <v>8967.4</v>
      </c>
      <c r="D50" s="2">
        <v>8.5</v>
      </c>
      <c r="E50" s="3">
        <f t="shared" si="4"/>
        <v>-2.9621086764464837E-3</v>
      </c>
      <c r="F50" s="4">
        <f t="shared" si="5"/>
        <v>744.19786491500247</v>
      </c>
    </row>
    <row r="51" spans="1:6">
      <c r="A51" s="7">
        <v>43676</v>
      </c>
      <c r="B51" s="1">
        <v>0.33333333333333331</v>
      </c>
      <c r="C51" s="2">
        <v>8966.2999999999993</v>
      </c>
      <c r="D51" s="2">
        <v>8.1999999999999993</v>
      </c>
      <c r="E51" s="3">
        <f t="shared" si="4"/>
        <v>-3.1864632662110849E-3</v>
      </c>
      <c r="F51" s="4">
        <f t="shared" si="5"/>
        <v>744.17498074684647</v>
      </c>
    </row>
    <row r="52" spans="1:6">
      <c r="A52" s="7">
        <v>43687</v>
      </c>
      <c r="B52" s="1">
        <v>0.33333333333333331</v>
      </c>
      <c r="C52" s="2">
        <v>8964.2000000000007</v>
      </c>
      <c r="D52" s="2">
        <v>8.4</v>
      </c>
      <c r="E52" s="3">
        <f t="shared" si="4"/>
        <v>-2.8530087973258726E-3</v>
      </c>
      <c r="F52" s="4">
        <f t="shared" si="5"/>
        <v>744.20899310267271</v>
      </c>
    </row>
    <row r="53" spans="1:6">
      <c r="A53" s="7">
        <v>43697</v>
      </c>
      <c r="B53" s="1">
        <v>0.33333333333333331</v>
      </c>
      <c r="C53" s="2">
        <v>8959.1</v>
      </c>
      <c r="D53" s="2">
        <v>8.6999999999999993</v>
      </c>
      <c r="E53" s="3">
        <f t="shared" si="4"/>
        <v>-2.2262485428638686E-3</v>
      </c>
      <c r="F53" s="4">
        <f t="shared" si="5"/>
        <v>744.27292264862785</v>
      </c>
    </row>
    <row r="54" spans="1:6">
      <c r="A54" s="7">
        <v>43707</v>
      </c>
      <c r="B54" s="1">
        <v>0.33333333333333331</v>
      </c>
      <c r="C54" s="2">
        <v>8946.6</v>
      </c>
      <c r="D54" s="2">
        <v>7.8</v>
      </c>
      <c r="E54" s="3">
        <f t="shared" si="4"/>
        <v>-2.3020344216399986E-3</v>
      </c>
      <c r="F54" s="4">
        <f t="shared" si="5"/>
        <v>744.26519248899274</v>
      </c>
    </row>
  </sheetData>
  <phoneticPr fontId="4" type="noConversion"/>
  <pageMargins left="0.69930555555555596" right="0.69930555555555596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2"/>
  <sheetViews>
    <sheetView topLeftCell="A37" workbookViewId="0">
      <selection activeCell="A56" sqref="A56:B62"/>
    </sheetView>
  </sheetViews>
  <sheetFormatPr defaultColWidth="9" defaultRowHeight="13.5"/>
  <cols>
    <col min="1" max="1" width="10.875" customWidth="1"/>
    <col min="2" max="2" width="13.875" customWidth="1"/>
  </cols>
  <sheetData>
    <row r="1" spans="1:7">
      <c r="A1" t="s">
        <v>0</v>
      </c>
      <c r="B1">
        <v>50392</v>
      </c>
      <c r="C1" t="s">
        <v>1</v>
      </c>
      <c r="D1">
        <v>737</v>
      </c>
    </row>
    <row r="2" spans="1:7">
      <c r="A2" t="s">
        <v>2</v>
      </c>
      <c r="B2">
        <f>1.44201*10^-12</f>
        <v>1.44201E-12</v>
      </c>
    </row>
    <row r="3" spans="1:7">
      <c r="A3" t="s">
        <v>3</v>
      </c>
      <c r="B3">
        <v>-7.7750000000000006E-5</v>
      </c>
    </row>
    <row r="4" spans="1:7">
      <c r="A4" t="s">
        <v>4</v>
      </c>
      <c r="B4">
        <v>0.66681769999999996</v>
      </c>
    </row>
    <row r="5" spans="1:7">
      <c r="A5" t="s">
        <v>5</v>
      </c>
      <c r="B5">
        <v>-1.16014E-3</v>
      </c>
    </row>
    <row r="6" spans="1:7">
      <c r="A6" t="s">
        <v>6</v>
      </c>
      <c r="B6" t="s">
        <v>7</v>
      </c>
      <c r="C6" t="s">
        <v>8</v>
      </c>
      <c r="D6" t="s">
        <v>9</v>
      </c>
      <c r="E6" t="s">
        <v>10</v>
      </c>
      <c r="F6" t="s">
        <v>11</v>
      </c>
      <c r="G6" t="s">
        <v>12</v>
      </c>
    </row>
    <row r="7" spans="1:7">
      <c r="A7" s="6">
        <v>42531</v>
      </c>
      <c r="B7" s="1">
        <v>0.58333333333333304</v>
      </c>
      <c r="C7" s="2">
        <v>8495.7999999999993</v>
      </c>
      <c r="D7" s="2">
        <v>13.1</v>
      </c>
      <c r="E7" s="3">
        <f>($B$2*C7^2+$B$3*C7+$B$4)-$B$5*D7</f>
        <v>2.1571166288423073E-2</v>
      </c>
      <c r="G7" t="s">
        <v>13</v>
      </c>
    </row>
    <row r="8" spans="1:7">
      <c r="A8" s="7">
        <v>42533</v>
      </c>
      <c r="B8" s="16">
        <v>0.33333333333333298</v>
      </c>
      <c r="C8" s="2">
        <v>8501.1</v>
      </c>
      <c r="D8" s="2">
        <v>12.4</v>
      </c>
      <c r="E8" s="3">
        <f>($B$2*C8^2+$B$3*C8+$B$4)-$B$5*D8-$E$7</f>
        <v>-1.2240430985914347E-3</v>
      </c>
      <c r="F8" s="4">
        <f>$D$1+102*E8</f>
        <v>736.87514760394367</v>
      </c>
      <c r="G8" s="5" t="s">
        <v>14</v>
      </c>
    </row>
    <row r="9" spans="1:7">
      <c r="A9" s="7">
        <v>42534</v>
      </c>
      <c r="B9" s="16">
        <v>0.33333333333333298</v>
      </c>
      <c r="C9" s="2">
        <v>8374.5</v>
      </c>
      <c r="D9" s="2">
        <v>3.6</v>
      </c>
      <c r="E9" s="3">
        <f>($B$2*C9^2+$B$3*C9+$B$4)-$B$5*D9-$E$7</f>
        <v>-1.5932058822401597E-3</v>
      </c>
      <c r="F9" s="4">
        <f t="shared" ref="F9:F44" si="0">$D$1+102*E9</f>
        <v>736.83749300001148</v>
      </c>
    </row>
    <row r="10" spans="1:7">
      <c r="A10" s="7">
        <v>42535</v>
      </c>
      <c r="B10" s="16">
        <v>0.33333333333333298</v>
      </c>
      <c r="C10" s="2">
        <v>8372.1</v>
      </c>
      <c r="D10" s="2">
        <v>3.3</v>
      </c>
      <c r="E10" s="3">
        <f t="shared" ref="E10:E18" si="1">($B$2*C10^2+$B$3*C10+$B$4)-$B$5*D10-$E$7</f>
        <v>-1.7547058392754049E-3</v>
      </c>
      <c r="F10" s="4">
        <f t="shared" si="0"/>
        <v>736.82102000439386</v>
      </c>
    </row>
    <row r="11" spans="1:7">
      <c r="A11" s="7">
        <v>42536</v>
      </c>
      <c r="B11" s="16">
        <v>0.33333333333333298</v>
      </c>
      <c r="C11" s="2">
        <v>8376.2000000000007</v>
      </c>
      <c r="D11" s="2">
        <v>3.2</v>
      </c>
      <c r="E11" s="3">
        <f t="shared" si="1"/>
        <v>-2.1893958192894108E-3</v>
      </c>
      <c r="F11" s="4">
        <f t="shared" si="0"/>
        <v>736.77668162643249</v>
      </c>
    </row>
    <row r="12" spans="1:7">
      <c r="A12" s="7">
        <v>42537</v>
      </c>
      <c r="B12" s="16">
        <v>0.33333333333333298</v>
      </c>
      <c r="C12" s="2">
        <v>8379.4</v>
      </c>
      <c r="D12" s="2">
        <v>3.2</v>
      </c>
      <c r="E12" s="3">
        <f t="shared" si="1"/>
        <v>-2.4381185017125634E-3</v>
      </c>
      <c r="F12" s="4">
        <f t="shared" si="0"/>
        <v>736.75131191282537</v>
      </c>
    </row>
    <row r="13" spans="1:7">
      <c r="A13" s="7">
        <v>42538</v>
      </c>
      <c r="B13" s="16">
        <v>0.33333333333333298</v>
      </c>
      <c r="C13" s="2">
        <v>8377.4</v>
      </c>
      <c r="D13" s="2">
        <v>3.2</v>
      </c>
      <c r="E13" s="3">
        <f t="shared" si="1"/>
        <v>-2.2826668286589219E-3</v>
      </c>
      <c r="F13" s="4">
        <f t="shared" si="0"/>
        <v>736.76716798347684</v>
      </c>
    </row>
    <row r="14" spans="1:7">
      <c r="A14" s="7">
        <v>42544</v>
      </c>
      <c r="B14" s="16">
        <v>0.33333333333333298</v>
      </c>
      <c r="C14" s="2">
        <v>8288.4</v>
      </c>
      <c r="D14" s="2">
        <v>4.0999999999999996</v>
      </c>
      <c r="E14" s="3">
        <f t="shared" si="1"/>
        <v>5.6790703010680746E-3</v>
      </c>
      <c r="F14" s="4">
        <f t="shared" si="0"/>
        <v>737.57926517070894</v>
      </c>
    </row>
    <row r="15" spans="1:7">
      <c r="A15" s="7">
        <v>42551</v>
      </c>
      <c r="B15" s="9">
        <v>0.33333333333333298</v>
      </c>
      <c r="C15" s="2">
        <v>8382.7000000000007</v>
      </c>
      <c r="D15" s="2">
        <v>4.3</v>
      </c>
      <c r="E15" s="3">
        <f t="shared" si="1"/>
        <v>-1.4184597370304614E-3</v>
      </c>
      <c r="F15" s="4">
        <f t="shared" si="0"/>
        <v>736.85531710682289</v>
      </c>
    </row>
    <row r="16" spans="1:7">
      <c r="A16" s="7">
        <v>42561</v>
      </c>
      <c r="B16" s="9">
        <v>0.33333333333333298</v>
      </c>
      <c r="C16" s="2">
        <v>8395.2000000000007</v>
      </c>
      <c r="D16" s="2">
        <v>5.0999999999999996</v>
      </c>
      <c r="E16" s="3">
        <f t="shared" si="1"/>
        <v>-1.4619203132858159E-3</v>
      </c>
      <c r="F16" s="4">
        <f t="shared" si="0"/>
        <v>736.85088412804487</v>
      </c>
    </row>
    <row r="17" spans="1:7">
      <c r="A17" s="7">
        <v>42571</v>
      </c>
      <c r="B17" s="1">
        <v>0.33333333333333298</v>
      </c>
      <c r="C17" s="2">
        <v>8413.6</v>
      </c>
      <c r="D17" s="2">
        <v>6.4</v>
      </c>
      <c r="E17" s="3">
        <f t="shared" si="1"/>
        <v>-1.3838923256642641E-3</v>
      </c>
      <c r="F17" s="4">
        <f t="shared" si="0"/>
        <v>736.85884298278222</v>
      </c>
    </row>
    <row r="18" spans="1:7">
      <c r="A18" s="7">
        <v>42581</v>
      </c>
      <c r="B18" s="9">
        <v>0.33333333333333398</v>
      </c>
      <c r="C18" s="2">
        <v>8436.7000000000007</v>
      </c>
      <c r="D18" s="2">
        <v>9.8000000000000007</v>
      </c>
      <c r="E18" s="3">
        <f t="shared" si="1"/>
        <v>7.6511996509130015E-4</v>
      </c>
      <c r="F18" s="4">
        <f t="shared" si="0"/>
        <v>737.07804223643927</v>
      </c>
    </row>
    <row r="19" spans="1:7">
      <c r="A19" s="7">
        <v>42592</v>
      </c>
      <c r="B19" s="1">
        <v>0.33333333333333298</v>
      </c>
      <c r="C19" s="2">
        <v>8455.1</v>
      </c>
      <c r="D19" s="2">
        <v>9.9</v>
      </c>
      <c r="E19" s="3">
        <f t="shared" ref="E19:E44" si="2">($B$2*C19^2+$B$3*C19+$B$4)-$B$5*D19-$E$7</f>
        <v>-5.4901784504953616E-4</v>
      </c>
      <c r="F19" s="4">
        <f t="shared" si="0"/>
        <v>736.9440001798049</v>
      </c>
    </row>
    <row r="20" spans="1:7">
      <c r="A20" s="7">
        <v>42602</v>
      </c>
      <c r="B20" s="1">
        <v>0.33333333333333298</v>
      </c>
      <c r="C20" s="2">
        <v>8457.7000000000007</v>
      </c>
      <c r="D20" s="2">
        <v>10</v>
      </c>
      <c r="E20" s="3">
        <f t="shared" si="2"/>
        <v>-6.3509043514022381E-4</v>
      </c>
      <c r="F20" s="4">
        <f t="shared" si="0"/>
        <v>736.93522077561568</v>
      </c>
    </row>
    <row r="21" spans="1:7">
      <c r="A21" s="7">
        <v>42612</v>
      </c>
      <c r="B21" s="1">
        <v>0.33333333333333298</v>
      </c>
      <c r="C21" s="2">
        <v>8455.9</v>
      </c>
      <c r="D21" s="2">
        <v>10.4</v>
      </c>
      <c r="E21" s="3">
        <f t="shared" si="2"/>
        <v>-3.1128336384640687E-5</v>
      </c>
      <c r="F21" s="4">
        <f t="shared" si="0"/>
        <v>736.99682490968871</v>
      </c>
    </row>
    <row r="22" spans="1:7">
      <c r="A22" s="7">
        <v>42623</v>
      </c>
      <c r="B22" s="1">
        <v>0.33333333333333298</v>
      </c>
      <c r="C22" s="2">
        <v>8455.7999999999993</v>
      </c>
      <c r="D22" s="2">
        <v>11</v>
      </c>
      <c r="E22" s="3">
        <f t="shared" si="2"/>
        <v>6.7272822493125856E-4</v>
      </c>
      <c r="F22" s="4">
        <f t="shared" si="0"/>
        <v>737.06861827894295</v>
      </c>
    </row>
    <row r="23" spans="1:7">
      <c r="A23" s="7">
        <v>42633</v>
      </c>
      <c r="B23" s="1">
        <v>0.33333333333333331</v>
      </c>
      <c r="C23" s="2">
        <v>8433.4</v>
      </c>
      <c r="D23" s="2">
        <v>11.6</v>
      </c>
      <c r="E23" s="3">
        <f t="shared" si="2"/>
        <v>3.1098666864767463E-3</v>
      </c>
      <c r="F23" s="4">
        <f t="shared" si="0"/>
        <v>737.31720640202059</v>
      </c>
    </row>
    <row r="24" spans="1:7">
      <c r="A24" s="7">
        <v>42643</v>
      </c>
      <c r="B24" s="1">
        <v>0.33333333333333331</v>
      </c>
      <c r="C24" s="2">
        <v>8475</v>
      </c>
      <c r="D24" s="2">
        <v>11.9</v>
      </c>
      <c r="E24" s="3">
        <f t="shared" si="2"/>
        <v>2.2452298108308066E-4</v>
      </c>
      <c r="F24" s="4">
        <f t="shared" si="0"/>
        <v>737.02290134407042</v>
      </c>
      <c r="G24" s="2"/>
    </row>
    <row r="25" spans="1:7">
      <c r="A25" s="7">
        <v>42926</v>
      </c>
      <c r="B25" s="1">
        <v>0.33333333333333331</v>
      </c>
      <c r="C25" s="2">
        <v>8473.2000000000007</v>
      </c>
      <c r="D25" s="2">
        <v>10.1</v>
      </c>
      <c r="E25" s="3">
        <f t="shared" si="2"/>
        <v>-1.7238230099699409E-3</v>
      </c>
      <c r="F25" s="4">
        <f t="shared" si="0"/>
        <v>736.82417005298305</v>
      </c>
      <c r="G25" s="2"/>
    </row>
    <row r="26" spans="1:7">
      <c r="A26" s="7">
        <v>42936</v>
      </c>
      <c r="B26" s="1">
        <v>0.33333333333333331</v>
      </c>
      <c r="C26" s="2">
        <v>8456.6</v>
      </c>
      <c r="D26" s="2">
        <v>10</v>
      </c>
      <c r="E26" s="3">
        <f t="shared" si="2"/>
        <v>-5.4959226478891801E-4</v>
      </c>
      <c r="F26" s="4">
        <f t="shared" si="0"/>
        <v>736.94394158899149</v>
      </c>
      <c r="G26" s="2"/>
    </row>
    <row r="27" spans="1:7">
      <c r="A27" s="6">
        <v>42946</v>
      </c>
      <c r="B27" s="1">
        <v>0.33333333333333331</v>
      </c>
      <c r="C27" s="2">
        <v>8465.7999999999993</v>
      </c>
      <c r="D27" s="2">
        <v>9.6999999999999993</v>
      </c>
      <c r="E27" s="3">
        <f t="shared" si="2"/>
        <v>-1.6127097639045684E-3</v>
      </c>
      <c r="F27" s="4">
        <f t="shared" si="0"/>
        <v>736.83550360408174</v>
      </c>
      <c r="G27" s="2"/>
    </row>
    <row r="28" spans="1:7">
      <c r="A28" s="7">
        <v>42957</v>
      </c>
      <c r="B28" s="1">
        <v>0.33333333333333331</v>
      </c>
      <c r="C28" s="2">
        <v>8446.2000000000007</v>
      </c>
      <c r="D28" s="2">
        <v>9.6</v>
      </c>
      <c r="E28" s="3">
        <f t="shared" si="2"/>
        <v>-2.0530175445779286E-4</v>
      </c>
      <c r="F28" s="4">
        <f t="shared" si="0"/>
        <v>736.9790592210453</v>
      </c>
    </row>
    <row r="29" spans="1:7">
      <c r="A29" s="7">
        <v>42967</v>
      </c>
      <c r="B29" s="1">
        <v>0.33333333333333331</v>
      </c>
      <c r="C29" s="2">
        <v>8457.1</v>
      </c>
      <c r="D29" s="2">
        <v>9.1999999999999993</v>
      </c>
      <c r="E29" s="3">
        <f t="shared" si="2"/>
        <v>-1.5165670699265714E-3</v>
      </c>
      <c r="F29" s="4">
        <f t="shared" si="0"/>
        <v>736.84531015886751</v>
      </c>
    </row>
    <row r="30" spans="1:7">
      <c r="A30" s="7">
        <v>42977</v>
      </c>
      <c r="B30" s="1">
        <v>0.33333333333333331</v>
      </c>
      <c r="C30" s="2">
        <v>8441.1</v>
      </c>
      <c r="D30" s="2">
        <v>9.6999999999999993</v>
      </c>
      <c r="E30" s="3">
        <f t="shared" si="2"/>
        <v>3.071130520993226E-4</v>
      </c>
      <c r="F30" s="4">
        <f t="shared" si="0"/>
        <v>737.03132553131411</v>
      </c>
    </row>
    <row r="31" spans="1:7">
      <c r="A31" s="7">
        <v>42988</v>
      </c>
      <c r="B31" s="1">
        <v>0.33333333333333331</v>
      </c>
      <c r="C31" s="2">
        <v>8442.2000000000007</v>
      </c>
      <c r="D31" s="2">
        <v>9.8000000000000007</v>
      </c>
      <c r="E31" s="3">
        <f t="shared" si="2"/>
        <v>3.3762883257546644E-4</v>
      </c>
      <c r="F31" s="4">
        <f t="shared" si="0"/>
        <v>737.0344381409227</v>
      </c>
    </row>
    <row r="32" spans="1:7">
      <c r="A32" s="7">
        <v>42998</v>
      </c>
      <c r="B32" s="1">
        <v>0.33333333333333331</v>
      </c>
      <c r="C32" s="2">
        <v>8448.4</v>
      </c>
      <c r="D32" s="2">
        <v>9</v>
      </c>
      <c r="E32" s="3">
        <f t="shared" si="2"/>
        <v>-1.0723821576569675E-3</v>
      </c>
      <c r="F32" s="4">
        <f t="shared" si="0"/>
        <v>736.89061701991898</v>
      </c>
    </row>
    <row r="33" spans="1:6">
      <c r="A33" s="7">
        <v>43008</v>
      </c>
      <c r="B33" s="1">
        <v>0.33333333333333331</v>
      </c>
      <c r="C33" s="2">
        <v>8449.7000000000007</v>
      </c>
      <c r="D33" s="2">
        <v>9</v>
      </c>
      <c r="E33" s="3">
        <f t="shared" si="2"/>
        <v>-1.1734254802591576E-3</v>
      </c>
      <c r="F33" s="4">
        <f t="shared" si="0"/>
        <v>736.88031060101355</v>
      </c>
    </row>
    <row r="34" spans="1:6">
      <c r="A34" s="7">
        <v>43018</v>
      </c>
      <c r="B34" s="1">
        <v>0.33333333333333331</v>
      </c>
      <c r="C34" s="2">
        <v>8456.5</v>
      </c>
      <c r="D34" s="2">
        <v>8.9</v>
      </c>
      <c r="E34" s="3">
        <f t="shared" si="2"/>
        <v>-1.817973703674744E-3</v>
      </c>
      <c r="F34" s="4">
        <f t="shared" si="0"/>
        <v>736.81456668222518</v>
      </c>
    </row>
    <row r="35" spans="1:6">
      <c r="A35" s="7">
        <v>43230</v>
      </c>
      <c r="B35" s="1">
        <v>0.33333333333333331</v>
      </c>
      <c r="C35" s="2">
        <v>8477.9</v>
      </c>
      <c r="D35" s="2">
        <v>9.8000000000000007</v>
      </c>
      <c r="E35" s="3">
        <f t="shared" si="2"/>
        <v>-2.4371751247880477E-3</v>
      </c>
      <c r="F35" s="4">
        <f t="shared" si="0"/>
        <v>736.7514081372716</v>
      </c>
    </row>
    <row r="36" spans="1:6">
      <c r="A36" s="7">
        <v>43240</v>
      </c>
      <c r="B36" s="1">
        <v>0.33333333333333331</v>
      </c>
      <c r="C36" s="2">
        <v>8472.2000000000007</v>
      </c>
      <c r="D36" s="2">
        <v>9.9</v>
      </c>
      <c r="E36" s="3">
        <f t="shared" si="2"/>
        <v>-1.8781254454061855E-3</v>
      </c>
      <c r="F36" s="4">
        <f t="shared" si="0"/>
        <v>736.80843120456859</v>
      </c>
    </row>
    <row r="37" spans="1:6">
      <c r="A37" s="7">
        <v>43250</v>
      </c>
      <c r="B37" s="1">
        <v>0.33333333333333331</v>
      </c>
      <c r="C37" s="2">
        <v>8466.7000000000007</v>
      </c>
      <c r="D37" s="2">
        <v>10.1</v>
      </c>
      <c r="E37" s="3">
        <f t="shared" si="2"/>
        <v>-1.2186067887538093E-3</v>
      </c>
      <c r="F37" s="4">
        <f t="shared" si="0"/>
        <v>736.87570210754711</v>
      </c>
    </row>
    <row r="38" spans="1:6">
      <c r="A38" s="7">
        <v>43261</v>
      </c>
      <c r="B38" s="1">
        <v>0.33333333333333331</v>
      </c>
      <c r="C38" s="2">
        <v>8460.7000000000007</v>
      </c>
      <c r="D38" s="2">
        <v>9.8000000000000007</v>
      </c>
      <c r="E38" s="3">
        <f t="shared" si="2"/>
        <v>-1.1002952456341739E-3</v>
      </c>
      <c r="F38" s="4">
        <f t="shared" si="0"/>
        <v>736.88776988494533</v>
      </c>
    </row>
    <row r="39" spans="1:6">
      <c r="A39" s="7">
        <v>43271</v>
      </c>
      <c r="B39" s="1">
        <v>0.33333333333333331</v>
      </c>
      <c r="C39" s="2">
        <v>8322.1</v>
      </c>
      <c r="D39" s="2">
        <v>9.8000000000000007</v>
      </c>
      <c r="E39" s="3">
        <f t="shared" si="2"/>
        <v>9.6725005005575473E-3</v>
      </c>
      <c r="F39" s="4">
        <f t="shared" si="0"/>
        <v>737.98659505105684</v>
      </c>
    </row>
    <row r="40" spans="1:6">
      <c r="A40" s="7">
        <v>43281</v>
      </c>
      <c r="B40" s="1">
        <v>0.33333333333333331</v>
      </c>
      <c r="C40" s="2">
        <v>8338.9</v>
      </c>
      <c r="D40" s="2">
        <v>9.6</v>
      </c>
      <c r="E40" s="3">
        <f t="shared" si="2"/>
        <v>8.134676126078183E-3</v>
      </c>
      <c r="F40" s="4">
        <f t="shared" si="0"/>
        <v>737.82973696485999</v>
      </c>
    </row>
    <row r="41" spans="1:6">
      <c r="A41" s="7">
        <v>43291</v>
      </c>
      <c r="B41" s="1">
        <v>0.33333333333333331</v>
      </c>
      <c r="C41" s="2">
        <v>8387.7999999999993</v>
      </c>
      <c r="D41" s="2">
        <v>9.8000000000000007</v>
      </c>
      <c r="E41" s="3">
        <f t="shared" si="2"/>
        <v>4.5659085974360872E-3</v>
      </c>
      <c r="F41" s="4">
        <f t="shared" si="0"/>
        <v>737.46572267693853</v>
      </c>
    </row>
    <row r="42" spans="1:6">
      <c r="A42" s="7">
        <v>43301</v>
      </c>
      <c r="B42" s="1">
        <v>0.33333333333333331</v>
      </c>
      <c r="C42" s="2">
        <v>8399.9</v>
      </c>
      <c r="D42" s="2">
        <v>9.5</v>
      </c>
      <c r="E42" s="3">
        <f t="shared" si="2"/>
        <v>3.2773845146144842E-3</v>
      </c>
      <c r="F42" s="4">
        <f t="shared" si="0"/>
        <v>737.33429322049062</v>
      </c>
    </row>
    <row r="43" spans="1:6">
      <c r="A43" s="7">
        <v>43311</v>
      </c>
      <c r="B43" s="1">
        <v>0.33333333333333331</v>
      </c>
      <c r="C43" s="2">
        <v>8397.9</v>
      </c>
      <c r="D43" s="2">
        <v>9.4</v>
      </c>
      <c r="E43" s="3">
        <f t="shared" si="2"/>
        <v>3.3168220694233738E-3</v>
      </c>
      <c r="F43" s="4">
        <f t="shared" si="0"/>
        <v>737.33831585108123</v>
      </c>
    </row>
    <row r="44" spans="1:6">
      <c r="A44" s="7">
        <v>43322</v>
      </c>
      <c r="B44" s="1">
        <v>0.33333333333333331</v>
      </c>
      <c r="C44" s="2">
        <v>8366.2000000000007</v>
      </c>
      <c r="D44" s="2">
        <v>9.1999999999999993</v>
      </c>
      <c r="E44" s="3">
        <f t="shared" si="2"/>
        <v>5.5487027536283602E-3</v>
      </c>
      <c r="F44" s="4">
        <f t="shared" si="0"/>
        <v>737.56596768087013</v>
      </c>
    </row>
    <row r="45" spans="1:6">
      <c r="A45" s="7">
        <v>43332</v>
      </c>
      <c r="B45" s="1">
        <v>0.33333333333333331</v>
      </c>
      <c r="C45" s="2">
        <v>8387.4</v>
      </c>
      <c r="D45" s="2">
        <v>9.1999999999999993</v>
      </c>
      <c r="E45" s="3">
        <f t="shared" ref="E45:E62" si="3">($B$2*C45^2+$B$3*C45+$B$4)-$B$5*D45-$E$7</f>
        <v>3.900914921433591E-3</v>
      </c>
      <c r="F45" s="4">
        <f t="shared" ref="F45:F62" si="4">$D$1+102*E45</f>
        <v>737.3978933219862</v>
      </c>
    </row>
    <row r="46" spans="1:6">
      <c r="A46" s="7">
        <v>43342</v>
      </c>
      <c r="B46" s="1">
        <v>0.33333333333333331</v>
      </c>
      <c r="C46" s="2">
        <v>8367.2000000000007</v>
      </c>
      <c r="D46" s="2">
        <v>8.9</v>
      </c>
      <c r="E46" s="3">
        <f t="shared" si="3"/>
        <v>5.1229348833584792E-3</v>
      </c>
      <c r="F46" s="4">
        <f t="shared" si="4"/>
        <v>737.52253935810256</v>
      </c>
    </row>
    <row r="47" spans="1:6">
      <c r="A47" s="7">
        <v>43353</v>
      </c>
      <c r="B47" s="1">
        <v>0.33333333333333331</v>
      </c>
      <c r="C47" s="2">
        <v>8346.7000000000007</v>
      </c>
      <c r="D47" s="2">
        <v>8.6999999999999993</v>
      </c>
      <c r="E47" s="3">
        <f t="shared" si="3"/>
        <v>6.4842878003341722E-3</v>
      </c>
      <c r="F47" s="4">
        <f t="shared" si="4"/>
        <v>737.66139735563411</v>
      </c>
    </row>
    <row r="48" spans="1:6">
      <c r="A48" s="7">
        <v>43363</v>
      </c>
      <c r="B48" s="1">
        <v>0.33333333333333331</v>
      </c>
      <c r="C48" s="2">
        <v>8315.2000000000007</v>
      </c>
      <c r="D48" s="2">
        <v>8.4</v>
      </c>
      <c r="E48" s="3">
        <f t="shared" si="3"/>
        <v>8.5846139616018724E-3</v>
      </c>
      <c r="F48" s="4">
        <f t="shared" si="4"/>
        <v>737.87563062408344</v>
      </c>
    </row>
    <row r="49" spans="1:6">
      <c r="A49" s="7">
        <v>43373</v>
      </c>
      <c r="B49" s="1">
        <v>0.33333333333333331</v>
      </c>
      <c r="C49" s="2">
        <v>8324.7000000000007</v>
      </c>
      <c r="D49" s="2">
        <v>8.1999999999999993</v>
      </c>
      <c r="E49" s="3">
        <f t="shared" si="3"/>
        <v>7.6141889131728299E-3</v>
      </c>
      <c r="F49" s="4">
        <f t="shared" si="4"/>
        <v>737.77664726914361</v>
      </c>
    </row>
    <row r="50" spans="1:6">
      <c r="A50" s="7">
        <v>43383</v>
      </c>
      <c r="B50" s="1">
        <v>0.33333333333333331</v>
      </c>
      <c r="C50" s="2">
        <v>8327.1</v>
      </c>
      <c r="D50" s="2">
        <v>7.9</v>
      </c>
      <c r="E50" s="3">
        <f t="shared" si="3"/>
        <v>7.0796045421219617E-3</v>
      </c>
      <c r="F50" s="4">
        <f t="shared" si="4"/>
        <v>737.72211966329644</v>
      </c>
    </row>
    <row r="51" spans="1:6">
      <c r="A51" s="7">
        <v>43393</v>
      </c>
      <c r="B51" s="1">
        <v>0.33333333333333331</v>
      </c>
      <c r="C51" s="2">
        <v>8328.6</v>
      </c>
      <c r="D51" s="2">
        <v>7.7</v>
      </c>
      <c r="E51" s="3">
        <f t="shared" si="3"/>
        <v>6.7309875686509639E-3</v>
      </c>
      <c r="F51" s="4">
        <f t="shared" si="4"/>
        <v>737.68656073200236</v>
      </c>
    </row>
    <row r="52" spans="1:6">
      <c r="A52" s="7">
        <v>43605</v>
      </c>
      <c r="B52" s="1">
        <v>0.33333333333333331</v>
      </c>
      <c r="C52" s="2">
        <v>8330.7000000000007</v>
      </c>
      <c r="D52" s="2">
        <v>7.5</v>
      </c>
      <c r="E52" s="3">
        <f t="shared" si="3"/>
        <v>6.335735016693024E-3</v>
      </c>
      <c r="F52" s="4">
        <f t="shared" si="4"/>
        <v>737.64624497170269</v>
      </c>
    </row>
    <row r="53" spans="1:6">
      <c r="A53" s="7">
        <v>43615</v>
      </c>
      <c r="B53" s="1">
        <v>0.33333333333333331</v>
      </c>
      <c r="C53" s="2">
        <v>8331.6</v>
      </c>
      <c r="D53" s="2">
        <v>7.7</v>
      </c>
      <c r="E53" s="3">
        <f t="shared" si="3"/>
        <v>6.4978096411758383E-3</v>
      </c>
      <c r="F53" s="4">
        <f t="shared" si="4"/>
        <v>737.66277658339993</v>
      </c>
    </row>
    <row r="54" spans="1:6">
      <c r="A54" s="7">
        <v>43626</v>
      </c>
      <c r="B54" s="1">
        <v>0.33333333333333331</v>
      </c>
      <c r="C54" s="2">
        <v>8332.4</v>
      </c>
      <c r="D54" s="2">
        <v>7.9</v>
      </c>
      <c r="E54" s="3">
        <f t="shared" si="3"/>
        <v>6.6676568648996598E-3</v>
      </c>
      <c r="F54" s="4">
        <f t="shared" si="4"/>
        <v>737.68010100021979</v>
      </c>
    </row>
    <row r="55" spans="1:6">
      <c r="A55" s="7">
        <v>43636</v>
      </c>
      <c r="B55" s="1">
        <v>0.33333333333333331</v>
      </c>
      <c r="C55" s="2">
        <v>8334.4</v>
      </c>
      <c r="D55" s="2">
        <v>8</v>
      </c>
      <c r="E55" s="3">
        <f t="shared" si="3"/>
        <v>6.6282189322842029E-3</v>
      </c>
      <c r="F55" s="4">
        <f t="shared" si="4"/>
        <v>737.67607833109298</v>
      </c>
    </row>
    <row r="56" spans="1:6">
      <c r="A56" s="7">
        <v>43646</v>
      </c>
      <c r="B56" s="1">
        <v>0.33333333333333331</v>
      </c>
      <c r="C56" s="2">
        <v>8352.7000000000007</v>
      </c>
      <c r="D56" s="2">
        <v>8</v>
      </c>
      <c r="E56" s="3">
        <f t="shared" si="3"/>
        <v>5.205834284544953E-3</v>
      </c>
      <c r="F56" s="4">
        <f t="shared" si="4"/>
        <v>737.53099509702361</v>
      </c>
    </row>
    <row r="57" spans="1:6">
      <c r="A57" s="7">
        <v>43656</v>
      </c>
      <c r="B57" s="1">
        <v>0.33333333333333331</v>
      </c>
      <c r="C57" s="2">
        <v>8365.6</v>
      </c>
      <c r="D57" s="2">
        <v>8.1</v>
      </c>
      <c r="E57" s="3">
        <f t="shared" si="3"/>
        <v>4.3191842771745856E-3</v>
      </c>
      <c r="F57" s="4">
        <f t="shared" si="4"/>
        <v>737.44055679627184</v>
      </c>
    </row>
    <row r="58" spans="1:6">
      <c r="A58" s="7">
        <v>43666</v>
      </c>
      <c r="B58" s="1">
        <v>0.33333333333333331</v>
      </c>
      <c r="C58" s="2">
        <v>8372.7000000000007</v>
      </c>
      <c r="D58" s="2">
        <v>8.1</v>
      </c>
      <c r="E58" s="3">
        <f t="shared" si="3"/>
        <v>3.7673306484260413E-3</v>
      </c>
      <c r="F58" s="4">
        <f t="shared" si="4"/>
        <v>737.38426772613946</v>
      </c>
    </row>
    <row r="59" spans="1:6">
      <c r="A59" s="7">
        <v>43676</v>
      </c>
      <c r="B59" s="1">
        <v>0.33333333333333331</v>
      </c>
      <c r="C59" s="2">
        <v>8382.1</v>
      </c>
      <c r="D59" s="2">
        <v>8.1999999999999993</v>
      </c>
      <c r="E59" s="3">
        <f t="shared" si="3"/>
        <v>3.1527217579640429E-3</v>
      </c>
      <c r="F59" s="4">
        <f t="shared" si="4"/>
        <v>737.32157761931228</v>
      </c>
    </row>
    <row r="60" spans="1:6">
      <c r="A60" s="7">
        <v>43687</v>
      </c>
      <c r="B60" s="1">
        <v>0.33333333333333331</v>
      </c>
      <c r="C60" s="2">
        <v>8374.2000000000007</v>
      </c>
      <c r="D60" s="2">
        <v>8</v>
      </c>
      <c r="E60" s="3">
        <f t="shared" si="3"/>
        <v>3.5347278722219107E-3</v>
      </c>
      <c r="F60" s="4">
        <f t="shared" si="4"/>
        <v>737.36054224296663</v>
      </c>
    </row>
    <row r="61" spans="1:6">
      <c r="A61" s="7">
        <v>43697</v>
      </c>
      <c r="B61" s="1">
        <v>0.33333333333333331</v>
      </c>
      <c r="C61" s="2">
        <v>8369.1</v>
      </c>
      <c r="D61" s="2">
        <v>8.3000000000000007</v>
      </c>
      <c r="E61" s="3">
        <f t="shared" si="3"/>
        <v>4.279171737791132E-3</v>
      </c>
      <c r="F61" s="4">
        <f t="shared" si="4"/>
        <v>737.43647551725473</v>
      </c>
    </row>
    <row r="62" spans="1:6">
      <c r="A62" s="7">
        <v>43707</v>
      </c>
      <c r="B62" s="1">
        <v>0.33333333333333331</v>
      </c>
      <c r="C62" s="2">
        <v>8291</v>
      </c>
      <c r="D62" s="2">
        <v>7.9</v>
      </c>
      <c r="E62" s="3">
        <f t="shared" si="3"/>
        <v>9.8855144609856088E-3</v>
      </c>
      <c r="F62" s="4">
        <f t="shared" si="4"/>
        <v>738.00832247502058</v>
      </c>
    </row>
  </sheetData>
  <phoneticPr fontId="4" type="noConversion"/>
  <pageMargins left="0.69930555555555596" right="0.69930555555555596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6"/>
  <sheetViews>
    <sheetView topLeftCell="A37" workbookViewId="0">
      <selection activeCell="A54" sqref="A54:B60"/>
    </sheetView>
  </sheetViews>
  <sheetFormatPr defaultColWidth="9" defaultRowHeight="13.5"/>
  <cols>
    <col min="1" max="1" width="11" customWidth="1"/>
    <col min="2" max="2" width="13.125" style="17" customWidth="1"/>
    <col min="5" max="5" width="10.875" customWidth="1"/>
  </cols>
  <sheetData>
    <row r="1" spans="1:7">
      <c r="A1" t="s">
        <v>0</v>
      </c>
      <c r="B1" s="17">
        <v>50385</v>
      </c>
      <c r="C1" t="s">
        <v>1</v>
      </c>
      <c r="D1">
        <v>741.5</v>
      </c>
      <c r="E1" s="5" t="s">
        <v>23</v>
      </c>
    </row>
    <row r="2" spans="1:7">
      <c r="A2" t="s">
        <v>2</v>
      </c>
      <c r="B2" s="11">
        <f>7.11287*10^-10</f>
        <v>7.1128700000000001E-10</v>
      </c>
    </row>
    <row r="3" spans="1:7">
      <c r="A3" t="s">
        <v>3</v>
      </c>
      <c r="B3" s="18">
        <v>-7.1996999999999995E-5</v>
      </c>
    </row>
    <row r="4" spans="1:7">
      <c r="A4" t="s">
        <v>4</v>
      </c>
      <c r="B4" s="18">
        <v>0.52691880000000002</v>
      </c>
    </row>
    <row r="5" spans="1:7">
      <c r="A5" t="s">
        <v>5</v>
      </c>
      <c r="B5" s="18">
        <v>-8.7706700000000004E-4</v>
      </c>
    </row>
    <row r="6" spans="1:7">
      <c r="A6" t="s">
        <v>6</v>
      </c>
      <c r="B6" s="18" t="s">
        <v>7</v>
      </c>
      <c r="C6" t="s">
        <v>8</v>
      </c>
      <c r="D6" t="s">
        <v>9</v>
      </c>
      <c r="E6" t="s">
        <v>10</v>
      </c>
      <c r="F6" t="s">
        <v>11</v>
      </c>
      <c r="G6" t="s">
        <v>12</v>
      </c>
    </row>
    <row r="7" spans="1:7">
      <c r="A7" s="6">
        <v>42568</v>
      </c>
      <c r="B7" s="9">
        <v>0.58333333333333304</v>
      </c>
      <c r="C7" s="2">
        <v>7942.5</v>
      </c>
      <c r="D7" s="2">
        <v>20.5</v>
      </c>
      <c r="E7" s="3">
        <f>($B$2*C7^2+$B$3*C7+$B$4)-$B$5*D7</f>
        <v>1.7932836652643815E-2</v>
      </c>
      <c r="G7" t="s">
        <v>13</v>
      </c>
    </row>
    <row r="8" spans="1:7">
      <c r="A8" s="6">
        <v>42569</v>
      </c>
      <c r="B8" s="9">
        <v>0.39583333333333298</v>
      </c>
      <c r="C8" s="2">
        <v>7964.1</v>
      </c>
      <c r="D8" s="2">
        <v>20.9</v>
      </c>
      <c r="E8" s="3">
        <f>($B$2*C8^2+$B$3*C8+$B$4)-$B$5*D8-$E$7</f>
        <v>-9.5992259164532842E-4</v>
      </c>
      <c r="F8" s="4">
        <f>$D$1+102*E8</f>
        <v>741.40208789565213</v>
      </c>
      <c r="G8" s="5" t="s">
        <v>14</v>
      </c>
    </row>
    <row r="9" spans="1:7">
      <c r="A9" s="6">
        <v>42570</v>
      </c>
      <c r="B9" s="9">
        <v>0.33333333333333298</v>
      </c>
      <c r="C9" s="2">
        <v>7986.8</v>
      </c>
      <c r="D9" s="2">
        <v>23.3</v>
      </c>
      <c r="E9" s="3">
        <f t="shared" ref="E9:E16" si="0">($B$2*C9^2+$B$3*C9+$B$4)-$B$5*D9-$E$7</f>
        <v>-2.3174703239690203E-4</v>
      </c>
      <c r="F9" s="4">
        <f t="shared" ref="F9:F42" si="1">$D$1+102*E9</f>
        <v>741.47636180269546</v>
      </c>
    </row>
    <row r="10" spans="1:7">
      <c r="A10" s="6">
        <v>42571</v>
      </c>
      <c r="B10" s="9">
        <v>0.33333333333333298</v>
      </c>
      <c r="C10" s="2">
        <v>7997.4</v>
      </c>
      <c r="D10" s="2">
        <v>24.4</v>
      </c>
      <c r="E10" s="3">
        <f t="shared" si="0"/>
        <v>9.0373616456349004E-5</v>
      </c>
      <c r="F10" s="4">
        <f t="shared" si="1"/>
        <v>741.5092181088786</v>
      </c>
    </row>
    <row r="11" spans="1:7">
      <c r="A11" s="6">
        <v>42572</v>
      </c>
      <c r="B11" s="9">
        <v>0.33333333333333298</v>
      </c>
      <c r="C11" s="2">
        <v>8014.7</v>
      </c>
      <c r="D11" s="2">
        <v>25.1</v>
      </c>
      <c r="E11" s="3">
        <f t="shared" si="0"/>
        <v>-3.4419444823591966E-4</v>
      </c>
      <c r="F11" s="4">
        <f t="shared" si="1"/>
        <v>741.46489216627992</v>
      </c>
    </row>
    <row r="12" spans="1:7">
      <c r="A12" s="6">
        <v>42573</v>
      </c>
      <c r="B12" s="9">
        <v>0.33333333333333298</v>
      </c>
      <c r="C12" s="2">
        <v>8025.3</v>
      </c>
      <c r="D12" s="2">
        <v>25.7</v>
      </c>
      <c r="E12" s="3">
        <f t="shared" si="0"/>
        <v>-4.601865873479008E-4</v>
      </c>
      <c r="F12" s="4">
        <f t="shared" si="1"/>
        <v>741.45306096809054</v>
      </c>
    </row>
    <row r="13" spans="1:7">
      <c r="A13" s="6">
        <v>42574</v>
      </c>
      <c r="B13" s="9">
        <v>0.33333333333333298</v>
      </c>
      <c r="C13" s="2">
        <v>8038.1</v>
      </c>
      <c r="D13" s="2">
        <v>25.7</v>
      </c>
      <c r="E13" s="3">
        <f t="shared" si="0"/>
        <v>-1.2354993861216426E-3</v>
      </c>
      <c r="F13" s="4">
        <f t="shared" si="1"/>
        <v>741.3739790626156</v>
      </c>
    </row>
    <row r="14" spans="1:7">
      <c r="A14" s="6">
        <v>42575</v>
      </c>
      <c r="B14" s="9">
        <v>0.33333333333333298</v>
      </c>
      <c r="C14" s="2">
        <v>8029.2</v>
      </c>
      <c r="D14" s="2">
        <v>24.7</v>
      </c>
      <c r="E14" s="3">
        <f t="shared" si="0"/>
        <v>-1.5735063944960215E-3</v>
      </c>
      <c r="F14" s="4">
        <f t="shared" si="1"/>
        <v>741.33950234776137</v>
      </c>
    </row>
    <row r="15" spans="1:7">
      <c r="A15" s="6">
        <v>42576</v>
      </c>
      <c r="B15" s="9">
        <v>0.33333333333333298</v>
      </c>
      <c r="C15" s="2">
        <v>8024.4</v>
      </c>
      <c r="D15" s="2">
        <v>25.9</v>
      </c>
      <c r="E15" s="3">
        <f t="shared" si="0"/>
        <v>-2.3025023601544459E-4</v>
      </c>
      <c r="F15" s="4">
        <f t="shared" si="1"/>
        <v>741.47651447592648</v>
      </c>
    </row>
    <row r="16" spans="1:7">
      <c r="A16" s="6">
        <v>42581</v>
      </c>
      <c r="B16" s="9">
        <v>0.33333333333333298</v>
      </c>
      <c r="C16" s="2">
        <v>8012.2</v>
      </c>
      <c r="D16" s="2">
        <v>25.6</v>
      </c>
      <c r="E16" s="3">
        <f t="shared" si="0"/>
        <v>2.4583223771328447E-4</v>
      </c>
      <c r="F16" s="4">
        <f t="shared" si="1"/>
        <v>741.52507488824676</v>
      </c>
    </row>
    <row r="17" spans="1:6">
      <c r="A17" s="6">
        <v>42592</v>
      </c>
      <c r="B17" s="9">
        <v>0.33333333333333298</v>
      </c>
      <c r="C17" s="2">
        <v>7999.7</v>
      </c>
      <c r="D17" s="2">
        <v>24.9</v>
      </c>
      <c r="E17" s="3">
        <f t="shared" ref="E17:E42" si="2">($B$2*C17^2+$B$3*C17+$B$4)-$B$5*D17-$E$7</f>
        <v>3.8948463377206852E-4</v>
      </c>
      <c r="F17" s="4">
        <f t="shared" si="1"/>
        <v>741.53972743264478</v>
      </c>
    </row>
    <row r="18" spans="1:6">
      <c r="A18" s="6">
        <v>42602</v>
      </c>
      <c r="B18" s="9">
        <v>0.33333333333333298</v>
      </c>
      <c r="C18" s="2">
        <v>7988.7</v>
      </c>
      <c r="D18" s="2">
        <v>24</v>
      </c>
      <c r="E18" s="3">
        <f t="shared" si="2"/>
        <v>2.6699558199324777E-4</v>
      </c>
      <c r="F18" s="4">
        <f t="shared" si="1"/>
        <v>741.52723354936336</v>
      </c>
    </row>
    <row r="19" spans="1:6">
      <c r="A19" s="7">
        <v>42612</v>
      </c>
      <c r="B19" s="9">
        <v>0.33333333333333298</v>
      </c>
      <c r="C19" s="2">
        <v>7966.7</v>
      </c>
      <c r="D19" s="2">
        <v>23.1</v>
      </c>
      <c r="E19" s="3">
        <f t="shared" si="2"/>
        <v>8.1189417279765516E-4</v>
      </c>
      <c r="F19" s="4">
        <f t="shared" si="1"/>
        <v>741.58281320562537</v>
      </c>
    </row>
    <row r="20" spans="1:6">
      <c r="A20" s="7">
        <v>42623</v>
      </c>
      <c r="B20" s="9">
        <v>0.33333333333333298</v>
      </c>
      <c r="C20" s="2">
        <v>7960</v>
      </c>
      <c r="D20" s="2">
        <v>22.2</v>
      </c>
      <c r="E20" s="3">
        <f t="shared" si="2"/>
        <v>4.290131265562401E-4</v>
      </c>
      <c r="F20" s="4">
        <f t="shared" si="1"/>
        <v>741.54375933890879</v>
      </c>
    </row>
    <row r="21" spans="1:6">
      <c r="A21" s="7">
        <v>42633</v>
      </c>
      <c r="B21" s="9">
        <v>0.33333333333333331</v>
      </c>
      <c r="C21" s="2">
        <v>7941</v>
      </c>
      <c r="D21" s="2">
        <v>21.5</v>
      </c>
      <c r="E21" s="3">
        <f t="shared" si="2"/>
        <v>9.6811590940325959E-4</v>
      </c>
      <c r="F21" s="4">
        <f t="shared" si="1"/>
        <v>741.59874782275915</v>
      </c>
    </row>
    <row r="22" spans="1:6">
      <c r="A22" s="7">
        <v>42643</v>
      </c>
      <c r="B22" s="9">
        <v>0.33333333333333331</v>
      </c>
      <c r="C22" s="2">
        <v>7948</v>
      </c>
      <c r="D22" s="2">
        <v>20.8</v>
      </c>
      <c r="E22" s="3">
        <f t="shared" si="2"/>
        <v>-7.0698516595760208E-5</v>
      </c>
      <c r="F22" s="4">
        <f t="shared" si="1"/>
        <v>741.49278875130722</v>
      </c>
    </row>
    <row r="23" spans="1:6">
      <c r="A23" s="7">
        <v>42926</v>
      </c>
      <c r="B23" s="9">
        <v>0.33333333333333331</v>
      </c>
      <c r="C23" s="2">
        <v>7827</v>
      </c>
      <c r="D23" s="2">
        <v>10</v>
      </c>
      <c r="E23" s="3">
        <f t="shared" si="2"/>
        <v>-2.1890719600208414E-3</v>
      </c>
      <c r="F23" s="4">
        <f t="shared" si="1"/>
        <v>741.27671466007791</v>
      </c>
    </row>
    <row r="24" spans="1:6">
      <c r="A24" s="7">
        <v>42936</v>
      </c>
      <c r="B24" s="9">
        <v>0.33333333333333331</v>
      </c>
      <c r="C24" s="2">
        <v>7807.2</v>
      </c>
      <c r="D24" s="2">
        <v>10</v>
      </c>
      <c r="E24" s="3">
        <f t="shared" si="2"/>
        <v>-9.8371534368570102E-4</v>
      </c>
      <c r="F24" s="4">
        <f t="shared" si="1"/>
        <v>741.39966103494407</v>
      </c>
    </row>
    <row r="25" spans="1:6">
      <c r="A25" s="7">
        <v>42946</v>
      </c>
      <c r="B25" s="9">
        <v>0.33333333333333331</v>
      </c>
      <c r="C25" s="2">
        <v>7811.9</v>
      </c>
      <c r="D25" s="2">
        <v>10</v>
      </c>
      <c r="E25" s="3">
        <f t="shared" si="2"/>
        <v>-1.2698858286116638E-3</v>
      </c>
      <c r="F25" s="4">
        <f t="shared" si="1"/>
        <v>741.37047164548164</v>
      </c>
    </row>
    <row r="26" spans="1:6">
      <c r="A26" s="7">
        <v>42957</v>
      </c>
      <c r="B26" s="9">
        <v>0.33333333333333331</v>
      </c>
      <c r="C26" s="2">
        <v>7803</v>
      </c>
      <c r="D26" s="2">
        <v>10.199999999999999</v>
      </c>
      <c r="E26" s="3">
        <f t="shared" si="2"/>
        <v>-5.5254853946080235E-4</v>
      </c>
      <c r="F26" s="4">
        <f t="shared" si="1"/>
        <v>741.443640048975</v>
      </c>
    </row>
    <row r="27" spans="1:6">
      <c r="A27" s="7">
        <v>42967</v>
      </c>
      <c r="B27" s="9">
        <v>0.33333333333333331</v>
      </c>
      <c r="C27" s="2">
        <v>7817</v>
      </c>
      <c r="D27" s="2">
        <v>10.4</v>
      </c>
      <c r="E27" s="3">
        <f t="shared" si="2"/>
        <v>-1.2295488983007329E-3</v>
      </c>
      <c r="F27" s="4">
        <f t="shared" si="1"/>
        <v>741.37458601237336</v>
      </c>
    </row>
    <row r="28" spans="1:6">
      <c r="A28" s="6">
        <v>42977</v>
      </c>
      <c r="B28" s="9">
        <v>0.33333333333333331</v>
      </c>
      <c r="C28" s="2">
        <v>7804.5</v>
      </c>
      <c r="D28" s="2">
        <v>11.4</v>
      </c>
      <c r="E28" s="3">
        <f t="shared" si="2"/>
        <v>4.0858847831803241E-4</v>
      </c>
      <c r="F28" s="4">
        <f t="shared" si="1"/>
        <v>741.54167602478844</v>
      </c>
    </row>
    <row r="29" spans="1:6">
      <c r="A29" s="7">
        <v>42988</v>
      </c>
      <c r="B29" s="9">
        <v>0.33333333333333331</v>
      </c>
      <c r="C29" s="2">
        <v>7802.5</v>
      </c>
      <c r="D29" s="2">
        <v>11.7</v>
      </c>
      <c r="E29" s="3">
        <f t="shared" si="2"/>
        <v>7.9350046589991147E-4</v>
      </c>
      <c r="F29" s="4">
        <f t="shared" si="1"/>
        <v>741.58093704752184</v>
      </c>
    </row>
    <row r="30" spans="1:6">
      <c r="A30" s="7">
        <v>42998</v>
      </c>
      <c r="B30" s="9">
        <v>0.33333333333333331</v>
      </c>
      <c r="C30" s="2">
        <v>7821.2</v>
      </c>
      <c r="D30" s="2">
        <v>11.2</v>
      </c>
      <c r="E30" s="3">
        <f t="shared" si="2"/>
        <v>-7.8356505517447606E-4</v>
      </c>
      <c r="F30" s="4">
        <f t="shared" si="1"/>
        <v>741.42007636437222</v>
      </c>
    </row>
    <row r="31" spans="1:6">
      <c r="A31" s="7">
        <v>43008</v>
      </c>
      <c r="B31" s="9">
        <v>0.33333333333333331</v>
      </c>
      <c r="C31" s="2">
        <v>7819.3</v>
      </c>
      <c r="D31" s="2">
        <v>11.1</v>
      </c>
      <c r="E31" s="3">
        <f t="shared" si="2"/>
        <v>-7.5561473538914709E-4</v>
      </c>
      <c r="F31" s="4">
        <f t="shared" si="1"/>
        <v>741.42292729699034</v>
      </c>
    </row>
    <row r="32" spans="1:6">
      <c r="A32" s="7">
        <v>43018</v>
      </c>
      <c r="B32" s="9">
        <v>0.33333333333333331</v>
      </c>
      <c r="C32" s="2">
        <v>7820.3</v>
      </c>
      <c r="D32" s="2">
        <v>11.4</v>
      </c>
      <c r="E32" s="3">
        <f t="shared" si="2"/>
        <v>-5.5336739122392037E-4</v>
      </c>
      <c r="F32" s="4">
        <f t="shared" si="1"/>
        <v>741.44355652609511</v>
      </c>
    </row>
    <row r="33" spans="1:6">
      <c r="A33" s="7">
        <v>43230</v>
      </c>
      <c r="B33" s="9">
        <v>0.33333333333333331</v>
      </c>
      <c r="C33" s="2">
        <v>7834.1</v>
      </c>
      <c r="D33" s="2">
        <v>11.7</v>
      </c>
      <c r="E33" s="3">
        <f t="shared" si="2"/>
        <v>-1.1301460484872336E-3</v>
      </c>
      <c r="F33" s="4">
        <f t="shared" si="1"/>
        <v>741.38472510305428</v>
      </c>
    </row>
    <row r="34" spans="1:6">
      <c r="A34" s="7">
        <v>43240</v>
      </c>
      <c r="B34" s="9">
        <v>0.33333333333333331</v>
      </c>
      <c r="C34" s="2">
        <v>7831.3</v>
      </c>
      <c r="D34" s="2">
        <v>11.8</v>
      </c>
      <c r="E34" s="3">
        <f t="shared" si="2"/>
        <v>-8.7204701552266728E-4</v>
      </c>
      <c r="F34" s="4">
        <f t="shared" si="1"/>
        <v>741.41105120441671</v>
      </c>
    </row>
    <row r="35" spans="1:6">
      <c r="A35" s="7">
        <v>43250</v>
      </c>
      <c r="B35" s="9">
        <v>0.33333333333333331</v>
      </c>
      <c r="C35" s="2">
        <v>7823.6</v>
      </c>
      <c r="D35" s="2">
        <v>11.8</v>
      </c>
      <c r="E35" s="3">
        <f t="shared" si="2"/>
        <v>-4.0341059231628618E-4</v>
      </c>
      <c r="F35" s="4">
        <f t="shared" si="1"/>
        <v>741.45885211958375</v>
      </c>
    </row>
    <row r="36" spans="1:6">
      <c r="A36" s="7">
        <v>43261</v>
      </c>
      <c r="B36" s="9">
        <v>0.33333333333333331</v>
      </c>
      <c r="C36" s="2">
        <v>7833.1</v>
      </c>
      <c r="D36" s="2">
        <v>11.6</v>
      </c>
      <c r="E36" s="3">
        <f t="shared" si="2"/>
        <v>-1.1569996241737567E-3</v>
      </c>
      <c r="F36" s="4">
        <f t="shared" si="1"/>
        <v>741.38198603833428</v>
      </c>
    </row>
    <row r="37" spans="1:6">
      <c r="A37" s="7">
        <v>43271</v>
      </c>
      <c r="B37" s="9">
        <v>0.33333333333333331</v>
      </c>
      <c r="C37" s="2">
        <v>7835.4</v>
      </c>
      <c r="D37" s="2">
        <v>11.5</v>
      </c>
      <c r="E37" s="3">
        <f t="shared" si="2"/>
        <v>-1.3846663833469164E-3</v>
      </c>
      <c r="F37" s="4">
        <f t="shared" si="1"/>
        <v>741.35876402889858</v>
      </c>
    </row>
    <row r="38" spans="1:6">
      <c r="A38" s="7">
        <v>43281</v>
      </c>
      <c r="B38" s="9">
        <v>0.33333333333333331</v>
      </c>
      <c r="C38" s="2">
        <v>7829.2</v>
      </c>
      <c r="D38" s="2">
        <v>11.3</v>
      </c>
      <c r="E38" s="3">
        <f t="shared" si="2"/>
        <v>-1.1827789466559505E-3</v>
      </c>
      <c r="F38" s="4">
        <f t="shared" si="1"/>
        <v>741.37935654744115</v>
      </c>
    </row>
    <row r="39" spans="1:6">
      <c r="A39" s="7">
        <v>43291</v>
      </c>
      <c r="B39" s="9">
        <v>0.33333333333333331</v>
      </c>
      <c r="C39" s="2">
        <v>7835.4</v>
      </c>
      <c r="D39" s="2">
        <v>11.6</v>
      </c>
      <c r="E39" s="3">
        <f t="shared" si="2"/>
        <v>-1.2969596833469176E-3</v>
      </c>
      <c r="F39" s="4">
        <f t="shared" si="1"/>
        <v>741.3677101122986</v>
      </c>
    </row>
    <row r="40" spans="1:6">
      <c r="A40" s="7">
        <v>43301</v>
      </c>
      <c r="B40" s="9">
        <v>0.33333333333333331</v>
      </c>
      <c r="C40" s="2">
        <v>7825.7</v>
      </c>
      <c r="D40" s="2">
        <v>11.2</v>
      </c>
      <c r="E40" s="3">
        <f t="shared" si="2"/>
        <v>-1.0574690906531431E-3</v>
      </c>
      <c r="F40" s="4">
        <f t="shared" si="1"/>
        <v>741.39213815275343</v>
      </c>
    </row>
    <row r="41" spans="1:6">
      <c r="A41" s="7">
        <v>43311</v>
      </c>
      <c r="B41" s="9">
        <v>0.33333333333333331</v>
      </c>
      <c r="C41" s="2">
        <v>7815.4</v>
      </c>
      <c r="D41" s="2">
        <v>10.9</v>
      </c>
      <c r="E41" s="3">
        <f t="shared" si="2"/>
        <v>-6.9361079493879263E-4</v>
      </c>
      <c r="F41" s="4">
        <f t="shared" si="1"/>
        <v>741.42925169891623</v>
      </c>
    </row>
    <row r="42" spans="1:6">
      <c r="A42" s="7">
        <v>43322</v>
      </c>
      <c r="B42" s="9">
        <v>0.33333333333333331</v>
      </c>
      <c r="C42" s="2">
        <v>7810.7</v>
      </c>
      <c r="D42" s="2">
        <v>10.9</v>
      </c>
      <c r="E42" s="3">
        <f t="shared" si="2"/>
        <v>-4.0746371135513826E-4</v>
      </c>
      <c r="F42" s="4">
        <f t="shared" si="1"/>
        <v>741.45843870144176</v>
      </c>
    </row>
    <row r="43" spans="1:6">
      <c r="A43" s="7">
        <v>43332</v>
      </c>
      <c r="B43" s="9">
        <v>0.33333333333333331</v>
      </c>
      <c r="C43" s="2">
        <v>7821</v>
      </c>
      <c r="D43" s="2">
        <v>10.7</v>
      </c>
      <c r="E43" s="3">
        <f t="shared" ref="E43:E60" si="3">($B$2*C43^2+$B$3*C43+$B$4)-$B$5*D43-$E$7</f>
        <v>-1.2099243738767466E-3</v>
      </c>
      <c r="F43" s="4">
        <f t="shared" ref="F43:F60" si="4">$D$1+102*E43</f>
        <v>741.37658771386452</v>
      </c>
    </row>
    <row r="44" spans="1:6">
      <c r="A44" s="7">
        <v>43342</v>
      </c>
      <c r="B44" s="9">
        <v>0.33333333333333331</v>
      </c>
      <c r="C44" s="2">
        <v>7819.6</v>
      </c>
      <c r="D44" s="2">
        <v>10.5</v>
      </c>
      <c r="E44" s="3">
        <f t="shared" si="3"/>
        <v>-1.3001169115097952E-3</v>
      </c>
      <c r="F44" s="4">
        <f t="shared" si="4"/>
        <v>741.36738807502604</v>
      </c>
    </row>
    <row r="45" spans="1:6">
      <c r="A45" s="7">
        <v>43353</v>
      </c>
      <c r="B45" s="9">
        <v>0.33333333333333331</v>
      </c>
      <c r="C45" s="2">
        <v>7818.1</v>
      </c>
      <c r="D45" s="2">
        <v>10.5</v>
      </c>
      <c r="E45" s="3">
        <f t="shared" si="3"/>
        <v>-1.2088057505897018E-3</v>
      </c>
      <c r="F45" s="4">
        <f t="shared" si="4"/>
        <v>741.37670181343981</v>
      </c>
    </row>
    <row r="46" spans="1:6">
      <c r="A46" s="7">
        <v>43363</v>
      </c>
      <c r="B46" s="9">
        <v>0.33333333333333331</v>
      </c>
      <c r="C46" s="2">
        <v>7796.5</v>
      </c>
      <c r="D46" s="2">
        <v>10.199999999999999</v>
      </c>
      <c r="E46" s="3">
        <f t="shared" si="3"/>
        <v>-1.5669022957793405E-4</v>
      </c>
      <c r="F46" s="4">
        <f t="shared" si="4"/>
        <v>741.48401759658304</v>
      </c>
    </row>
    <row r="47" spans="1:6">
      <c r="A47" s="7">
        <v>43373</v>
      </c>
      <c r="B47" s="9">
        <v>0.33333333333333331</v>
      </c>
      <c r="C47" s="2">
        <v>7812.3</v>
      </c>
      <c r="D47" s="2">
        <v>10</v>
      </c>
      <c r="E47" s="3">
        <f t="shared" si="3"/>
        <v>-1.2942393124735357E-3</v>
      </c>
      <c r="F47" s="4">
        <f t="shared" si="4"/>
        <v>741.36798759012765</v>
      </c>
    </row>
    <row r="48" spans="1:6">
      <c r="A48" s="7">
        <v>43383</v>
      </c>
      <c r="B48" s="9">
        <v>0.33333333333333331</v>
      </c>
      <c r="C48" s="2">
        <v>7811.7</v>
      </c>
      <c r="D48" s="2">
        <v>9.8000000000000007</v>
      </c>
      <c r="E48" s="3">
        <f t="shared" si="3"/>
        <v>-1.4331224013263907E-3</v>
      </c>
      <c r="F48" s="4">
        <f t="shared" si="4"/>
        <v>741.35382151506474</v>
      </c>
    </row>
    <row r="49" spans="1:6">
      <c r="A49" s="7">
        <v>43393</v>
      </c>
      <c r="B49" s="9">
        <v>0.33333333333333331</v>
      </c>
      <c r="C49" s="2">
        <v>7811.3</v>
      </c>
      <c r="D49" s="2">
        <v>9.5</v>
      </c>
      <c r="E49" s="3">
        <f t="shared" si="3"/>
        <v>-1.6718886760466282E-3</v>
      </c>
      <c r="F49" s="4">
        <f t="shared" si="4"/>
        <v>741.32946735504322</v>
      </c>
    </row>
    <row r="50" spans="1:6">
      <c r="A50" s="7">
        <v>43605</v>
      </c>
      <c r="B50" s="1">
        <v>0.33333333333333331</v>
      </c>
      <c r="C50" s="2">
        <v>7812.4</v>
      </c>
      <c r="D50" s="2">
        <v>9.1999999999999993</v>
      </c>
      <c r="E50" s="3">
        <f t="shared" si="3"/>
        <v>-2.0019812478745923E-3</v>
      </c>
      <c r="F50" s="4">
        <f t="shared" si="4"/>
        <v>741.29579791271681</v>
      </c>
    </row>
    <row r="51" spans="1:6">
      <c r="A51" s="7">
        <v>43615</v>
      </c>
      <c r="B51" s="1">
        <v>0.33333333333333331</v>
      </c>
      <c r="C51" s="2">
        <v>7812.7</v>
      </c>
      <c r="D51" s="2">
        <v>9.5</v>
      </c>
      <c r="E51" s="3">
        <f t="shared" si="3"/>
        <v>-1.7571260687234795E-3</v>
      </c>
      <c r="F51" s="4">
        <f t="shared" si="4"/>
        <v>741.32077314099024</v>
      </c>
    </row>
    <row r="52" spans="1:6">
      <c r="A52" s="7">
        <v>43626</v>
      </c>
      <c r="B52" s="1">
        <v>0.33333333333333331</v>
      </c>
      <c r="C52" s="2">
        <v>7813.2</v>
      </c>
      <c r="D52" s="2">
        <v>9.9</v>
      </c>
      <c r="E52" s="3">
        <f t="shared" si="3"/>
        <v>-1.4367405189568069E-3</v>
      </c>
      <c r="F52" s="4">
        <f t="shared" si="4"/>
        <v>741.3534524670664</v>
      </c>
    </row>
    <row r="53" spans="1:6">
      <c r="A53" s="7">
        <v>43636</v>
      </c>
      <c r="B53" s="1">
        <v>0.33333333333333331</v>
      </c>
      <c r="C53" s="2">
        <v>7813.9</v>
      </c>
      <c r="D53" s="2">
        <v>10.1</v>
      </c>
      <c r="E53" s="3">
        <f t="shared" si="3"/>
        <v>-1.3039442718023979E-3</v>
      </c>
      <c r="F53" s="4">
        <f t="shared" si="4"/>
        <v>741.36699768427616</v>
      </c>
    </row>
    <row r="54" spans="1:6">
      <c r="A54" s="7">
        <v>43646</v>
      </c>
      <c r="B54" s="1">
        <v>0.33333333333333331</v>
      </c>
      <c r="C54" s="2">
        <v>7807.8</v>
      </c>
      <c r="D54" s="2">
        <v>9.5</v>
      </c>
      <c r="E54" s="3">
        <f t="shared" si="3"/>
        <v>-1.4587829957827363E-3</v>
      </c>
      <c r="F54" s="4">
        <f t="shared" si="4"/>
        <v>741.35120413443019</v>
      </c>
    </row>
    <row r="55" spans="1:6">
      <c r="A55" s="7">
        <v>43656</v>
      </c>
      <c r="B55" s="1">
        <v>0.33333333333333331</v>
      </c>
      <c r="C55" s="2">
        <v>7805.4</v>
      </c>
      <c r="D55" s="2">
        <v>9.4</v>
      </c>
      <c r="E55" s="3">
        <f t="shared" si="3"/>
        <v>-1.4003500146347742E-3</v>
      </c>
      <c r="F55" s="4">
        <f t="shared" si="4"/>
        <v>741.3571642985072</v>
      </c>
    </row>
    <row r="56" spans="1:6">
      <c r="A56" s="7">
        <v>43666</v>
      </c>
      <c r="B56" s="1">
        <v>0.33333333333333331</v>
      </c>
      <c r="C56" s="2">
        <v>7804.1</v>
      </c>
      <c r="D56" s="2">
        <v>9.1999999999999993</v>
      </c>
      <c r="E56" s="3">
        <f t="shared" si="3"/>
        <v>-1.4966009993893602E-3</v>
      </c>
      <c r="F56" s="4">
        <f t="shared" si="4"/>
        <v>741.34734669806232</v>
      </c>
    </row>
    <row r="57" spans="1:6">
      <c r="A57" s="7">
        <v>43676</v>
      </c>
      <c r="B57" s="1">
        <v>0.33333333333333331</v>
      </c>
      <c r="C57" s="2">
        <v>7803.2</v>
      </c>
      <c r="D57" s="2">
        <v>8.9</v>
      </c>
      <c r="E57" s="3">
        <f t="shared" si="3"/>
        <v>-1.7049149420248315E-3</v>
      </c>
      <c r="F57" s="4">
        <f t="shared" si="4"/>
        <v>741.3260986759135</v>
      </c>
    </row>
    <row r="58" spans="1:6">
      <c r="A58" s="7">
        <v>43687</v>
      </c>
      <c r="B58" s="1">
        <v>0.33333333333333331</v>
      </c>
      <c r="C58" s="2">
        <v>7785.3</v>
      </c>
      <c r="D58" s="2">
        <v>9</v>
      </c>
      <c r="E58" s="3">
        <f t="shared" si="3"/>
        <v>-5.2693530547587991E-4</v>
      </c>
      <c r="F58" s="4">
        <f t="shared" si="4"/>
        <v>741.44625259884151</v>
      </c>
    </row>
    <row r="59" spans="1:6">
      <c r="A59" s="7">
        <v>43697</v>
      </c>
      <c r="B59" s="1">
        <v>0.33333333333333331</v>
      </c>
      <c r="C59" s="2">
        <v>7786.2</v>
      </c>
      <c r="D59" s="2">
        <v>9.1999999999999993</v>
      </c>
      <c r="E59" s="3">
        <f t="shared" si="3"/>
        <v>-4.0635098050739379E-4</v>
      </c>
      <c r="F59" s="4">
        <f t="shared" si="4"/>
        <v>741.45855219998828</v>
      </c>
    </row>
    <row r="60" spans="1:6">
      <c r="A60" s="7">
        <v>43707</v>
      </c>
      <c r="B60" s="1">
        <v>0.33333333333333331</v>
      </c>
      <c r="C60" s="2">
        <v>7783.8</v>
      </c>
      <c r="D60" s="2">
        <v>8.6</v>
      </c>
      <c r="E60" s="3">
        <f t="shared" si="3"/>
        <v>-7.8637775312353705E-4</v>
      </c>
      <c r="F60" s="4">
        <f t="shared" si="4"/>
        <v>741.41978946918141</v>
      </c>
    </row>
    <row r="61" spans="1:6">
      <c r="B61" s="9"/>
    </row>
    <row r="62" spans="1:6">
      <c r="B62" s="9"/>
    </row>
    <row r="63" spans="1:6">
      <c r="B63" s="9"/>
    </row>
    <row r="64" spans="1:6">
      <c r="B64" s="9"/>
    </row>
    <row r="65" spans="2:2">
      <c r="B65" s="9"/>
    </row>
    <row r="66" spans="2:2">
      <c r="B66" s="9"/>
    </row>
    <row r="67" spans="2:2">
      <c r="B67" s="9"/>
    </row>
    <row r="68" spans="2:2">
      <c r="B68" s="9"/>
    </row>
    <row r="69" spans="2:2">
      <c r="B69" s="9"/>
    </row>
    <row r="70" spans="2:2">
      <c r="B70" s="9"/>
    </row>
    <row r="71" spans="2:2">
      <c r="B71" s="9"/>
    </row>
    <row r="72" spans="2:2">
      <c r="B72" s="9"/>
    </row>
    <row r="73" spans="2:2">
      <c r="B73" s="9"/>
    </row>
    <row r="74" spans="2:2">
      <c r="B74" s="9"/>
    </row>
    <row r="75" spans="2:2">
      <c r="B75" s="9"/>
    </row>
    <row r="76" spans="2:2">
      <c r="B76" s="9"/>
    </row>
    <row r="77" spans="2:2">
      <c r="B77" s="9"/>
    </row>
    <row r="78" spans="2:2">
      <c r="B78" s="9"/>
    </row>
    <row r="79" spans="2:2">
      <c r="B79" s="9"/>
    </row>
    <row r="80" spans="2:2">
      <c r="B80" s="9"/>
    </row>
    <row r="81" spans="2:2">
      <c r="B81" s="9"/>
    </row>
    <row r="82" spans="2:2">
      <c r="B82" s="9"/>
    </row>
    <row r="83" spans="2:2">
      <c r="B83" s="9"/>
    </row>
    <row r="84" spans="2:2">
      <c r="B84" s="9"/>
    </row>
    <row r="85" spans="2:2">
      <c r="B85" s="9"/>
    </row>
    <row r="86" spans="2:2">
      <c r="B86" s="9"/>
    </row>
    <row r="87" spans="2:2">
      <c r="B87" s="9"/>
    </row>
    <row r="88" spans="2:2">
      <c r="B88" s="9"/>
    </row>
    <row r="89" spans="2:2">
      <c r="B89" s="9"/>
    </row>
    <row r="90" spans="2:2">
      <c r="B90" s="9"/>
    </row>
    <row r="91" spans="2:2">
      <c r="B91" s="9"/>
    </row>
    <row r="92" spans="2:2">
      <c r="B92" s="9"/>
    </row>
    <row r="93" spans="2:2">
      <c r="B93" s="9"/>
    </row>
    <row r="94" spans="2:2">
      <c r="B94" s="9"/>
    </row>
    <row r="95" spans="2:2">
      <c r="B95" s="9"/>
    </row>
    <row r="96" spans="2:2">
      <c r="B96" s="9"/>
    </row>
    <row r="97" spans="2:2">
      <c r="B97" s="9"/>
    </row>
    <row r="98" spans="2:2">
      <c r="B98" s="9"/>
    </row>
    <row r="99" spans="2:2">
      <c r="B99" s="9"/>
    </row>
    <row r="100" spans="2:2">
      <c r="B100" s="9"/>
    </row>
    <row r="101" spans="2:2">
      <c r="B101" s="9"/>
    </row>
    <row r="102" spans="2:2">
      <c r="B102" s="9"/>
    </row>
    <row r="103" spans="2:2">
      <c r="B103" s="9"/>
    </row>
    <row r="104" spans="2:2">
      <c r="B104" s="9"/>
    </row>
    <row r="105" spans="2:2">
      <c r="B105" s="9"/>
    </row>
    <row r="106" spans="2:2">
      <c r="B106" s="9"/>
    </row>
    <row r="107" spans="2:2">
      <c r="B107" s="9"/>
    </row>
    <row r="108" spans="2:2">
      <c r="B108" s="9"/>
    </row>
    <row r="109" spans="2:2">
      <c r="B109" s="9"/>
    </row>
    <row r="110" spans="2:2">
      <c r="B110" s="9"/>
    </row>
    <row r="111" spans="2:2">
      <c r="B111" s="9"/>
    </row>
    <row r="112" spans="2:2">
      <c r="B112" s="9"/>
    </row>
    <row r="113" spans="2:2">
      <c r="B113" s="9"/>
    </row>
    <row r="114" spans="2:2">
      <c r="B114" s="9"/>
    </row>
    <row r="115" spans="2:2">
      <c r="B115" s="9"/>
    </row>
    <row r="116" spans="2:2">
      <c r="B116" s="9"/>
    </row>
    <row r="117" spans="2:2">
      <c r="B117" s="9"/>
    </row>
    <row r="118" spans="2:2">
      <c r="B118" s="9"/>
    </row>
    <row r="119" spans="2:2">
      <c r="B119" s="9"/>
    </row>
    <row r="120" spans="2:2">
      <c r="B120" s="9"/>
    </row>
    <row r="121" spans="2:2">
      <c r="B121" s="9"/>
    </row>
    <row r="122" spans="2:2">
      <c r="B122" s="9"/>
    </row>
    <row r="123" spans="2:2">
      <c r="B123" s="9"/>
    </row>
    <row r="124" spans="2:2">
      <c r="B124" s="9"/>
    </row>
    <row r="125" spans="2:2">
      <c r="B125" s="9"/>
    </row>
    <row r="126" spans="2:2">
      <c r="B126" s="9"/>
    </row>
    <row r="127" spans="2:2">
      <c r="B127" s="9"/>
    </row>
    <row r="128" spans="2:2">
      <c r="B128" s="9"/>
    </row>
    <row r="129" spans="2:2">
      <c r="B129" s="9"/>
    </row>
    <row r="130" spans="2:2">
      <c r="B130" s="9"/>
    </row>
    <row r="131" spans="2:2">
      <c r="B131" s="9"/>
    </row>
    <row r="132" spans="2:2">
      <c r="B132" s="9"/>
    </row>
    <row r="133" spans="2:2">
      <c r="B133" s="9"/>
    </row>
    <row r="134" spans="2:2">
      <c r="B134" s="9"/>
    </row>
    <row r="135" spans="2:2">
      <c r="B135" s="9"/>
    </row>
    <row r="136" spans="2:2">
      <c r="B136" s="9"/>
    </row>
    <row r="137" spans="2:2">
      <c r="B137" s="9"/>
    </row>
    <row r="138" spans="2:2">
      <c r="B138" s="9"/>
    </row>
    <row r="139" spans="2:2">
      <c r="B139" s="9"/>
    </row>
    <row r="140" spans="2:2">
      <c r="B140" s="9"/>
    </row>
    <row r="141" spans="2:2">
      <c r="B141" s="9"/>
    </row>
    <row r="142" spans="2:2">
      <c r="B142" s="9"/>
    </row>
    <row r="143" spans="2:2">
      <c r="B143" s="9"/>
    </row>
    <row r="144" spans="2:2">
      <c r="B144" s="9"/>
    </row>
    <row r="145" spans="2:2">
      <c r="B145" s="9"/>
    </row>
    <row r="146" spans="2:2">
      <c r="B146" s="9"/>
    </row>
    <row r="147" spans="2:2">
      <c r="B147" s="9"/>
    </row>
    <row r="148" spans="2:2">
      <c r="B148" s="9"/>
    </row>
    <row r="149" spans="2:2">
      <c r="B149" s="9"/>
    </row>
    <row r="150" spans="2:2">
      <c r="B150" s="9"/>
    </row>
    <row r="151" spans="2:2">
      <c r="B151" s="9"/>
    </row>
    <row r="152" spans="2:2">
      <c r="B152" s="9"/>
    </row>
    <row r="153" spans="2:2">
      <c r="B153" s="9"/>
    </row>
    <row r="154" spans="2:2">
      <c r="B154" s="9"/>
    </row>
    <row r="155" spans="2:2">
      <c r="B155" s="9"/>
    </row>
    <row r="156" spans="2:2">
      <c r="B156" s="9"/>
    </row>
    <row r="157" spans="2:2">
      <c r="B157" s="9"/>
    </row>
    <row r="158" spans="2:2">
      <c r="B158" s="9"/>
    </row>
    <row r="159" spans="2:2">
      <c r="B159" s="9"/>
    </row>
    <row r="160" spans="2:2">
      <c r="B160" s="9"/>
    </row>
    <row r="161" spans="2:2">
      <c r="B161" s="9"/>
    </row>
    <row r="162" spans="2:2">
      <c r="B162" s="9"/>
    </row>
    <row r="163" spans="2:2">
      <c r="B163" s="9"/>
    </row>
    <row r="164" spans="2:2">
      <c r="B164" s="9"/>
    </row>
    <row r="165" spans="2:2">
      <c r="B165" s="9"/>
    </row>
    <row r="166" spans="2:2">
      <c r="B166" s="9"/>
    </row>
    <row r="167" spans="2:2">
      <c r="B167" s="9"/>
    </row>
    <row r="168" spans="2:2">
      <c r="B168" s="9"/>
    </row>
    <row r="169" spans="2:2">
      <c r="B169" s="9"/>
    </row>
    <row r="170" spans="2:2">
      <c r="B170" s="9"/>
    </row>
    <row r="171" spans="2:2">
      <c r="B171" s="9"/>
    </row>
    <row r="172" spans="2:2">
      <c r="B172" s="9"/>
    </row>
    <row r="173" spans="2:2">
      <c r="B173" s="9"/>
    </row>
    <row r="174" spans="2:2">
      <c r="B174" s="9"/>
    </row>
    <row r="175" spans="2:2">
      <c r="B175" s="9"/>
    </row>
    <row r="176" spans="2:2">
      <c r="B176" s="9"/>
    </row>
  </sheetData>
  <phoneticPr fontId="4" type="noConversion"/>
  <pageMargins left="0.69930555555555596" right="0.69930555555555596" top="0.75" bottom="0.75" header="0.3" footer="0.3"/>
  <pageSetup paperSize="9" orientation="portrait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9"/>
  <sheetViews>
    <sheetView topLeftCell="A44" workbookViewId="0">
      <selection activeCell="A63" sqref="A63:B69"/>
    </sheetView>
  </sheetViews>
  <sheetFormatPr defaultColWidth="9" defaultRowHeight="13.5"/>
  <cols>
    <col min="1" max="1" width="11.5" customWidth="1"/>
    <col min="2" max="2" width="13.875" customWidth="1"/>
  </cols>
  <sheetData>
    <row r="1" spans="1:7">
      <c r="A1" t="s">
        <v>0</v>
      </c>
      <c r="B1">
        <v>50398</v>
      </c>
      <c r="C1" t="s">
        <v>1</v>
      </c>
      <c r="D1">
        <v>737.7</v>
      </c>
    </row>
    <row r="2" spans="1:7">
      <c r="A2" t="s">
        <v>2</v>
      </c>
      <c r="B2">
        <f>7.42732*10^-10</f>
        <v>7.4273199999999999E-10</v>
      </c>
    </row>
    <row r="3" spans="1:7">
      <c r="A3" t="s">
        <v>3</v>
      </c>
      <c r="B3">
        <v>-7.7056000000000002E-5</v>
      </c>
    </row>
    <row r="4" spans="1:7">
      <c r="A4" t="s">
        <v>4</v>
      </c>
      <c r="B4">
        <v>0.57987290000000002</v>
      </c>
    </row>
    <row r="5" spans="1:7">
      <c r="A5" t="s">
        <v>5</v>
      </c>
      <c r="B5">
        <v>-9.7498300000000001E-4</v>
      </c>
    </row>
    <row r="6" spans="1:7">
      <c r="A6" t="s">
        <v>6</v>
      </c>
      <c r="B6" t="s">
        <v>7</v>
      </c>
      <c r="C6" t="s">
        <v>8</v>
      </c>
      <c r="D6" t="s">
        <v>9</v>
      </c>
      <c r="E6" t="s">
        <v>10</v>
      </c>
      <c r="F6" t="s">
        <v>11</v>
      </c>
      <c r="G6" t="s">
        <v>12</v>
      </c>
    </row>
    <row r="7" spans="1:7">
      <c r="A7" s="6">
        <v>42531</v>
      </c>
      <c r="B7" s="1">
        <v>0.58333333333333304</v>
      </c>
      <c r="C7" s="2">
        <v>7982.8</v>
      </c>
      <c r="D7" s="2">
        <v>17.8</v>
      </c>
      <c r="E7" s="3">
        <f>($B$2*C7^2+$B$3*C7+$B$4)-$B$5*D7</f>
        <v>2.9435628483434888E-2</v>
      </c>
      <c r="G7" t="s">
        <v>13</v>
      </c>
    </row>
    <row r="8" spans="1:7">
      <c r="A8" s="7">
        <v>42531</v>
      </c>
      <c r="B8" s="1">
        <v>0.60416666666666696</v>
      </c>
      <c r="C8" s="2">
        <v>7986.5</v>
      </c>
      <c r="D8" s="2">
        <v>11.9</v>
      </c>
      <c r="E8" s="3">
        <f>($B$2*C8^2+$B$3*C8+$B$4)-$B$5*D8-$E$7</f>
        <v>-5.9936215325278389E-3</v>
      </c>
      <c r="F8" s="4">
        <f>$D$1+102*E8</f>
        <v>737.08865060368225</v>
      </c>
      <c r="G8" s="5" t="s">
        <v>17</v>
      </c>
    </row>
    <row r="9" spans="1:7">
      <c r="A9" s="6">
        <v>42531</v>
      </c>
      <c r="B9" s="1">
        <v>0.625</v>
      </c>
      <c r="C9" s="2">
        <v>7985</v>
      </c>
      <c r="D9" s="2">
        <v>11.8</v>
      </c>
      <c r="E9" s="3">
        <f>($B$2*C9^2+$B$3*C9+$B$4)-$B$5*D9-$E$7</f>
        <v>-5.99332964873487E-3</v>
      </c>
      <c r="F9" s="4">
        <f t="shared" ref="F9:F47" si="0">$D$1+102*E9</f>
        <v>737.08868037582909</v>
      </c>
      <c r="G9" s="5" t="s">
        <v>14</v>
      </c>
    </row>
    <row r="10" spans="1:7">
      <c r="A10" s="7">
        <v>42532</v>
      </c>
      <c r="B10" s="16">
        <v>0.33333333333333298</v>
      </c>
      <c r="C10" s="2">
        <v>7873.8</v>
      </c>
      <c r="D10" s="2">
        <v>2.9</v>
      </c>
      <c r="E10" s="3">
        <f t="shared" ref="E10:E21" si="1">($B$2*C10^2+$B$3*C10+$B$4)-$B$5*D10-$E$7</f>
        <v>-7.4118579612007553E-3</v>
      </c>
      <c r="F10" s="4">
        <f t="shared" si="0"/>
        <v>736.94399048795754</v>
      </c>
    </row>
    <row r="11" spans="1:7">
      <c r="A11" s="7">
        <v>42533</v>
      </c>
      <c r="B11" s="16">
        <v>0.33333333333333298</v>
      </c>
      <c r="C11" s="2">
        <v>7872.3</v>
      </c>
      <c r="D11" s="2">
        <v>2.7</v>
      </c>
      <c r="E11" s="3">
        <f t="shared" si="1"/>
        <v>-7.50881325971859E-3</v>
      </c>
      <c r="F11" s="4">
        <f t="shared" si="0"/>
        <v>736.93410104750876</v>
      </c>
    </row>
    <row r="12" spans="1:7">
      <c r="A12" s="7">
        <v>42534</v>
      </c>
      <c r="B12" s="16">
        <v>0.33333333333333298</v>
      </c>
      <c r="C12" s="2">
        <v>7872.1</v>
      </c>
      <c r="D12" s="2">
        <v>2.7</v>
      </c>
      <c r="E12" s="3">
        <f t="shared" si="1"/>
        <v>-7.4957408336588441E-3</v>
      </c>
      <c r="F12" s="4">
        <f t="shared" si="0"/>
        <v>736.93543443496685</v>
      </c>
    </row>
    <row r="13" spans="1:7">
      <c r="A13" s="7">
        <v>42535</v>
      </c>
      <c r="B13" s="16">
        <v>0.33333333333333298</v>
      </c>
      <c r="C13" s="2">
        <v>7871.8</v>
      </c>
      <c r="D13" s="2">
        <v>2.6</v>
      </c>
      <c r="E13" s="3">
        <f t="shared" si="1"/>
        <v>-7.5736303831591793E-3</v>
      </c>
      <c r="F13" s="4">
        <f t="shared" si="0"/>
        <v>736.92748970091782</v>
      </c>
    </row>
    <row r="14" spans="1:7">
      <c r="A14" s="7">
        <v>42536</v>
      </c>
      <c r="B14" s="16">
        <v>0.33333333333333298</v>
      </c>
      <c r="C14" s="2">
        <v>7875.2</v>
      </c>
      <c r="D14" s="2">
        <v>2.6</v>
      </c>
      <c r="E14" s="3">
        <f t="shared" si="1"/>
        <v>-7.795855060425582E-3</v>
      </c>
      <c r="F14" s="4">
        <f t="shared" si="0"/>
        <v>736.90482278383661</v>
      </c>
    </row>
    <row r="15" spans="1:7">
      <c r="A15" s="7">
        <v>42537</v>
      </c>
      <c r="B15" s="16">
        <v>0.33333333333333298</v>
      </c>
      <c r="C15" s="2">
        <v>7878.4</v>
      </c>
      <c r="D15" s="2">
        <v>2.6</v>
      </c>
      <c r="E15" s="3">
        <f t="shared" si="1"/>
        <v>-8.0049920113529731E-3</v>
      </c>
      <c r="F15" s="4">
        <f t="shared" si="0"/>
        <v>736.88349081484205</v>
      </c>
    </row>
    <row r="16" spans="1:7">
      <c r="A16" s="7">
        <v>42538</v>
      </c>
      <c r="B16" s="16">
        <v>0.33333333333333298</v>
      </c>
      <c r="C16" s="2">
        <v>7876.4</v>
      </c>
      <c r="D16" s="2">
        <v>2.6</v>
      </c>
      <c r="E16" s="3">
        <f t="shared" si="1"/>
        <v>-7.874283199580067E-3</v>
      </c>
      <c r="F16" s="4">
        <f t="shared" si="0"/>
        <v>736.89682311364288</v>
      </c>
    </row>
    <row r="17" spans="1:7">
      <c r="A17" s="7">
        <v>42544</v>
      </c>
      <c r="B17" s="16">
        <v>0.33333333333333298</v>
      </c>
      <c r="C17" s="2">
        <v>7755.5</v>
      </c>
      <c r="D17" s="2">
        <v>2.7</v>
      </c>
      <c r="E17" s="3">
        <f t="shared" si="1"/>
        <v>1.3559873720807997E-4</v>
      </c>
      <c r="F17" s="4">
        <f t="shared" si="0"/>
        <v>737.71383107119527</v>
      </c>
    </row>
    <row r="18" spans="1:7">
      <c r="A18" s="7">
        <v>42551</v>
      </c>
      <c r="B18" s="9">
        <v>0.33333333333333298</v>
      </c>
      <c r="C18" s="2">
        <v>7880.6</v>
      </c>
      <c r="D18" s="2">
        <v>3.3</v>
      </c>
      <c r="E18" s="3">
        <f t="shared" si="1"/>
        <v>-7.4662767414594433E-3</v>
      </c>
      <c r="F18" s="4">
        <f t="shared" si="0"/>
        <v>736.93843977237123</v>
      </c>
    </row>
    <row r="19" spans="1:7">
      <c r="A19" s="7">
        <v>42561</v>
      </c>
      <c r="B19" s="9">
        <v>0.33333333333333298</v>
      </c>
      <c r="C19" s="2">
        <v>7886.4</v>
      </c>
      <c r="D19" s="2">
        <v>4</v>
      </c>
      <c r="E19" s="3">
        <f t="shared" si="1"/>
        <v>-7.162791639884189E-3</v>
      </c>
      <c r="F19" s="4">
        <f t="shared" si="0"/>
        <v>736.96939525273183</v>
      </c>
    </row>
    <row r="20" spans="1:7">
      <c r="A20" s="7">
        <v>42571</v>
      </c>
      <c r="B20" s="9">
        <v>0.33333333333333298</v>
      </c>
      <c r="C20" s="2">
        <v>7916.4</v>
      </c>
      <c r="D20" s="2">
        <v>5.8</v>
      </c>
      <c r="E20" s="3">
        <f t="shared" si="1"/>
        <v>-7.3673848823961503E-3</v>
      </c>
      <c r="F20" s="4">
        <f t="shared" si="0"/>
        <v>736.94852674199569</v>
      </c>
    </row>
    <row r="21" spans="1:7">
      <c r="A21" s="7">
        <v>42581</v>
      </c>
      <c r="B21" s="9">
        <v>0.33333333333333298</v>
      </c>
      <c r="C21" s="2">
        <v>7915.7</v>
      </c>
      <c r="D21" s="2">
        <v>6.8</v>
      </c>
      <c r="E21" s="3">
        <f t="shared" si="1"/>
        <v>-6.3466939875041484E-3</v>
      </c>
      <c r="F21" s="4">
        <f t="shared" si="0"/>
        <v>737.05263721327458</v>
      </c>
    </row>
    <row r="22" spans="1:7">
      <c r="A22" s="7">
        <v>42592</v>
      </c>
      <c r="B22" s="1">
        <v>0.33333333333333298</v>
      </c>
      <c r="C22" s="2">
        <v>7931.6</v>
      </c>
      <c r="D22" s="2">
        <v>8.3000000000000007</v>
      </c>
      <c r="E22" s="3">
        <f t="shared" ref="E22:E47" si="2">($B$2*C22^2+$B$3*C22+$B$4)-$B$5*D22-$E$7</f>
        <v>-5.9222621680089307E-3</v>
      </c>
      <c r="F22" s="4">
        <f t="shared" si="0"/>
        <v>737.09592925886318</v>
      </c>
    </row>
    <row r="23" spans="1:7">
      <c r="A23" s="7">
        <v>42602</v>
      </c>
      <c r="B23" s="1">
        <v>0.33333333333333298</v>
      </c>
      <c r="C23" s="2">
        <v>7964</v>
      </c>
      <c r="D23" s="2">
        <v>10.9</v>
      </c>
      <c r="E23" s="3">
        <f t="shared" si="2"/>
        <v>-5.5014008347629637E-3</v>
      </c>
      <c r="F23" s="4">
        <f t="shared" si="0"/>
        <v>737.1388571148542</v>
      </c>
    </row>
    <row r="24" spans="1:7">
      <c r="A24" s="7">
        <v>42612</v>
      </c>
      <c r="B24" s="1">
        <v>0.33333333333333298</v>
      </c>
      <c r="C24" s="2">
        <v>7962.4</v>
      </c>
      <c r="D24" s="2">
        <v>11.1</v>
      </c>
      <c r="E24" s="3">
        <f t="shared" si="2"/>
        <v>-5.2020411098425076E-3</v>
      </c>
      <c r="F24" s="4">
        <f t="shared" si="0"/>
        <v>737.16939180679606</v>
      </c>
      <c r="G24" s="2"/>
    </row>
    <row r="25" spans="1:7">
      <c r="A25" s="7">
        <v>42623</v>
      </c>
      <c r="B25" s="1">
        <v>0.33333333333333298</v>
      </c>
      <c r="C25" s="2">
        <v>7969.4</v>
      </c>
      <c r="D25" s="2">
        <v>11.1</v>
      </c>
      <c r="E25" s="3">
        <f t="shared" si="2"/>
        <v>-5.6586017060992685E-3</v>
      </c>
      <c r="F25" s="4">
        <f t="shared" si="0"/>
        <v>737.12282262597796</v>
      </c>
      <c r="G25" s="2"/>
    </row>
    <row r="26" spans="1:7">
      <c r="A26" s="7">
        <v>42633</v>
      </c>
      <c r="B26" s="1">
        <v>0.33333333333333331</v>
      </c>
      <c r="C26" s="2">
        <v>7967.1</v>
      </c>
      <c r="D26" s="2">
        <v>11.6</v>
      </c>
      <c r="E26" s="3">
        <f t="shared" si="2"/>
        <v>-5.0211054676907313E-3</v>
      </c>
      <c r="F26" s="4">
        <f t="shared" si="0"/>
        <v>737.18784724229556</v>
      </c>
      <c r="G26" s="2"/>
    </row>
    <row r="27" spans="1:7">
      <c r="A27" s="6">
        <v>42643</v>
      </c>
      <c r="B27" s="1">
        <v>0.33333333333333331</v>
      </c>
      <c r="C27" s="2">
        <v>7982.3</v>
      </c>
      <c r="D27" s="2">
        <v>11.8</v>
      </c>
      <c r="E27" s="3">
        <f t="shared" si="2"/>
        <v>-5.8172988953266516E-3</v>
      </c>
      <c r="F27" s="4">
        <f t="shared" si="0"/>
        <v>737.10663551267669</v>
      </c>
      <c r="G27" s="2"/>
    </row>
    <row r="28" spans="1:7">
      <c r="A28" s="7">
        <v>42926</v>
      </c>
      <c r="B28" s="1">
        <v>0.33333333333333331</v>
      </c>
      <c r="C28" s="2">
        <v>7996.7</v>
      </c>
      <c r="D28" s="2">
        <v>10.3</v>
      </c>
      <c r="E28" s="3">
        <f t="shared" si="2"/>
        <v>-8.2184789446833606E-3</v>
      </c>
      <c r="F28" s="4">
        <f t="shared" si="0"/>
        <v>736.86171514764237</v>
      </c>
    </row>
    <row r="29" spans="1:7">
      <c r="A29" s="7">
        <v>42936</v>
      </c>
      <c r="B29" s="1">
        <v>0.33333333333333331</v>
      </c>
      <c r="C29" s="2">
        <v>7975.2</v>
      </c>
      <c r="D29" s="2">
        <v>10.1</v>
      </c>
      <c r="E29" s="3">
        <f t="shared" si="2"/>
        <v>-7.0118226311455881E-3</v>
      </c>
      <c r="F29" s="4">
        <f t="shared" si="0"/>
        <v>736.98479409162314</v>
      </c>
    </row>
    <row r="30" spans="1:7">
      <c r="A30" s="7">
        <v>42946</v>
      </c>
      <c r="B30" s="1">
        <v>0.33333333333333331</v>
      </c>
      <c r="C30" s="2">
        <v>7980.8</v>
      </c>
      <c r="D30" s="2">
        <v>10.1</v>
      </c>
      <c r="E30" s="3">
        <f t="shared" si="2"/>
        <v>-7.3769704531104277E-3</v>
      </c>
      <c r="F30" s="4">
        <f t="shared" si="0"/>
        <v>736.9475490137828</v>
      </c>
    </row>
    <row r="31" spans="1:7">
      <c r="A31" s="7">
        <v>42957</v>
      </c>
      <c r="B31" s="1">
        <v>0.33333333333333331</v>
      </c>
      <c r="C31" s="2">
        <v>7971.7</v>
      </c>
      <c r="D31" s="2">
        <v>9.9</v>
      </c>
      <c r="E31" s="3">
        <f t="shared" si="2"/>
        <v>-6.9785781864034127E-3</v>
      </c>
      <c r="F31" s="4">
        <f t="shared" si="0"/>
        <v>736.98818502498693</v>
      </c>
    </row>
    <row r="32" spans="1:7">
      <c r="A32" s="7">
        <v>42967</v>
      </c>
      <c r="B32" s="1">
        <v>0.33333333333333331</v>
      </c>
      <c r="C32" s="2">
        <v>7982.7</v>
      </c>
      <c r="D32" s="2">
        <v>9.9</v>
      </c>
      <c r="E32" s="3">
        <f t="shared" si="2"/>
        <v>-7.6958459087746525E-3</v>
      </c>
      <c r="F32" s="4">
        <f t="shared" si="0"/>
        <v>736.91502371730508</v>
      </c>
    </row>
    <row r="33" spans="1:6">
      <c r="A33" s="7">
        <v>42977</v>
      </c>
      <c r="B33" s="1">
        <v>0.33333333333333331</v>
      </c>
      <c r="C33" s="2">
        <v>7964.2</v>
      </c>
      <c r="D33" s="2">
        <v>10.6</v>
      </c>
      <c r="E33" s="3">
        <f t="shared" si="2"/>
        <v>-5.8069408579943804E-3</v>
      </c>
      <c r="F33" s="4">
        <f t="shared" si="0"/>
        <v>737.10769203248458</v>
      </c>
    </row>
    <row r="34" spans="1:6">
      <c r="A34" s="7">
        <v>42988</v>
      </c>
      <c r="B34" s="1">
        <v>0.33333333333333331</v>
      </c>
      <c r="C34" s="2">
        <v>7957.9</v>
      </c>
      <c r="D34" s="2">
        <v>10.199999999999999</v>
      </c>
      <c r="E34" s="3">
        <f t="shared" si="2"/>
        <v>-5.7859841330106868E-3</v>
      </c>
      <c r="F34" s="4">
        <f t="shared" si="0"/>
        <v>737.10982961843297</v>
      </c>
    </row>
    <row r="35" spans="1:6">
      <c r="A35" s="7">
        <v>42998</v>
      </c>
      <c r="B35" s="1">
        <v>0.33333333333333331</v>
      </c>
      <c r="C35" s="2">
        <v>7973.7</v>
      </c>
      <c r="D35" s="2">
        <v>9.8000000000000007</v>
      </c>
      <c r="E35" s="3">
        <f t="shared" si="2"/>
        <v>-7.2065021687378709E-3</v>
      </c>
      <c r="F35" s="4">
        <f t="shared" si="0"/>
        <v>736.9649367787888</v>
      </c>
    </row>
    <row r="36" spans="1:6">
      <c r="A36" s="7">
        <v>43008</v>
      </c>
      <c r="B36" s="1">
        <v>0.33333333333333331</v>
      </c>
      <c r="C36" s="2">
        <v>7969.3</v>
      </c>
      <c r="D36" s="2">
        <v>10.1</v>
      </c>
      <c r="E36" s="3">
        <f t="shared" si="2"/>
        <v>-6.6270629243521742E-3</v>
      </c>
      <c r="F36" s="4">
        <f t="shared" si="0"/>
        <v>737.02403958171612</v>
      </c>
    </row>
    <row r="37" spans="1:6">
      <c r="A37" s="7">
        <v>43018</v>
      </c>
      <c r="B37" s="1">
        <v>0.33333333333333331</v>
      </c>
      <c r="C37" s="2">
        <v>7968.8</v>
      </c>
      <c r="D37" s="2">
        <v>9.6999999999999993</v>
      </c>
      <c r="E37" s="3">
        <f t="shared" si="2"/>
        <v>-6.9844469927968361E-3</v>
      </c>
      <c r="F37" s="4">
        <f t="shared" si="0"/>
        <v>736.98758640673475</v>
      </c>
    </row>
    <row r="38" spans="1:6">
      <c r="A38" s="7">
        <v>43230</v>
      </c>
      <c r="B38" s="1">
        <v>0.33333333333333331</v>
      </c>
      <c r="C38" s="2">
        <v>7974.6</v>
      </c>
      <c r="D38" s="2">
        <v>9.6</v>
      </c>
      <c r="E38" s="3">
        <f t="shared" si="2"/>
        <v>-7.4601883872578295E-3</v>
      </c>
      <c r="F38" s="4">
        <f t="shared" si="0"/>
        <v>736.9390607844997</v>
      </c>
    </row>
    <row r="39" spans="1:6">
      <c r="A39" s="7">
        <v>43240</v>
      </c>
      <c r="B39" s="1">
        <v>0.33333333333333331</v>
      </c>
      <c r="C39" s="2">
        <v>7974.5</v>
      </c>
      <c r="D39" s="2">
        <v>9.5</v>
      </c>
      <c r="E39" s="3">
        <f t="shared" si="2"/>
        <v>-7.551165677951846E-3</v>
      </c>
      <c r="F39" s="4">
        <f t="shared" si="0"/>
        <v>736.92978110084891</v>
      </c>
    </row>
    <row r="40" spans="1:6">
      <c r="A40" s="7">
        <v>43250</v>
      </c>
      <c r="B40" s="1">
        <v>0.33333333333333331</v>
      </c>
      <c r="C40" s="2">
        <v>7972.7</v>
      </c>
      <c r="D40" s="2">
        <v>9.9</v>
      </c>
      <c r="E40" s="3">
        <f t="shared" si="2"/>
        <v>-7.0437917703025169E-3</v>
      </c>
      <c r="F40" s="4">
        <f t="shared" si="0"/>
        <v>736.98153323942915</v>
      </c>
    </row>
    <row r="41" spans="1:6">
      <c r="A41" s="7">
        <v>43261</v>
      </c>
      <c r="B41" s="1">
        <v>0.33333333333333331</v>
      </c>
      <c r="C41" s="2">
        <v>7979.4</v>
      </c>
      <c r="D41" s="2">
        <v>9.1999999999999993</v>
      </c>
      <c r="E41" s="3">
        <f t="shared" si="2"/>
        <v>-8.163172564883435E-3</v>
      </c>
      <c r="F41" s="4">
        <f t="shared" si="0"/>
        <v>736.86735639838196</v>
      </c>
    </row>
    <row r="42" spans="1:6">
      <c r="A42" s="7">
        <v>43271</v>
      </c>
      <c r="B42" s="1">
        <v>0.33333333333333331</v>
      </c>
      <c r="C42" s="2">
        <v>7935.9</v>
      </c>
      <c r="D42" s="2">
        <v>9.8000000000000007</v>
      </c>
      <c r="E42" s="3">
        <f t="shared" si="2"/>
        <v>-4.7404516779658949E-3</v>
      </c>
      <c r="F42" s="4">
        <f t="shared" si="0"/>
        <v>737.21647392884756</v>
      </c>
    </row>
    <row r="43" spans="1:6">
      <c r="A43" s="7">
        <v>43281</v>
      </c>
      <c r="B43" s="1">
        <v>0.33333333333333331</v>
      </c>
      <c r="C43" s="2">
        <v>7972.6</v>
      </c>
      <c r="D43" s="2">
        <v>9.6</v>
      </c>
      <c r="E43" s="3">
        <f t="shared" si="2"/>
        <v>-7.3297653787585265E-3</v>
      </c>
      <c r="F43" s="4">
        <f t="shared" si="0"/>
        <v>736.95236393136668</v>
      </c>
    </row>
    <row r="44" spans="1:6">
      <c r="A44" s="7">
        <v>43291</v>
      </c>
      <c r="B44" s="1">
        <v>0.33333333333333331</v>
      </c>
      <c r="C44" s="2">
        <v>7984.5</v>
      </c>
      <c r="D44" s="2">
        <v>9.9</v>
      </c>
      <c r="E44" s="3">
        <f t="shared" si="2"/>
        <v>-7.8131998780718928E-3</v>
      </c>
      <c r="F44" s="4">
        <f t="shared" si="0"/>
        <v>736.90305361243668</v>
      </c>
    </row>
    <row r="45" spans="1:6">
      <c r="A45" s="7">
        <v>43301</v>
      </c>
      <c r="B45" s="1">
        <v>0.33333333333333331</v>
      </c>
      <c r="C45" s="2">
        <v>7981.3</v>
      </c>
      <c r="D45" s="2">
        <v>9.6999999999999993</v>
      </c>
      <c r="E45" s="3">
        <f t="shared" si="2"/>
        <v>-7.7995638718818122E-3</v>
      </c>
      <c r="F45" s="4">
        <f t="shared" si="0"/>
        <v>736.9044444850681</v>
      </c>
    </row>
    <row r="46" spans="1:6">
      <c r="A46" s="7">
        <v>43311</v>
      </c>
      <c r="B46" s="1">
        <v>0.33333333333333331</v>
      </c>
      <c r="C46" s="2">
        <v>7973.6</v>
      </c>
      <c r="D46" s="2">
        <v>9.5</v>
      </c>
      <c r="E46" s="3">
        <f t="shared" si="2"/>
        <v>-7.4924759257401635E-3</v>
      </c>
      <c r="F46" s="4">
        <f t="shared" si="0"/>
        <v>736.93576745557459</v>
      </c>
    </row>
    <row r="47" spans="1:6">
      <c r="A47" s="7">
        <v>43322</v>
      </c>
      <c r="B47" s="1">
        <v>0.33333333333333331</v>
      </c>
      <c r="C47" s="2">
        <v>7971.6</v>
      </c>
      <c r="D47" s="2">
        <v>9.6</v>
      </c>
      <c r="E47" s="3">
        <f t="shared" si="2"/>
        <v>-7.264551646313025E-3</v>
      </c>
      <c r="F47" s="4">
        <f t="shared" si="0"/>
        <v>736.95901573207607</v>
      </c>
    </row>
    <row r="48" spans="1:6">
      <c r="A48" s="7">
        <v>43332</v>
      </c>
      <c r="B48" s="1">
        <v>0.33333333333333331</v>
      </c>
      <c r="C48" s="2">
        <v>7979.4</v>
      </c>
      <c r="D48" s="2">
        <v>9.5</v>
      </c>
      <c r="E48" s="3">
        <f t="shared" ref="E48:E69" si="3">($B$2*C48^2+$B$3*C48+$B$4)-$B$5*D48-$E$7</f>
        <v>-7.8706776648834326E-3</v>
      </c>
      <c r="F48" s="4">
        <f t="shared" ref="F48:F69" si="4">$D$1+102*E48</f>
        <v>736.89719087818196</v>
      </c>
    </row>
    <row r="49" spans="1:6">
      <c r="A49" s="7">
        <v>43342</v>
      </c>
      <c r="B49" s="1">
        <v>0.33333333333333331</v>
      </c>
      <c r="C49" s="2">
        <v>7963.1</v>
      </c>
      <c r="D49" s="2">
        <v>9.5</v>
      </c>
      <c r="E49" s="3">
        <f t="shared" si="3"/>
        <v>-6.8076732449164484E-3</v>
      </c>
      <c r="F49" s="4">
        <f t="shared" si="4"/>
        <v>737.00561732901861</v>
      </c>
    </row>
    <row r="50" spans="1:6">
      <c r="A50" s="7">
        <v>43353</v>
      </c>
      <c r="B50" s="1">
        <v>0.33333333333333331</v>
      </c>
      <c r="C50" s="2">
        <v>7956.3</v>
      </c>
      <c r="D50" s="2">
        <v>9.4</v>
      </c>
      <c r="E50" s="3">
        <f t="shared" si="3"/>
        <v>-6.4615929099617504E-3</v>
      </c>
      <c r="F50" s="4">
        <f t="shared" si="4"/>
        <v>737.04091752318391</v>
      </c>
    </row>
    <row r="51" spans="1:6">
      <c r="A51" s="7">
        <v>43363</v>
      </c>
      <c r="B51" s="1">
        <v>0.33333333333333331</v>
      </c>
      <c r="C51" s="2">
        <v>7950.5</v>
      </c>
      <c r="D51" s="2">
        <v>9.3000000000000007</v>
      </c>
      <c r="E51" s="3">
        <f t="shared" si="3"/>
        <v>-6.1806904483518617E-3</v>
      </c>
      <c r="F51" s="4">
        <f t="shared" si="4"/>
        <v>737.06956957426814</v>
      </c>
    </row>
    <row r="52" spans="1:6">
      <c r="A52" s="7">
        <v>43373</v>
      </c>
      <c r="B52" s="1">
        <v>0.33333333333333331</v>
      </c>
      <c r="C52" s="2">
        <v>7961.7</v>
      </c>
      <c r="D52" s="2">
        <v>9</v>
      </c>
      <c r="E52" s="3">
        <f t="shared" si="3"/>
        <v>-7.2038453468913563E-3</v>
      </c>
      <c r="F52" s="4">
        <f t="shared" si="4"/>
        <v>736.96520777461717</v>
      </c>
    </row>
    <row r="53" spans="1:6">
      <c r="A53" s="7">
        <v>43383</v>
      </c>
      <c r="B53" s="1">
        <v>0.33333333333333331</v>
      </c>
      <c r="C53" s="2">
        <v>7962.4</v>
      </c>
      <c r="D53" s="2">
        <v>8.8000000000000007</v>
      </c>
      <c r="E53" s="3">
        <f t="shared" si="3"/>
        <v>-7.4445020098425074E-3</v>
      </c>
      <c r="F53" s="4">
        <f t="shared" si="4"/>
        <v>736.94066079499612</v>
      </c>
    </row>
    <row r="54" spans="1:6">
      <c r="A54" s="7">
        <v>43393</v>
      </c>
      <c r="B54" s="1">
        <v>0.33333333333333331</v>
      </c>
      <c r="C54" s="2">
        <v>7964.6</v>
      </c>
      <c r="D54" s="2">
        <v>8.6</v>
      </c>
      <c r="E54" s="3">
        <f t="shared" si="3"/>
        <v>-7.7829969262017962E-3</v>
      </c>
      <c r="F54" s="4">
        <f t="shared" si="4"/>
        <v>736.90613431352745</v>
      </c>
    </row>
    <row r="55" spans="1:6">
      <c r="A55" s="7">
        <v>43605</v>
      </c>
      <c r="B55" s="1">
        <v>0.33333333333333331</v>
      </c>
      <c r="C55" s="2">
        <v>7965.7</v>
      </c>
      <c r="D55" s="2">
        <v>8.1999999999999993</v>
      </c>
      <c r="E55" s="3">
        <f t="shared" si="3"/>
        <v>-8.2447365882642246E-3</v>
      </c>
      <c r="F55" s="4">
        <f t="shared" si="4"/>
        <v>736.85903686799713</v>
      </c>
    </row>
    <row r="56" spans="1:6">
      <c r="A56" s="7">
        <v>43615</v>
      </c>
      <c r="B56" s="1">
        <v>0.33333333333333331</v>
      </c>
      <c r="C56" s="2">
        <v>7967.4</v>
      </c>
      <c r="D56" s="2">
        <v>8.4</v>
      </c>
      <c r="E56" s="3">
        <f t="shared" si="3"/>
        <v>-8.1606173487745216E-3</v>
      </c>
      <c r="F56" s="4">
        <f t="shared" si="4"/>
        <v>736.86761703042509</v>
      </c>
    </row>
    <row r="57" spans="1:6">
      <c r="A57" s="7">
        <v>43626</v>
      </c>
      <c r="B57" s="1">
        <v>0.33333333333333331</v>
      </c>
      <c r="C57" s="2">
        <v>7972.3</v>
      </c>
      <c r="D57" s="2">
        <v>8.6999999999999993</v>
      </c>
      <c r="E57" s="3">
        <f t="shared" si="3"/>
        <v>-8.1876861149986213E-3</v>
      </c>
      <c r="F57" s="4">
        <f t="shared" si="4"/>
        <v>736.86485601627021</v>
      </c>
    </row>
    <row r="58" spans="1:6">
      <c r="A58" s="7">
        <v>43636</v>
      </c>
      <c r="B58" s="1">
        <v>0.33333333333333331</v>
      </c>
      <c r="C58" s="2">
        <v>7974.6</v>
      </c>
      <c r="D58" s="2">
        <v>8.9</v>
      </c>
      <c r="E58" s="3">
        <f t="shared" si="3"/>
        <v>-8.1426764872578293E-3</v>
      </c>
      <c r="F58" s="4">
        <f t="shared" si="4"/>
        <v>736.86944699829974</v>
      </c>
    </row>
    <row r="59" spans="1:6">
      <c r="A59" s="7">
        <v>43646</v>
      </c>
      <c r="B59" s="1">
        <v>0.33333333333333331</v>
      </c>
      <c r="C59" s="2">
        <v>7974.8</v>
      </c>
      <c r="D59" s="2">
        <v>8.6</v>
      </c>
      <c r="E59" s="3">
        <f t="shared" si="3"/>
        <v>-8.448213361305662E-3</v>
      </c>
      <c r="F59" s="4">
        <f t="shared" si="4"/>
        <v>736.83828223714681</v>
      </c>
    </row>
    <row r="60" spans="1:6">
      <c r="A60" s="7">
        <v>43656</v>
      </c>
      <c r="B60" s="1">
        <v>0.33333333333333331</v>
      </c>
      <c r="C60" s="2">
        <v>7975.7</v>
      </c>
      <c r="D60" s="2">
        <v>8.6</v>
      </c>
      <c r="E60" s="3">
        <f t="shared" si="3"/>
        <v>-8.5069015092162081E-3</v>
      </c>
      <c r="F60" s="4">
        <f t="shared" si="4"/>
        <v>736.83229604606004</v>
      </c>
    </row>
    <row r="61" spans="1:6">
      <c r="A61" s="7">
        <v>43666</v>
      </c>
      <c r="B61" s="1">
        <v>0.33333333333333331</v>
      </c>
      <c r="C61" s="2">
        <v>7975.1</v>
      </c>
      <c r="D61" s="2">
        <v>8.4</v>
      </c>
      <c r="E61" s="3">
        <f t="shared" si="3"/>
        <v>-8.6627728109676429E-3</v>
      </c>
      <c r="F61" s="4">
        <f t="shared" si="4"/>
        <v>736.8163971732813</v>
      </c>
    </row>
    <row r="62" spans="1:6">
      <c r="A62" s="7">
        <v>43676</v>
      </c>
      <c r="B62" s="1">
        <v>0.33333333333333331</v>
      </c>
      <c r="C62" s="2">
        <v>7972.6</v>
      </c>
      <c r="D62" s="2">
        <v>8.3000000000000007</v>
      </c>
      <c r="E62" s="3">
        <f t="shared" si="3"/>
        <v>-8.5972432787585276E-3</v>
      </c>
      <c r="F62" s="4">
        <f t="shared" si="4"/>
        <v>736.82308118556671</v>
      </c>
    </row>
    <row r="63" spans="1:6">
      <c r="A63" s="7">
        <v>43646</v>
      </c>
      <c r="B63" s="1">
        <v>0.33333333333333331</v>
      </c>
      <c r="C63" s="2">
        <v>7974.8</v>
      </c>
      <c r="D63" s="2">
        <v>8.6</v>
      </c>
      <c r="E63" s="3">
        <f t="shared" si="3"/>
        <v>-8.448213361305662E-3</v>
      </c>
      <c r="F63" s="4">
        <f t="shared" si="4"/>
        <v>736.83828223714681</v>
      </c>
    </row>
    <row r="64" spans="1:6">
      <c r="A64" s="7">
        <v>43656</v>
      </c>
      <c r="B64" s="1">
        <v>0.33333333333333331</v>
      </c>
      <c r="C64" s="2">
        <v>7975.7</v>
      </c>
      <c r="D64" s="2">
        <v>8.6</v>
      </c>
      <c r="E64" s="3">
        <f t="shared" si="3"/>
        <v>-8.5069015092162081E-3</v>
      </c>
      <c r="F64" s="4">
        <f t="shared" si="4"/>
        <v>736.83229604606004</v>
      </c>
    </row>
    <row r="65" spans="1:6">
      <c r="A65" s="7">
        <v>43666</v>
      </c>
      <c r="B65" s="1">
        <v>0.33333333333333331</v>
      </c>
      <c r="C65" s="2">
        <v>7975.1</v>
      </c>
      <c r="D65" s="2">
        <v>8.4</v>
      </c>
      <c r="E65" s="3">
        <f t="shared" si="3"/>
        <v>-8.6627728109676429E-3</v>
      </c>
      <c r="F65" s="4">
        <f t="shared" si="4"/>
        <v>736.8163971732813</v>
      </c>
    </row>
    <row r="66" spans="1:6">
      <c r="A66" s="7">
        <v>43676</v>
      </c>
      <c r="B66" s="1">
        <v>0.33333333333333331</v>
      </c>
      <c r="C66" s="2">
        <v>7972.6</v>
      </c>
      <c r="D66" s="2">
        <v>8.3000000000000007</v>
      </c>
      <c r="E66" s="3">
        <f t="shared" si="3"/>
        <v>-8.5972432787585276E-3</v>
      </c>
      <c r="F66" s="4">
        <f t="shared" si="4"/>
        <v>736.82308118556671</v>
      </c>
    </row>
    <row r="67" spans="1:6">
      <c r="A67" s="7">
        <v>43687</v>
      </c>
      <c r="B67" s="1">
        <v>0.33333333333333331</v>
      </c>
      <c r="C67" s="2">
        <v>7962.4</v>
      </c>
      <c r="D67" s="2">
        <v>8.1999999999999993</v>
      </c>
      <c r="E67" s="3">
        <f t="shared" si="3"/>
        <v>-8.0294918098425053E-3</v>
      </c>
      <c r="F67" s="4">
        <f t="shared" si="4"/>
        <v>736.88099183539612</v>
      </c>
    </row>
    <row r="68" spans="1:6">
      <c r="A68" s="7">
        <v>43697</v>
      </c>
      <c r="B68" s="1">
        <v>0.33333333333333331</v>
      </c>
      <c r="C68" s="2">
        <v>7959.3</v>
      </c>
      <c r="D68" s="2">
        <v>8</v>
      </c>
      <c r="E68" s="3">
        <f t="shared" si="3"/>
        <v>-8.0222740337041847E-3</v>
      </c>
      <c r="F68" s="4">
        <f t="shared" si="4"/>
        <v>736.88172804856219</v>
      </c>
    </row>
    <row r="69" spans="1:6">
      <c r="A69" s="7">
        <v>43707</v>
      </c>
      <c r="B69" s="1">
        <v>0.33333333333333331</v>
      </c>
      <c r="C69" s="2">
        <v>7858.4</v>
      </c>
      <c r="D69" s="2">
        <v>8.3000000000000007</v>
      </c>
      <c r="E69" s="3">
        <f t="shared" si="3"/>
        <v>-1.1402334101050307E-3</v>
      </c>
      <c r="F69" s="4">
        <f t="shared" si="4"/>
        <v>737.58369619216933</v>
      </c>
    </row>
  </sheetData>
  <phoneticPr fontId="4" type="noConversion"/>
  <pageMargins left="0.69930555555555596" right="0.69930555555555596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6"/>
  <sheetViews>
    <sheetView topLeftCell="A52" workbookViewId="0">
      <selection activeCell="A70" sqref="A70:B76"/>
    </sheetView>
  </sheetViews>
  <sheetFormatPr defaultColWidth="9" defaultRowHeight="13.5"/>
  <cols>
    <col min="1" max="1" width="11.625" bestFit="1" customWidth="1"/>
    <col min="2" max="2" width="13.875" customWidth="1"/>
  </cols>
  <sheetData>
    <row r="1" spans="1:7">
      <c r="A1" t="s">
        <v>0</v>
      </c>
      <c r="B1">
        <v>50305</v>
      </c>
      <c r="C1" t="s">
        <v>1</v>
      </c>
      <c r="D1">
        <v>736</v>
      </c>
    </row>
    <row r="2" spans="1:7">
      <c r="A2" t="s">
        <v>2</v>
      </c>
      <c r="B2">
        <f>-1.31056*10^-10</f>
        <v>-1.31056E-10</v>
      </c>
    </row>
    <row r="3" spans="1:7">
      <c r="A3" t="s">
        <v>3</v>
      </c>
      <c r="B3">
        <v>-6.6786999999999996E-5</v>
      </c>
    </row>
    <row r="4" spans="1:7">
      <c r="A4" t="s">
        <v>4</v>
      </c>
      <c r="B4">
        <v>0.62188540999999997</v>
      </c>
    </row>
    <row r="5" spans="1:7">
      <c r="A5" t="s">
        <v>5</v>
      </c>
      <c r="B5">
        <v>-1.4726229999999999E-3</v>
      </c>
    </row>
    <row r="6" spans="1:7">
      <c r="A6" t="s">
        <v>6</v>
      </c>
      <c r="B6" t="s">
        <v>7</v>
      </c>
      <c r="C6" t="s">
        <v>8</v>
      </c>
      <c r="D6" t="s">
        <v>9</v>
      </c>
      <c r="E6" t="s">
        <v>10</v>
      </c>
      <c r="F6" t="s">
        <v>11</v>
      </c>
      <c r="G6" t="s">
        <v>12</v>
      </c>
    </row>
    <row r="7" spans="1:7">
      <c r="A7" s="7">
        <v>42231</v>
      </c>
      <c r="B7" s="1">
        <v>0.375</v>
      </c>
      <c r="C7" s="2">
        <v>9233.4</v>
      </c>
      <c r="D7" s="2">
        <v>20.6</v>
      </c>
      <c r="E7" s="3">
        <f>($B$2*C7^2+$B$3*C7+$B$4)-$B$5*D7</f>
        <v>2.4377090183808688E-2</v>
      </c>
      <c r="G7" t="s">
        <v>13</v>
      </c>
    </row>
    <row r="8" spans="1:7">
      <c r="A8" s="7">
        <v>42231</v>
      </c>
      <c r="B8" s="1">
        <v>0.45833333333333298</v>
      </c>
      <c r="C8" s="2">
        <v>9261.6</v>
      </c>
      <c r="D8" s="2">
        <v>20.8</v>
      </c>
      <c r="E8" s="3">
        <f>($B$2*C8^2+$B$3*C8+$B$4)-$B$5*D8-$E$7</f>
        <v>-1.6572222363040595E-3</v>
      </c>
      <c r="F8" s="4">
        <f>$D$1+102*E8</f>
        <v>735.83096333189701</v>
      </c>
      <c r="G8" t="s">
        <v>17</v>
      </c>
    </row>
    <row r="9" spans="1:7">
      <c r="A9" s="7">
        <v>42231</v>
      </c>
      <c r="B9" s="1">
        <v>0.70833333333333304</v>
      </c>
      <c r="C9" s="2">
        <v>8832.5</v>
      </c>
      <c r="D9" s="2">
        <v>20.2</v>
      </c>
      <c r="E9" s="3">
        <f t="shared" ref="E9:E28" si="0">($B$2*C9^2+$B$3*C9+$B$4)-$B$5*D9-$E$7</f>
        <v>2.7135047816291301E-2</v>
      </c>
      <c r="F9" s="4">
        <f t="shared" ref="F9:F58" si="1">$D$1+102*E9</f>
        <v>738.76777487726167</v>
      </c>
    </row>
    <row r="10" spans="1:7">
      <c r="A10" s="7">
        <v>42232</v>
      </c>
      <c r="B10" s="1">
        <v>0.41666666666666702</v>
      </c>
      <c r="C10" s="2">
        <v>9299.9</v>
      </c>
      <c r="D10" s="2">
        <v>32.700000000000003</v>
      </c>
      <c r="E10" s="3">
        <f t="shared" si="0"/>
        <v>1.3215880939040886E-2</v>
      </c>
      <c r="F10" s="4">
        <f t="shared" si="1"/>
        <v>737.34801985578213</v>
      </c>
    </row>
    <row r="11" spans="1:7">
      <c r="A11" s="7">
        <v>42233</v>
      </c>
      <c r="B11" s="1">
        <v>0.41666666666666702</v>
      </c>
      <c r="C11" s="2">
        <v>9291.7000000000007</v>
      </c>
      <c r="D11" s="2">
        <v>33.1</v>
      </c>
      <c r="E11" s="3">
        <f t="shared" si="0"/>
        <v>1.4372563173023441E-2</v>
      </c>
      <c r="F11" s="4">
        <f t="shared" si="1"/>
        <v>737.46600144364834</v>
      </c>
    </row>
    <row r="12" spans="1:7">
      <c r="A12" s="7">
        <v>42234</v>
      </c>
      <c r="B12" s="1">
        <v>0.41666666666666702</v>
      </c>
      <c r="C12" s="2">
        <v>9271.7000000000007</v>
      </c>
      <c r="D12" s="2">
        <v>33.200000000000003</v>
      </c>
      <c r="E12" s="3">
        <f t="shared" si="0"/>
        <v>1.5904222372031485E-2</v>
      </c>
      <c r="F12" s="4">
        <f t="shared" si="1"/>
        <v>737.62223068194726</v>
      </c>
    </row>
    <row r="13" spans="1:7">
      <c r="A13" s="7">
        <v>42235</v>
      </c>
      <c r="B13" s="1">
        <v>0.41666666666666702</v>
      </c>
      <c r="C13" s="2">
        <v>9222.7000000000007</v>
      </c>
      <c r="D13" s="2">
        <v>32.200000000000003</v>
      </c>
      <c r="E13" s="3">
        <f t="shared" si="0"/>
        <v>1.7822928674265E-2</v>
      </c>
      <c r="F13" s="4">
        <f t="shared" si="1"/>
        <v>737.81793872477499</v>
      </c>
    </row>
    <row r="14" spans="1:7">
      <c r="A14" s="7">
        <v>42236</v>
      </c>
      <c r="B14" s="1">
        <v>0.41666666666666702</v>
      </c>
      <c r="C14" s="2">
        <v>9178.4</v>
      </c>
      <c r="D14" s="2">
        <v>30.7</v>
      </c>
      <c r="E14" s="3">
        <f t="shared" si="0"/>
        <v>1.8679491027343877E-2</v>
      </c>
      <c r="F14" s="4">
        <f t="shared" si="1"/>
        <v>737.90530808478911</v>
      </c>
    </row>
    <row r="15" spans="1:7">
      <c r="A15" s="7">
        <v>42237</v>
      </c>
      <c r="B15" s="1">
        <v>0.41666666666666702</v>
      </c>
      <c r="C15" s="2">
        <v>9136.1</v>
      </c>
      <c r="D15" s="2">
        <v>29.4</v>
      </c>
      <c r="E15" s="3">
        <f t="shared" si="0"/>
        <v>1.9691700749581494E-2</v>
      </c>
      <c r="F15" s="4">
        <f t="shared" si="1"/>
        <v>738.00855347645734</v>
      </c>
    </row>
    <row r="16" spans="1:7">
      <c r="A16" s="7">
        <v>42238</v>
      </c>
      <c r="B16" s="1">
        <v>0.41666666666666702</v>
      </c>
      <c r="C16" s="2">
        <v>9092.2999999999993</v>
      </c>
      <c r="D16" s="2">
        <v>28.3</v>
      </c>
      <c r="E16" s="3">
        <f t="shared" si="0"/>
        <v>2.1101721673721173E-2</v>
      </c>
      <c r="F16" s="4">
        <f t="shared" si="1"/>
        <v>738.15237561071956</v>
      </c>
    </row>
    <row r="17" spans="1:7">
      <c r="A17" s="7">
        <v>42245</v>
      </c>
      <c r="B17" s="1">
        <v>0.41666666666666702</v>
      </c>
      <c r="C17" s="2">
        <v>9025.5</v>
      </c>
      <c r="D17" s="2">
        <v>22.5</v>
      </c>
      <c r="E17" s="3">
        <f t="shared" si="0"/>
        <v>1.7180492893027303E-2</v>
      </c>
      <c r="F17" s="4">
        <f t="shared" si="1"/>
        <v>737.75241027508878</v>
      </c>
    </row>
    <row r="18" spans="1:7">
      <c r="A18" s="7">
        <v>42252</v>
      </c>
      <c r="B18" s="1">
        <v>0.41666666666666602</v>
      </c>
      <c r="C18" s="2">
        <v>8979.1</v>
      </c>
      <c r="D18" s="2">
        <v>20.100000000000001</v>
      </c>
      <c r="E18" s="3">
        <f t="shared" si="0"/>
        <v>1.6854600436819946E-2</v>
      </c>
      <c r="F18" s="4">
        <f t="shared" si="1"/>
        <v>737.71916924455559</v>
      </c>
    </row>
    <row r="19" spans="1:7">
      <c r="A19" s="7">
        <v>42259</v>
      </c>
      <c r="B19" s="1">
        <v>0.41666666666666602</v>
      </c>
      <c r="C19" s="2">
        <v>8948.4</v>
      </c>
      <c r="D19" s="2">
        <v>17.899999999999999</v>
      </c>
      <c r="E19" s="3">
        <f t="shared" si="0"/>
        <v>1.5737320584527918E-2</v>
      </c>
      <c r="F19" s="4">
        <f t="shared" si="1"/>
        <v>737.60520669962182</v>
      </c>
    </row>
    <row r="20" spans="1:7">
      <c r="A20" s="7">
        <v>42266</v>
      </c>
      <c r="B20" s="1">
        <v>0.41666666666666602</v>
      </c>
      <c r="C20" s="2">
        <v>8925.2999999999993</v>
      </c>
      <c r="D20" s="2">
        <v>16.5</v>
      </c>
      <c r="E20" s="3">
        <f t="shared" si="0"/>
        <v>1.5272538809516262E-2</v>
      </c>
      <c r="F20" s="4">
        <f t="shared" si="1"/>
        <v>737.55779895857063</v>
      </c>
    </row>
    <row r="21" spans="1:7">
      <c r="A21" s="7">
        <v>42273</v>
      </c>
      <c r="B21" s="1">
        <v>0.41666666666666502</v>
      </c>
      <c r="C21" s="2">
        <v>8893.2000000000007</v>
      </c>
      <c r="D21" s="2">
        <v>15.5</v>
      </c>
      <c r="E21" s="3">
        <f t="shared" si="0"/>
        <v>1.6018739114401805E-2</v>
      </c>
      <c r="F21" s="4">
        <f t="shared" si="1"/>
        <v>737.63391138966904</v>
      </c>
    </row>
    <row r="22" spans="1:7">
      <c r="A22" s="7">
        <v>42280</v>
      </c>
      <c r="B22" s="1">
        <v>0.41666666666666502</v>
      </c>
      <c r="C22" s="2">
        <v>8886.2999999999993</v>
      </c>
      <c r="D22" s="2">
        <v>14.9</v>
      </c>
      <c r="E22" s="3">
        <f t="shared" si="0"/>
        <v>1.5612073374450662E-2</v>
      </c>
      <c r="F22" s="4">
        <f t="shared" si="1"/>
        <v>737.59243148419398</v>
      </c>
    </row>
    <row r="23" spans="1:7">
      <c r="A23" s="7">
        <v>42287</v>
      </c>
      <c r="B23" s="1">
        <v>0.41666666666666502</v>
      </c>
      <c r="C23" s="2">
        <v>8897.2000000000007</v>
      </c>
      <c r="D23" s="2">
        <v>14.9</v>
      </c>
      <c r="E23" s="3">
        <f t="shared" si="0"/>
        <v>1.4858691159752212E-2</v>
      </c>
      <c r="F23" s="4">
        <f t="shared" si="1"/>
        <v>737.51558649829474</v>
      </c>
    </row>
    <row r="24" spans="1:7">
      <c r="A24" s="7">
        <v>42294</v>
      </c>
      <c r="B24" s="1">
        <v>0.41666666666666702</v>
      </c>
      <c r="C24" s="2">
        <v>8880.1</v>
      </c>
      <c r="D24" s="2">
        <v>13.8</v>
      </c>
      <c r="E24" s="3">
        <f t="shared" si="0"/>
        <v>1.4420703513024685E-2</v>
      </c>
      <c r="F24" s="4">
        <f t="shared" si="1"/>
        <v>737.4709117583285</v>
      </c>
      <c r="G24" s="2"/>
    </row>
    <row r="25" spans="1:7">
      <c r="A25" s="7">
        <v>42301</v>
      </c>
      <c r="B25" s="1">
        <v>0.41666666666666702</v>
      </c>
      <c r="C25" s="2">
        <v>8880.6</v>
      </c>
      <c r="D25" s="2">
        <v>13.6</v>
      </c>
      <c r="E25" s="3">
        <f t="shared" si="0"/>
        <v>1.4091621589875189E-2</v>
      </c>
      <c r="F25" s="4">
        <f t="shared" si="1"/>
        <v>737.43734540216724</v>
      </c>
      <c r="G25" s="2"/>
    </row>
    <row r="26" spans="1:7">
      <c r="A26" s="7">
        <v>42308</v>
      </c>
      <c r="B26" s="1">
        <v>0.41666666666666702</v>
      </c>
      <c r="C26" s="2">
        <v>8879.2000000000007</v>
      </c>
      <c r="D26" s="2">
        <v>13.3</v>
      </c>
      <c r="E26" s="3">
        <f t="shared" si="0"/>
        <v>1.3746595029563498E-2</v>
      </c>
      <c r="F26" s="4">
        <f t="shared" si="1"/>
        <v>737.40215269301552</v>
      </c>
      <c r="G26" s="2"/>
    </row>
    <row r="27" spans="1:7">
      <c r="A27" s="7">
        <v>42531</v>
      </c>
      <c r="B27" s="1">
        <v>0.41666666666666702</v>
      </c>
      <c r="C27" s="2">
        <v>8797</v>
      </c>
      <c r="D27" s="2">
        <v>4.2</v>
      </c>
      <c r="E27" s="3">
        <f t="shared" si="0"/>
        <v>6.026039353487344E-3</v>
      </c>
      <c r="F27" s="4">
        <f t="shared" si="1"/>
        <v>736.61465601405575</v>
      </c>
      <c r="G27" s="2"/>
    </row>
    <row r="28" spans="1:7">
      <c r="A28" s="6">
        <v>42544</v>
      </c>
      <c r="B28" s="1">
        <v>0.41666666666666702</v>
      </c>
      <c r="C28" s="2">
        <v>8561.5</v>
      </c>
      <c r="D28" s="2">
        <v>4.0999999999999996</v>
      </c>
      <c r="E28" s="3">
        <f t="shared" si="0"/>
        <v>2.214286288163532E-2</v>
      </c>
      <c r="F28" s="4">
        <f t="shared" si="1"/>
        <v>738.25857201392682</v>
      </c>
    </row>
    <row r="29" spans="1:7">
      <c r="A29" s="7">
        <v>42551</v>
      </c>
      <c r="B29" s="9">
        <v>0.41666666666666702</v>
      </c>
      <c r="C29">
        <v>8684.6</v>
      </c>
      <c r="D29" s="2">
        <v>4</v>
      </c>
      <c r="E29" s="3">
        <f>($B$2*C29^2+$B$3*C29+$B$4)-$B$5*D29-$E$7</f>
        <v>1.3495889660710379E-2</v>
      </c>
      <c r="F29" s="4">
        <f t="shared" si="1"/>
        <v>737.3765807453924</v>
      </c>
    </row>
    <row r="30" spans="1:7">
      <c r="A30" s="7">
        <v>42561</v>
      </c>
      <c r="B30" s="9">
        <v>0.41666666666666702</v>
      </c>
      <c r="C30">
        <v>8722.4</v>
      </c>
      <c r="D30" s="2">
        <v>4.0999999999999996</v>
      </c>
      <c r="E30" s="3">
        <f>($B$2*C30^2+$B$3*C30+$B$4)-$B$5*D30-$E$7</f>
        <v>1.1032370530972793E-2</v>
      </c>
      <c r="F30" s="4">
        <f t="shared" si="1"/>
        <v>737.12530179415921</v>
      </c>
    </row>
    <row r="31" spans="1:7">
      <c r="A31" s="7">
        <v>42571</v>
      </c>
      <c r="B31" s="9">
        <v>0.41666666666666702</v>
      </c>
      <c r="C31" s="2">
        <v>8740.6</v>
      </c>
      <c r="D31" s="2">
        <v>4.4000000000000004</v>
      </c>
      <c r="E31" s="3">
        <f>($B$2*C31^2+$B$3*C31+$B$4)-$B$5*D31-$E$7</f>
        <v>1.0216980948083099E-2</v>
      </c>
      <c r="F31" s="4">
        <f t="shared" si="1"/>
        <v>737.04213205670453</v>
      </c>
    </row>
    <row r="32" spans="1:7">
      <c r="A32" s="7">
        <v>42581</v>
      </c>
      <c r="B32" s="9">
        <v>0.41666666666666702</v>
      </c>
      <c r="C32" s="2">
        <v>8735.2999999999993</v>
      </c>
      <c r="D32" s="2">
        <v>4.8</v>
      </c>
      <c r="E32" s="3">
        <f>($B$2*C32^2+$B$3*C32+$B$4)-$B$5*D32-$E$7</f>
        <v>1.1172139952300347E-2</v>
      </c>
      <c r="F32" s="4">
        <f t="shared" si="1"/>
        <v>737.13955827513462</v>
      </c>
    </row>
    <row r="33" spans="1:6">
      <c r="A33" s="7">
        <v>42592</v>
      </c>
      <c r="B33" s="1">
        <v>0.41666666666666702</v>
      </c>
      <c r="C33">
        <v>8750.1</v>
      </c>
      <c r="D33" s="2">
        <v>5.0999999999999996</v>
      </c>
      <c r="E33" s="3">
        <f t="shared" ref="E33:E58" si="2">($B$2*C33^2+$B$3*C33+$B$4)-$B$5*D33-$E$7</f>
        <v>1.0591564066880672E-2</v>
      </c>
      <c r="F33" s="4">
        <f t="shared" si="1"/>
        <v>737.08033953482186</v>
      </c>
    </row>
    <row r="34" spans="1:6">
      <c r="A34" s="7">
        <v>42602</v>
      </c>
      <c r="B34" s="1">
        <v>0.41666666666666702</v>
      </c>
      <c r="C34">
        <v>8767.7999999999993</v>
      </c>
      <c r="D34" s="2">
        <v>5.8</v>
      </c>
      <c r="E34" s="3">
        <f t="shared" si="2"/>
        <v>1.0399634148408297E-2</v>
      </c>
      <c r="F34" s="4">
        <f t="shared" si="1"/>
        <v>737.06076268313768</v>
      </c>
    </row>
    <row r="35" spans="1:6">
      <c r="A35" s="7">
        <v>42612</v>
      </c>
      <c r="B35" s="1">
        <v>0.41666666666666702</v>
      </c>
      <c r="C35">
        <v>8754.7999999999993</v>
      </c>
      <c r="D35" s="2">
        <v>6.2</v>
      </c>
      <c r="E35" s="3">
        <f t="shared" si="2"/>
        <v>1.1886768092661093E-2</v>
      </c>
      <c r="F35" s="4">
        <f t="shared" si="1"/>
        <v>737.21245034545143</v>
      </c>
    </row>
    <row r="36" spans="1:6">
      <c r="A36" s="7">
        <v>42623</v>
      </c>
      <c r="B36" s="1">
        <v>0.41666666666666702</v>
      </c>
      <c r="C36">
        <v>8746.6</v>
      </c>
      <c r="D36">
        <v>6.8</v>
      </c>
      <c r="E36" s="3">
        <f t="shared" si="2"/>
        <v>1.3336803333183954E-2</v>
      </c>
      <c r="F36" s="4">
        <f t="shared" si="1"/>
        <v>737.36035393998475</v>
      </c>
    </row>
    <row r="37" spans="1:6">
      <c r="A37" s="7">
        <v>42633</v>
      </c>
      <c r="B37" s="1">
        <v>0.41666666666666669</v>
      </c>
      <c r="C37">
        <v>8720.6</v>
      </c>
      <c r="D37" s="2">
        <v>7.4</v>
      </c>
      <c r="E37" s="3">
        <f t="shared" si="2"/>
        <v>1.6016357848627129E-2</v>
      </c>
      <c r="F37" s="4">
        <f t="shared" si="1"/>
        <v>737.63366850056002</v>
      </c>
    </row>
    <row r="38" spans="1:6">
      <c r="A38" s="7">
        <v>42643</v>
      </c>
      <c r="B38" s="1">
        <v>0.41666666666666669</v>
      </c>
      <c r="C38">
        <v>8792.2999999999993</v>
      </c>
      <c r="D38" s="2">
        <v>8</v>
      </c>
      <c r="E38" s="3">
        <f t="shared" si="2"/>
        <v>1.1946740015001178E-2</v>
      </c>
      <c r="F38" s="4">
        <f t="shared" si="1"/>
        <v>737.21856748153016</v>
      </c>
    </row>
    <row r="39" spans="1:6">
      <c r="A39" s="7">
        <v>42926</v>
      </c>
      <c r="B39" s="1">
        <v>0.41666666666666669</v>
      </c>
      <c r="C39">
        <v>8908.9</v>
      </c>
      <c r="D39" s="2">
        <v>8.9</v>
      </c>
      <c r="E39" s="3">
        <f t="shared" si="2"/>
        <v>5.2142421837255704E-3</v>
      </c>
      <c r="F39" s="4">
        <f t="shared" si="1"/>
        <v>736.53185270274003</v>
      </c>
    </row>
    <row r="40" spans="1:6">
      <c r="A40" s="7">
        <v>42936</v>
      </c>
      <c r="B40" s="1">
        <v>0.41666666666666669</v>
      </c>
      <c r="C40">
        <v>8898.7000000000007</v>
      </c>
      <c r="D40" s="2">
        <v>10.1</v>
      </c>
      <c r="E40" s="3">
        <f t="shared" si="2"/>
        <v>7.6864218705466128E-3</v>
      </c>
      <c r="F40" s="4">
        <f t="shared" si="1"/>
        <v>736.78401503079579</v>
      </c>
    </row>
    <row r="41" spans="1:6">
      <c r="A41" s="7">
        <v>42946</v>
      </c>
      <c r="B41" s="1">
        <v>0.41666666666666669</v>
      </c>
      <c r="C41">
        <v>8909.7999999999993</v>
      </c>
      <c r="D41" s="2">
        <v>11</v>
      </c>
      <c r="E41" s="3">
        <f t="shared" si="2"/>
        <v>8.2445404609330711E-3</v>
      </c>
      <c r="F41" s="4">
        <f t="shared" si="1"/>
        <v>736.84094312701518</v>
      </c>
    </row>
    <row r="42" spans="1:6">
      <c r="A42" s="7">
        <v>42957</v>
      </c>
      <c r="B42" s="1">
        <v>0.41666666666666669</v>
      </c>
      <c r="C42">
        <v>8891.2999999999993</v>
      </c>
      <c r="D42" s="2">
        <v>9.8000000000000007</v>
      </c>
      <c r="E42" s="3">
        <f t="shared" si="2"/>
        <v>7.7561117687227066E-3</v>
      </c>
      <c r="F42" s="4">
        <f t="shared" si="1"/>
        <v>736.79112340040967</v>
      </c>
    </row>
    <row r="43" spans="1:6">
      <c r="A43" s="7">
        <v>42967</v>
      </c>
      <c r="B43" s="1">
        <v>0.41666666666666669</v>
      </c>
      <c r="C43">
        <v>8894</v>
      </c>
      <c r="D43" s="2">
        <v>9.8000000000000007</v>
      </c>
      <c r="E43" s="3">
        <f t="shared" si="2"/>
        <v>7.5694935189754009E-3</v>
      </c>
      <c r="F43" s="4">
        <f t="shared" si="1"/>
        <v>736.77208833893553</v>
      </c>
    </row>
    <row r="44" spans="1:6">
      <c r="A44" s="7">
        <v>42977</v>
      </c>
      <c r="B44" s="1">
        <v>0.41666666666666669</v>
      </c>
      <c r="C44">
        <v>8885.4</v>
      </c>
      <c r="D44" s="2">
        <v>10.5</v>
      </c>
      <c r="E44" s="3">
        <f t="shared" si="2"/>
        <v>9.1947366535744049E-3</v>
      </c>
      <c r="F44" s="4">
        <f t="shared" si="1"/>
        <v>736.93786313866462</v>
      </c>
    </row>
    <row r="45" spans="1:6">
      <c r="A45" s="7">
        <v>42988</v>
      </c>
      <c r="B45" s="1">
        <v>0.41666666666666669</v>
      </c>
      <c r="C45">
        <v>8880.1</v>
      </c>
      <c r="D45" s="2">
        <v>10.6</v>
      </c>
      <c r="E45" s="3">
        <f t="shared" si="2"/>
        <v>9.7083099130246889E-3</v>
      </c>
      <c r="F45" s="4">
        <f t="shared" si="1"/>
        <v>736.99024761112855</v>
      </c>
    </row>
    <row r="46" spans="1:6">
      <c r="A46" s="7">
        <v>42998</v>
      </c>
      <c r="B46" s="1">
        <v>0.41666666666666669</v>
      </c>
      <c r="C46">
        <v>8894.5</v>
      </c>
      <c r="D46" s="2">
        <v>9.6</v>
      </c>
      <c r="E46" s="3">
        <f t="shared" si="2"/>
        <v>7.240409774147312E-3</v>
      </c>
      <c r="F46" s="4">
        <f t="shared" si="1"/>
        <v>736.73852179696303</v>
      </c>
    </row>
    <row r="47" spans="1:6">
      <c r="A47" s="7">
        <v>43008</v>
      </c>
      <c r="B47" s="1">
        <v>0.41666666666666669</v>
      </c>
      <c r="C47">
        <v>8896.2999999999993</v>
      </c>
      <c r="D47" s="2">
        <v>9.5</v>
      </c>
      <c r="E47" s="3">
        <f t="shared" si="2"/>
        <v>6.9687340101946757E-3</v>
      </c>
      <c r="F47" s="4">
        <f t="shared" si="1"/>
        <v>736.71081086903985</v>
      </c>
    </row>
    <row r="48" spans="1:6">
      <c r="A48" s="7">
        <v>43018</v>
      </c>
      <c r="B48" s="1">
        <v>0.41666666666666669</v>
      </c>
      <c r="C48">
        <v>8884</v>
      </c>
      <c r="D48" s="2">
        <v>9.3000000000000007</v>
      </c>
      <c r="E48" s="3">
        <f t="shared" si="2"/>
        <v>7.524351154655301E-3</v>
      </c>
      <c r="F48" s="4">
        <f t="shared" si="1"/>
        <v>736.76748381777486</v>
      </c>
    </row>
    <row r="49" spans="1:6">
      <c r="A49" s="7">
        <v>43230</v>
      </c>
      <c r="B49" s="1">
        <v>0.41666666666666669</v>
      </c>
      <c r="C49">
        <v>8887.5</v>
      </c>
      <c r="D49" s="2">
        <v>9.1999999999999993</v>
      </c>
      <c r="E49" s="3">
        <f t="shared" si="2"/>
        <v>7.1351826386913189E-3</v>
      </c>
      <c r="F49" s="4">
        <f t="shared" si="1"/>
        <v>736.72778862914652</v>
      </c>
    </row>
    <row r="50" spans="1:6">
      <c r="A50" s="7">
        <v>43240</v>
      </c>
      <c r="B50" s="1">
        <v>0.41666666666666669</v>
      </c>
      <c r="C50">
        <v>8890.7999999999993</v>
      </c>
      <c r="D50" s="2">
        <v>9.3000000000000007</v>
      </c>
      <c r="E50" s="3">
        <f t="shared" si="2"/>
        <v>7.0543589941714779E-3</v>
      </c>
      <c r="F50" s="4">
        <f t="shared" si="1"/>
        <v>736.71954461740552</v>
      </c>
    </row>
    <row r="51" spans="1:6">
      <c r="A51" s="7">
        <v>43250</v>
      </c>
      <c r="B51" s="1">
        <v>0.41666666666666669</v>
      </c>
      <c r="C51">
        <v>8888.1</v>
      </c>
      <c r="D51" s="2">
        <v>9.4</v>
      </c>
      <c r="E51" s="3">
        <f t="shared" si="2"/>
        <v>7.3882372792710913E-3</v>
      </c>
      <c r="F51" s="4">
        <f t="shared" si="1"/>
        <v>736.7536002024857</v>
      </c>
    </row>
    <row r="52" spans="1:6">
      <c r="A52" s="7">
        <v>43261</v>
      </c>
      <c r="B52" s="1">
        <v>0.41666666666666669</v>
      </c>
      <c r="C52">
        <v>8870.6</v>
      </c>
      <c r="D52" s="2">
        <v>9.3000000000000007</v>
      </c>
      <c r="E52" s="3">
        <f t="shared" si="2"/>
        <v>8.4504767025471439E-3</v>
      </c>
      <c r="F52" s="4">
        <f t="shared" si="1"/>
        <v>736.86194862365983</v>
      </c>
    </row>
    <row r="53" spans="1:6">
      <c r="A53" s="7">
        <v>43271</v>
      </c>
      <c r="B53" s="1">
        <v>0.41666666666666669</v>
      </c>
      <c r="C53">
        <v>8720</v>
      </c>
      <c r="D53" s="2">
        <v>9.3000000000000007</v>
      </c>
      <c r="E53" s="3">
        <f t="shared" si="2"/>
        <v>1.8855785165791311E-2</v>
      </c>
      <c r="F53" s="4">
        <f t="shared" si="1"/>
        <v>737.9232900869107</v>
      </c>
    </row>
    <row r="54" spans="1:6">
      <c r="A54" s="7">
        <v>43281</v>
      </c>
      <c r="B54" s="1">
        <v>0.41666666666666669</v>
      </c>
      <c r="C54">
        <v>8758.7999999999993</v>
      </c>
      <c r="D54" s="2">
        <v>9.3000000000000007</v>
      </c>
      <c r="E54" s="3">
        <f t="shared" si="2"/>
        <v>1.617557034321479E-2</v>
      </c>
      <c r="F54" s="4">
        <f t="shared" si="1"/>
        <v>737.64990817500791</v>
      </c>
    </row>
    <row r="55" spans="1:6">
      <c r="A55" s="7">
        <v>43291</v>
      </c>
      <c r="B55" s="1">
        <v>0.41666666666666669</v>
      </c>
      <c r="C55">
        <v>8808.2999999999993</v>
      </c>
      <c r="D55" s="2">
        <v>9.5</v>
      </c>
      <c r="E55" s="3">
        <f t="shared" si="2"/>
        <v>1.3050175887263503E-2</v>
      </c>
      <c r="F55" s="4">
        <f t="shared" si="1"/>
        <v>737.33111794050092</v>
      </c>
    </row>
    <row r="56" spans="1:6">
      <c r="A56" s="7">
        <v>43301</v>
      </c>
      <c r="B56" s="1">
        <v>0.41666666666666669</v>
      </c>
      <c r="C56">
        <v>8820.7000000000007</v>
      </c>
      <c r="D56" s="2">
        <v>9.5</v>
      </c>
      <c r="E56" s="3">
        <f t="shared" si="2"/>
        <v>1.2193368298085781E-2</v>
      </c>
      <c r="F56" s="4">
        <f t="shared" si="1"/>
        <v>737.2437235664047</v>
      </c>
    </row>
    <row r="57" spans="1:6">
      <c r="A57" s="7">
        <v>43311</v>
      </c>
      <c r="B57" s="1">
        <v>0.41666666666666669</v>
      </c>
      <c r="C57">
        <v>8808.9</v>
      </c>
      <c r="D57" s="2">
        <v>9.1999999999999993</v>
      </c>
      <c r="E57" s="3">
        <f t="shared" si="2"/>
        <v>1.256693148340552E-2</v>
      </c>
      <c r="F57" s="4">
        <f t="shared" si="1"/>
        <v>737.28182701130731</v>
      </c>
    </row>
    <row r="58" spans="1:6">
      <c r="A58" s="7">
        <v>43322</v>
      </c>
      <c r="B58" s="1">
        <v>0.41666666666666669</v>
      </c>
      <c r="C58">
        <v>8760.2999999999993</v>
      </c>
      <c r="D58" s="2">
        <v>9.1999999999999993</v>
      </c>
      <c r="E58" s="3">
        <f t="shared" si="2"/>
        <v>1.5924683568460364E-2</v>
      </c>
      <c r="F58" s="4">
        <f t="shared" si="1"/>
        <v>737.62431772398293</v>
      </c>
    </row>
    <row r="59" spans="1:6">
      <c r="A59" s="7">
        <v>43332</v>
      </c>
      <c r="B59" s="1">
        <v>0.41666666666666669</v>
      </c>
      <c r="C59">
        <v>8784.1</v>
      </c>
      <c r="D59" s="2">
        <v>9.1999999999999993</v>
      </c>
      <c r="E59" s="3">
        <f t="shared" ref="E59:E76" si="3">($B$2*C59^2+$B$3*C59+$B$4)-$B$5*D59-$E$7</f>
        <v>1.4280429654963935E-2</v>
      </c>
      <c r="F59" s="4">
        <f t="shared" ref="F59:F76" si="4">$D$1+102*E59</f>
        <v>737.45660382480628</v>
      </c>
    </row>
    <row r="60" spans="1:6">
      <c r="A60" s="7">
        <v>43342</v>
      </c>
      <c r="B60" s="1">
        <v>0.41666666666666669</v>
      </c>
      <c r="C60">
        <v>8770.2999999999993</v>
      </c>
      <c r="D60" s="2">
        <v>9.1999999999999993</v>
      </c>
      <c r="E60" s="3">
        <f t="shared" si="3"/>
        <v>1.5233838665324274E-2</v>
      </c>
      <c r="F60" s="4">
        <f t="shared" si="4"/>
        <v>737.55385154386306</v>
      </c>
    </row>
    <row r="61" spans="1:6">
      <c r="A61" s="7">
        <v>43353</v>
      </c>
      <c r="B61" s="1">
        <v>0.41666666666666669</v>
      </c>
      <c r="C61">
        <v>8753.6</v>
      </c>
      <c r="D61" s="2">
        <v>9.1</v>
      </c>
      <c r="E61" s="3">
        <f t="shared" si="3"/>
        <v>1.6240272689705501E-2</v>
      </c>
      <c r="F61" s="4">
        <f t="shared" si="4"/>
        <v>737.65650781434999</v>
      </c>
    </row>
    <row r="62" spans="1:6">
      <c r="A62" s="7">
        <v>43363</v>
      </c>
      <c r="B62" s="1">
        <v>0.41666666666666669</v>
      </c>
      <c r="C62">
        <v>8728.5</v>
      </c>
      <c r="D62" s="2">
        <v>9.1</v>
      </c>
      <c r="E62" s="3">
        <f t="shared" si="3"/>
        <v>1.7974133855555338E-2</v>
      </c>
      <c r="F62" s="4">
        <f t="shared" si="4"/>
        <v>737.83336165326659</v>
      </c>
    </row>
    <row r="63" spans="1:6">
      <c r="A63" s="7">
        <v>43373</v>
      </c>
      <c r="B63" s="1">
        <v>0.41666666666666669</v>
      </c>
      <c r="C63">
        <v>8740.2999999999993</v>
      </c>
      <c r="D63" s="2">
        <v>8.6999999999999993</v>
      </c>
      <c r="E63" s="3">
        <f t="shared" si="3"/>
        <v>1.6569983241132354E-2</v>
      </c>
      <c r="F63" s="4">
        <f t="shared" si="4"/>
        <v>737.69013829059554</v>
      </c>
    </row>
    <row r="64" spans="1:6">
      <c r="A64" s="7">
        <v>43383</v>
      </c>
      <c r="B64" s="1">
        <v>0.41666666666666669</v>
      </c>
      <c r="C64">
        <v>8739.6</v>
      </c>
      <c r="D64" s="2">
        <v>8.6</v>
      </c>
      <c r="E64" s="3">
        <f t="shared" si="3"/>
        <v>1.6471075433174234E-2</v>
      </c>
      <c r="F64" s="4">
        <f t="shared" si="4"/>
        <v>737.68004969418382</v>
      </c>
    </row>
    <row r="65" spans="1:6">
      <c r="A65" s="7">
        <v>43393</v>
      </c>
      <c r="B65" s="1">
        <v>0.41666666666666669</v>
      </c>
      <c r="C65">
        <v>8740</v>
      </c>
      <c r="D65" s="2">
        <v>8.6</v>
      </c>
      <c r="E65" s="3">
        <f t="shared" si="3"/>
        <v>1.6443444310591263E-2</v>
      </c>
      <c r="F65" s="4">
        <f t="shared" si="4"/>
        <v>737.67723131968035</v>
      </c>
    </row>
    <row r="66" spans="1:6">
      <c r="A66" s="7">
        <v>43605</v>
      </c>
      <c r="B66" s="1">
        <v>0.41666666666666669</v>
      </c>
      <c r="C66">
        <v>8742.5</v>
      </c>
      <c r="D66" s="2">
        <v>8.3000000000000007</v>
      </c>
      <c r="E66" s="3">
        <f t="shared" si="3"/>
        <v>1.5828961944291321E-2</v>
      </c>
      <c r="F66" s="4">
        <f t="shared" si="4"/>
        <v>737.61455411831776</v>
      </c>
    </row>
    <row r="67" spans="1:6">
      <c r="A67" s="7">
        <v>43615</v>
      </c>
      <c r="B67" s="1">
        <v>0.41666666666666669</v>
      </c>
      <c r="C67">
        <v>8743.4</v>
      </c>
      <c r="D67" s="2">
        <v>8.6999999999999993</v>
      </c>
      <c r="E67" s="3">
        <f t="shared" si="3"/>
        <v>1.6355840375392068E-2</v>
      </c>
      <c r="F67" s="4">
        <f t="shared" si="4"/>
        <v>737.66829571828998</v>
      </c>
    </row>
    <row r="68" spans="1:6">
      <c r="A68" s="7">
        <v>43626</v>
      </c>
      <c r="B68" s="1">
        <v>0.41666666666666669</v>
      </c>
      <c r="C68">
        <v>8745.2000000000007</v>
      </c>
      <c r="D68" s="2">
        <v>8.9</v>
      </c>
      <c r="E68" s="3">
        <f t="shared" si="3"/>
        <v>1.6526022800660956E-2</v>
      </c>
      <c r="F68" s="4">
        <f t="shared" si="4"/>
        <v>737.68565432566743</v>
      </c>
    </row>
    <row r="69" spans="1:6">
      <c r="A69" s="7">
        <v>43636</v>
      </c>
      <c r="B69" s="1">
        <v>0.41666666666666669</v>
      </c>
      <c r="C69">
        <v>8746.2999999999993</v>
      </c>
      <c r="D69" s="2">
        <v>9.1999999999999993</v>
      </c>
      <c r="E69" s="3">
        <f t="shared" si="3"/>
        <v>1.6891822398034696E-2</v>
      </c>
      <c r="F69" s="4">
        <f t="shared" si="4"/>
        <v>737.72296588459949</v>
      </c>
    </row>
    <row r="70" spans="1:6">
      <c r="A70" s="7">
        <v>43646</v>
      </c>
      <c r="B70" s="1">
        <v>0.41666666666666669</v>
      </c>
      <c r="C70">
        <v>8750.7000000000007</v>
      </c>
      <c r="D70" s="2">
        <v>9</v>
      </c>
      <c r="E70" s="3">
        <f t="shared" si="3"/>
        <v>1.6293345415973763E-2</v>
      </c>
      <c r="F70" s="4">
        <f t="shared" si="4"/>
        <v>737.66192123242934</v>
      </c>
    </row>
    <row r="71" spans="1:6">
      <c r="A71" s="7">
        <v>43656</v>
      </c>
      <c r="B71" s="1">
        <v>0.41666666666666669</v>
      </c>
      <c r="C71">
        <v>8753.6</v>
      </c>
      <c r="D71" s="2">
        <v>8.6</v>
      </c>
      <c r="E71" s="3">
        <f t="shared" si="3"/>
        <v>1.5503961189705498E-2</v>
      </c>
      <c r="F71" s="4">
        <f t="shared" si="4"/>
        <v>737.58140404134997</v>
      </c>
    </row>
    <row r="72" spans="1:6">
      <c r="A72" s="7">
        <v>43666</v>
      </c>
      <c r="B72" s="1">
        <v>0.41666666666666669</v>
      </c>
      <c r="C72">
        <v>8757.2000000000007</v>
      </c>
      <c r="D72" s="2">
        <v>8.6</v>
      </c>
      <c r="E72" s="3">
        <f t="shared" si="3"/>
        <v>1.5255266366248257E-2</v>
      </c>
      <c r="F72" s="4">
        <f t="shared" si="4"/>
        <v>737.5560371693573</v>
      </c>
    </row>
    <row r="73" spans="1:6">
      <c r="A73" s="7">
        <v>43676</v>
      </c>
      <c r="B73" s="1">
        <v>0.41666666666666669</v>
      </c>
      <c r="C73">
        <v>8766.6</v>
      </c>
      <c r="D73" s="2">
        <v>8.4</v>
      </c>
      <c r="E73" s="3">
        <f t="shared" si="3"/>
        <v>1.4311355934399889E-2</v>
      </c>
      <c r="F73" s="4">
        <f t="shared" si="4"/>
        <v>737.45975830530881</v>
      </c>
    </row>
    <row r="74" spans="1:6">
      <c r="A74" s="7">
        <v>43687</v>
      </c>
      <c r="B74" s="1">
        <v>0.41666666666666669</v>
      </c>
      <c r="C74">
        <v>8760.2999999999993</v>
      </c>
      <c r="D74" s="2">
        <v>8.6999999999999993</v>
      </c>
      <c r="E74" s="3">
        <f t="shared" si="3"/>
        <v>1.5188372068460361E-2</v>
      </c>
      <c r="F74" s="4">
        <f t="shared" si="4"/>
        <v>737.5492139509829</v>
      </c>
    </row>
    <row r="75" spans="1:6">
      <c r="A75" s="7">
        <v>43697</v>
      </c>
      <c r="B75" s="1">
        <v>0.41666666666666669</v>
      </c>
      <c r="C75">
        <v>8692.6</v>
      </c>
      <c r="D75" s="2">
        <v>8.9</v>
      </c>
      <c r="E75" s="3">
        <f t="shared" si="3"/>
        <v>2.0159227270124758E-2</v>
      </c>
      <c r="F75" s="4">
        <f t="shared" si="4"/>
        <v>738.05624118155276</v>
      </c>
    </row>
    <row r="76" spans="1:6">
      <c r="A76" s="7">
        <v>43707</v>
      </c>
      <c r="B76" s="1">
        <v>0.41666666666666669</v>
      </c>
      <c r="C76">
        <v>8643.1</v>
      </c>
      <c r="D76" s="2">
        <v>8.3000000000000007</v>
      </c>
      <c r="E76" s="3">
        <f t="shared" si="3"/>
        <v>2.2694071371335202E-2</v>
      </c>
      <c r="F76" s="4">
        <f t="shared" si="4"/>
        <v>738.31479527987619</v>
      </c>
    </row>
  </sheetData>
  <phoneticPr fontId="4" type="noConversion"/>
  <pageMargins left="0.69930555555555596" right="0.69930555555555596" top="0.75" bottom="0.75" header="0.3" footer="0.3"/>
  <pageSetup paperSize="9" orientation="portrait" r:id="rId1"/>
  <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6"/>
  <sheetViews>
    <sheetView topLeftCell="A51" workbookViewId="0">
      <selection activeCell="A70" sqref="A70:B76"/>
    </sheetView>
  </sheetViews>
  <sheetFormatPr defaultColWidth="9" defaultRowHeight="13.5"/>
  <cols>
    <col min="1" max="1" width="11.625" bestFit="1" customWidth="1"/>
    <col min="2" max="2" width="13.875" customWidth="1"/>
  </cols>
  <sheetData>
    <row r="1" spans="1:7">
      <c r="A1" t="s">
        <v>0</v>
      </c>
      <c r="B1">
        <v>11213</v>
      </c>
      <c r="C1" t="s">
        <v>1</v>
      </c>
      <c r="D1">
        <v>731</v>
      </c>
    </row>
    <row r="2" spans="1:7">
      <c r="A2" t="s">
        <v>2</v>
      </c>
      <c r="B2">
        <f>4.95001*10^-10</f>
        <v>4.9500099999999995E-10</v>
      </c>
    </row>
    <row r="3" spans="1:7">
      <c r="A3" t="s">
        <v>3</v>
      </c>
      <c r="B3">
        <v>-1.73127E-4</v>
      </c>
    </row>
    <row r="4" spans="1:7">
      <c r="A4" t="s">
        <v>4</v>
      </c>
      <c r="B4">
        <v>1.49676126</v>
      </c>
    </row>
    <row r="5" spans="1:7">
      <c r="A5" t="s">
        <v>5</v>
      </c>
      <c r="B5">
        <v>-2.9238340000000002E-3</v>
      </c>
    </row>
    <row r="6" spans="1:7">
      <c r="A6" t="s">
        <v>6</v>
      </c>
      <c r="B6" t="s">
        <v>7</v>
      </c>
      <c r="C6" t="s">
        <v>8</v>
      </c>
      <c r="D6" t="s">
        <v>9</v>
      </c>
      <c r="E6" t="s">
        <v>10</v>
      </c>
      <c r="F6" t="s">
        <v>11</v>
      </c>
      <c r="G6" t="s">
        <v>12</v>
      </c>
    </row>
    <row r="7" spans="1:7">
      <c r="A7" s="7">
        <v>42231</v>
      </c>
      <c r="B7" s="1">
        <v>0.375</v>
      </c>
      <c r="C7" s="2">
        <v>8859</v>
      </c>
      <c r="D7" s="2">
        <v>19.7</v>
      </c>
      <c r="E7" s="3">
        <f>($B$2*C7^2+$B$3*C7+$B$4)-$B$5*D7</f>
        <v>5.947730637688093E-2</v>
      </c>
      <c r="G7" t="s">
        <v>13</v>
      </c>
    </row>
    <row r="8" spans="1:7">
      <c r="A8" s="7">
        <v>42231</v>
      </c>
      <c r="B8" s="1">
        <v>0.45833333333333298</v>
      </c>
      <c r="C8" s="2">
        <v>8873.6</v>
      </c>
      <c r="D8" s="2">
        <v>20.399999999999999</v>
      </c>
      <c r="E8" s="3">
        <f>($B$2*C8^2+$B$3*C8+$B$4)-$B$5*D8-$E$7</f>
        <v>-3.5281664090409254E-4</v>
      </c>
      <c r="F8" s="4">
        <f>$D$1+102*E8</f>
        <v>730.96401270262777</v>
      </c>
      <c r="G8" t="s">
        <v>17</v>
      </c>
    </row>
    <row r="9" spans="1:7">
      <c r="A9" s="7">
        <v>42231</v>
      </c>
      <c r="B9" s="1">
        <v>0.70833333333333304</v>
      </c>
      <c r="C9" s="2">
        <v>8434</v>
      </c>
      <c r="D9" s="2">
        <v>20</v>
      </c>
      <c r="E9" s="3">
        <f t="shared" ref="E9:E28" si="0">($B$2*C9^2+$B$3*C9+$B$4)-$B$5*D9-$E$7</f>
        <v>7.0818102975475083E-2</v>
      </c>
      <c r="F9" s="4">
        <f t="shared" ref="F9:F60" si="1">$D$1+102*E9</f>
        <v>738.22344650349851</v>
      </c>
    </row>
    <row r="10" spans="1:7">
      <c r="A10" s="7">
        <v>42232</v>
      </c>
      <c r="B10" s="1">
        <v>0.41666666666666702</v>
      </c>
      <c r="C10" s="2">
        <v>8655.9</v>
      </c>
      <c r="D10" s="2">
        <v>30.1</v>
      </c>
      <c r="E10" s="3">
        <f t="shared" si="0"/>
        <v>6.3809112028673926E-2</v>
      </c>
      <c r="F10" s="4">
        <f t="shared" si="1"/>
        <v>737.50852942692472</v>
      </c>
    </row>
    <row r="11" spans="1:7">
      <c r="A11" s="7">
        <v>42233</v>
      </c>
      <c r="B11" s="1">
        <v>0.41666666666666702</v>
      </c>
      <c r="C11" s="2">
        <v>8643.5</v>
      </c>
      <c r="D11" s="2">
        <v>30</v>
      </c>
      <c r="E11" s="3">
        <f t="shared" si="0"/>
        <v>6.5557319496961391E-2</v>
      </c>
      <c r="F11" s="4">
        <f t="shared" si="1"/>
        <v>737.68684658869006</v>
      </c>
    </row>
    <row r="12" spans="1:7">
      <c r="A12" s="7">
        <v>42234</v>
      </c>
      <c r="B12" s="1">
        <v>0.41666666666666702</v>
      </c>
      <c r="C12" s="2">
        <v>8625</v>
      </c>
      <c r="D12" s="2">
        <v>29.7</v>
      </c>
      <c r="E12" s="3">
        <f t="shared" si="0"/>
        <v>6.7724882188744173E-2</v>
      </c>
      <c r="F12" s="4">
        <f t="shared" si="1"/>
        <v>737.90793798325194</v>
      </c>
    </row>
    <row r="13" spans="1:7">
      <c r="A13" s="7">
        <v>42235</v>
      </c>
      <c r="B13" s="1">
        <v>0.41666666666666702</v>
      </c>
      <c r="C13" s="2">
        <v>8596.9</v>
      </c>
      <c r="D13" s="2">
        <v>28.9</v>
      </c>
      <c r="E13" s="3">
        <f t="shared" si="0"/>
        <v>7.0011135186758583E-2</v>
      </c>
      <c r="F13" s="4">
        <f t="shared" si="1"/>
        <v>738.14113578904937</v>
      </c>
    </row>
    <row r="14" spans="1:7">
      <c r="A14" s="7">
        <v>42236</v>
      </c>
      <c r="B14" s="1">
        <v>0.41666666666666702</v>
      </c>
      <c r="C14" s="2">
        <v>8572.5</v>
      </c>
      <c r="D14" s="2">
        <v>27.5</v>
      </c>
      <c r="E14" s="3">
        <f t="shared" si="0"/>
        <v>6.9934693954625454E-2</v>
      </c>
      <c r="F14" s="4">
        <f t="shared" si="1"/>
        <v>738.13333878337176</v>
      </c>
    </row>
    <row r="15" spans="1:7">
      <c r="A15" s="7">
        <v>42237</v>
      </c>
      <c r="B15" s="1">
        <v>0.41666666666666702</v>
      </c>
      <c r="C15" s="2">
        <v>8549.7000000000007</v>
      </c>
      <c r="D15" s="2">
        <v>26.3</v>
      </c>
      <c r="E15" s="3">
        <f t="shared" si="0"/>
        <v>7.0180147215038957E-2</v>
      </c>
      <c r="F15" s="4">
        <f t="shared" si="1"/>
        <v>738.15837501593398</v>
      </c>
    </row>
    <row r="16" spans="1:7">
      <c r="A16" s="7">
        <v>42238</v>
      </c>
      <c r="B16" s="1">
        <v>0.41666666666666702</v>
      </c>
      <c r="C16" s="2">
        <v>8522.5</v>
      </c>
      <c r="D16" s="2">
        <v>25.2</v>
      </c>
      <c r="E16" s="3">
        <f t="shared" si="0"/>
        <v>7.1443123649875262E-2</v>
      </c>
      <c r="F16" s="4">
        <f t="shared" si="1"/>
        <v>738.28719861228728</v>
      </c>
    </row>
    <row r="17" spans="1:6">
      <c r="A17" s="7">
        <v>42245</v>
      </c>
      <c r="B17" s="1">
        <v>0.41666666666666702</v>
      </c>
      <c r="C17" s="2">
        <v>8416.6</v>
      </c>
      <c r="D17" s="2">
        <v>18.2</v>
      </c>
      <c r="E17" s="3">
        <f t="shared" si="0"/>
        <v>6.8422477064474629E-2</v>
      </c>
      <c r="F17" s="4">
        <f t="shared" si="1"/>
        <v>737.97909266057638</v>
      </c>
    </row>
    <row r="18" spans="1:6">
      <c r="A18" s="7">
        <v>42252</v>
      </c>
      <c r="B18" s="1">
        <v>0.41666666666666602</v>
      </c>
      <c r="C18" s="2">
        <v>8379.1</v>
      </c>
      <c r="D18" s="2">
        <v>15.6</v>
      </c>
      <c r="E18" s="3">
        <f t="shared" si="0"/>
        <v>6.7001000353385853E-2</v>
      </c>
      <c r="F18" s="4">
        <f t="shared" si="1"/>
        <v>737.83410203604535</v>
      </c>
    </row>
    <row r="19" spans="1:6">
      <c r="A19" s="7">
        <v>42259</v>
      </c>
      <c r="B19" s="1">
        <v>0.41666666666666602</v>
      </c>
      <c r="C19" s="2">
        <v>8345.7999999999993</v>
      </c>
      <c r="D19" s="2">
        <v>13.3</v>
      </c>
      <c r="E19" s="3">
        <f t="shared" si="0"/>
        <v>6.5765625807296862E-2</v>
      </c>
      <c r="F19" s="4">
        <f t="shared" si="1"/>
        <v>737.70809383234428</v>
      </c>
    </row>
    <row r="20" spans="1:6">
      <c r="A20" s="7">
        <v>42266</v>
      </c>
      <c r="B20" s="1">
        <v>0.41666666666666602</v>
      </c>
      <c r="C20" s="2">
        <v>8329.1</v>
      </c>
      <c r="D20" s="2">
        <v>12.1</v>
      </c>
      <c r="E20" s="3">
        <f t="shared" si="0"/>
        <v>6.50104025679758E-2</v>
      </c>
      <c r="F20" s="4">
        <f t="shared" si="1"/>
        <v>737.63106106193356</v>
      </c>
    </row>
    <row r="21" spans="1:6">
      <c r="A21" s="7">
        <v>42273</v>
      </c>
      <c r="B21" s="1">
        <v>0.41666666666666502</v>
      </c>
      <c r="C21" s="2">
        <v>8319.7999999999993</v>
      </c>
      <c r="D21" s="2">
        <v>11.5</v>
      </c>
      <c r="E21" s="3">
        <f t="shared" si="0"/>
        <v>6.4789539901991072E-2</v>
      </c>
      <c r="F21" s="4">
        <f t="shared" si="1"/>
        <v>737.60853307000309</v>
      </c>
    </row>
    <row r="22" spans="1:6">
      <c r="A22" s="7">
        <v>42280</v>
      </c>
      <c r="B22" s="1">
        <v>0.41666666666666502</v>
      </c>
      <c r="C22" s="2">
        <v>8318.9</v>
      </c>
      <c r="D22" s="2">
        <v>11.3</v>
      </c>
      <c r="E22" s="3">
        <f t="shared" si="0"/>
        <v>6.4353174846166372E-2</v>
      </c>
      <c r="F22" s="4">
        <f t="shared" si="1"/>
        <v>737.56402383430895</v>
      </c>
    </row>
    <row r="23" spans="1:6">
      <c r="A23" s="7">
        <v>42287</v>
      </c>
      <c r="B23" s="1">
        <v>0.41666666666666502</v>
      </c>
      <c r="C23" s="2">
        <v>8323.7999999999993</v>
      </c>
      <c r="D23" s="2">
        <v>11.2</v>
      </c>
      <c r="E23" s="3">
        <f t="shared" si="0"/>
        <v>6.3252836096565596E-2</v>
      </c>
      <c r="F23" s="4">
        <f t="shared" si="1"/>
        <v>737.45178928184964</v>
      </c>
    </row>
    <row r="24" spans="1:6">
      <c r="A24" s="7">
        <v>42294</v>
      </c>
      <c r="B24" s="1">
        <v>0.41666666666666702</v>
      </c>
      <c r="C24" s="2">
        <v>8316.2000000000007</v>
      </c>
      <c r="D24" s="2">
        <v>11.1</v>
      </c>
      <c r="E24" s="3">
        <f t="shared" si="0"/>
        <v>6.4213618090101315E-2</v>
      </c>
      <c r="F24" s="4">
        <f t="shared" si="1"/>
        <v>737.54978904519032</v>
      </c>
    </row>
    <row r="25" spans="1:6">
      <c r="A25" s="7">
        <v>42301</v>
      </c>
      <c r="B25" s="1">
        <v>0.41666666666666702</v>
      </c>
      <c r="C25" s="2">
        <v>8318.7000000000007</v>
      </c>
      <c r="D25" s="2">
        <v>11</v>
      </c>
      <c r="E25" s="3">
        <f t="shared" si="0"/>
        <v>6.3509002920438651E-2</v>
      </c>
      <c r="F25" s="4">
        <f t="shared" si="1"/>
        <v>737.4779182978848</v>
      </c>
    </row>
    <row r="26" spans="1:6">
      <c r="A26" s="7">
        <v>42308</v>
      </c>
      <c r="B26" s="1">
        <v>0.41666666666666702</v>
      </c>
      <c r="C26" s="2">
        <v>8317.6</v>
      </c>
      <c r="D26" s="2">
        <v>11</v>
      </c>
      <c r="E26" s="3">
        <f t="shared" si="0"/>
        <v>6.3690384136788902E-2</v>
      </c>
      <c r="F26" s="4">
        <f t="shared" si="1"/>
        <v>737.49641918195243</v>
      </c>
    </row>
    <row r="27" spans="1:6">
      <c r="A27" s="7">
        <v>42531</v>
      </c>
      <c r="B27" s="1">
        <v>0.41666666666666702</v>
      </c>
      <c r="C27" s="2">
        <v>8269.1</v>
      </c>
      <c r="D27" s="2">
        <v>5.9</v>
      </c>
      <c r="E27" s="3">
        <f t="shared" si="0"/>
        <v>5.6777284232083954E-2</v>
      </c>
      <c r="F27" s="4">
        <f t="shared" si="1"/>
        <v>736.79128299167257</v>
      </c>
    </row>
    <row r="28" spans="1:6">
      <c r="A28" s="6">
        <v>42544</v>
      </c>
      <c r="B28" s="1">
        <v>0.41666666666666702</v>
      </c>
      <c r="C28" s="2">
        <v>8165.4</v>
      </c>
      <c r="D28" s="2">
        <v>5.7</v>
      </c>
      <c r="E28" s="3">
        <f t="shared" si="0"/>
        <v>7.3302178091076392E-2</v>
      </c>
      <c r="F28" s="4">
        <f t="shared" si="1"/>
        <v>738.47682216528983</v>
      </c>
    </row>
    <row r="29" spans="1:6">
      <c r="A29" s="7">
        <v>42551</v>
      </c>
      <c r="B29" s="9">
        <v>0.41666666666666702</v>
      </c>
      <c r="C29">
        <v>8220.9</v>
      </c>
      <c r="D29">
        <v>5.6</v>
      </c>
      <c r="E29" s="3">
        <f>($B$2*C29^2+$B$3*C29+$B$4)-$B$5*D29-$E$7</f>
        <v>6.3851419727265962E-2</v>
      </c>
      <c r="F29" s="4">
        <f t="shared" si="1"/>
        <v>737.51284481218113</v>
      </c>
    </row>
    <row r="30" spans="1:6">
      <c r="A30" s="7">
        <v>42561</v>
      </c>
      <c r="B30" s="9">
        <v>0.41666666666666702</v>
      </c>
      <c r="C30">
        <v>8235.1</v>
      </c>
      <c r="D30">
        <v>5.5</v>
      </c>
      <c r="E30" s="3">
        <f>($B$2*C30^2+$B$3*C30+$B$4)-$B$5*D30-$E$7</f>
        <v>6.1216302384940961E-2</v>
      </c>
      <c r="F30" s="4">
        <f t="shared" si="1"/>
        <v>737.24406284326403</v>
      </c>
    </row>
    <row r="31" spans="1:6">
      <c r="A31" s="7">
        <v>42571</v>
      </c>
      <c r="B31" s="9">
        <v>0.41666666666666702</v>
      </c>
      <c r="C31" s="2">
        <v>8238.2999999999993</v>
      </c>
      <c r="D31" s="2">
        <v>5.5</v>
      </c>
      <c r="E31" s="3">
        <f>($B$2*C31^2+$B$3*C31+$B$4)-$B$5*D31-$E$7</f>
        <v>6.0688389903256139E-2</v>
      </c>
      <c r="F31" s="4">
        <f t="shared" si="1"/>
        <v>737.19021577013211</v>
      </c>
    </row>
    <row r="32" spans="1:6">
      <c r="A32" s="7">
        <v>42581</v>
      </c>
      <c r="B32" s="9">
        <v>0.41666666666666702</v>
      </c>
      <c r="C32" s="2">
        <v>8231.1</v>
      </c>
      <c r="D32" s="2">
        <v>5.4</v>
      </c>
      <c r="E32" s="3">
        <f>($B$2*C32^2+$B$3*C32+$B$4)-$B$5*D32-$E$7</f>
        <v>6.1583823843076251E-2</v>
      </c>
      <c r="F32" s="4">
        <f t="shared" si="1"/>
        <v>737.28155003199379</v>
      </c>
    </row>
    <row r="33" spans="1:6">
      <c r="A33" s="7">
        <v>42592</v>
      </c>
      <c r="B33" s="1">
        <v>0.41666666666666702</v>
      </c>
      <c r="C33">
        <v>8235.1</v>
      </c>
      <c r="D33">
        <v>5.4</v>
      </c>
      <c r="E33" s="3">
        <f t="shared" ref="E33:E60" si="2">($B$2*C33^2+$B$3*C33+$B$4)-$B$5*D33-$E$7</f>
        <v>6.0923918984940977E-2</v>
      </c>
      <c r="F33" s="4">
        <f t="shared" si="1"/>
        <v>737.21423973646392</v>
      </c>
    </row>
    <row r="34" spans="1:6">
      <c r="A34" s="7">
        <v>42602</v>
      </c>
      <c r="B34" s="1">
        <v>0.41666666666666702</v>
      </c>
      <c r="C34">
        <v>8237.9</v>
      </c>
      <c r="D34">
        <v>5.4</v>
      </c>
      <c r="E34" s="3">
        <f t="shared" si="2"/>
        <v>6.0461995009065565E-2</v>
      </c>
      <c r="F34" s="4">
        <f t="shared" si="1"/>
        <v>737.16712349092472</v>
      </c>
    </row>
    <row r="35" spans="1:6">
      <c r="A35" s="7">
        <v>42612</v>
      </c>
      <c r="B35" s="1">
        <v>0.41666666666666702</v>
      </c>
      <c r="C35">
        <v>8229.5</v>
      </c>
      <c r="D35">
        <v>5.4</v>
      </c>
      <c r="E35" s="3">
        <f t="shared" si="2"/>
        <v>6.1847790221539405E-2</v>
      </c>
      <c r="F35" s="4">
        <f t="shared" si="1"/>
        <v>737.30847460259702</v>
      </c>
    </row>
    <row r="36" spans="1:6">
      <c r="A36" s="7">
        <v>42623</v>
      </c>
      <c r="B36" s="1">
        <v>0.41666666666666702</v>
      </c>
      <c r="C36">
        <v>8219.2999999999993</v>
      </c>
      <c r="D36">
        <v>5.5</v>
      </c>
      <c r="E36" s="3">
        <f t="shared" si="2"/>
        <v>6.3823018862561642E-2</v>
      </c>
      <c r="F36" s="4">
        <f t="shared" si="1"/>
        <v>737.50994792398126</v>
      </c>
    </row>
    <row r="37" spans="1:6">
      <c r="A37" s="7">
        <v>42633</v>
      </c>
      <c r="B37" s="1">
        <v>0.41666666666666669</v>
      </c>
      <c r="C37">
        <v>8206.6</v>
      </c>
      <c r="D37">
        <v>5.5</v>
      </c>
      <c r="E37" s="3">
        <f t="shared" si="2"/>
        <v>6.591847013360258E-2</v>
      </c>
      <c r="F37" s="4">
        <f t="shared" si="1"/>
        <v>737.72368395362741</v>
      </c>
    </row>
    <row r="38" spans="1:6">
      <c r="A38" s="7">
        <v>42643</v>
      </c>
      <c r="B38" s="1">
        <v>0.41666666666666669</v>
      </c>
      <c r="C38">
        <v>8236</v>
      </c>
      <c r="D38">
        <v>5.6</v>
      </c>
      <c r="E38" s="3">
        <f t="shared" si="2"/>
        <v>6.1360209374815143E-2</v>
      </c>
      <c r="F38" s="4">
        <f t="shared" si="1"/>
        <v>737.2587413562311</v>
      </c>
    </row>
    <row r="39" spans="1:6">
      <c r="A39" s="7">
        <v>42926</v>
      </c>
      <c r="B39" s="1">
        <v>0.41666666666666669</v>
      </c>
      <c r="C39">
        <v>8305.2999999999993</v>
      </c>
      <c r="D39">
        <v>8</v>
      </c>
      <c r="E39" s="3">
        <f t="shared" si="2"/>
        <v>5.6947135505677364E-2</v>
      </c>
      <c r="F39" s="4">
        <f t="shared" si="1"/>
        <v>736.80860782157913</v>
      </c>
    </row>
    <row r="40" spans="1:6">
      <c r="A40" s="7">
        <v>42936</v>
      </c>
      <c r="B40" s="1">
        <v>0.41666666666666669</v>
      </c>
      <c r="C40">
        <v>8302.1</v>
      </c>
      <c r="D40">
        <v>8</v>
      </c>
      <c r="E40" s="3">
        <f t="shared" si="2"/>
        <v>5.7474835730933309E-2</v>
      </c>
      <c r="F40" s="4">
        <f t="shared" si="1"/>
        <v>736.86243324455518</v>
      </c>
    </row>
    <row r="41" spans="1:6">
      <c r="A41" s="7">
        <v>42946</v>
      </c>
      <c r="B41" s="1">
        <v>0.41666666666666669</v>
      </c>
      <c r="C41">
        <v>8308.2000000000007</v>
      </c>
      <c r="D41">
        <v>8</v>
      </c>
      <c r="E41" s="3">
        <f t="shared" si="2"/>
        <v>5.6468915933106149E-2</v>
      </c>
      <c r="F41" s="4">
        <f t="shared" si="1"/>
        <v>736.7598294251768</v>
      </c>
    </row>
    <row r="42" spans="1:6">
      <c r="A42" s="7">
        <v>42957</v>
      </c>
      <c r="B42" s="1">
        <v>0.41666666666666669</v>
      </c>
      <c r="C42">
        <v>8300.2000000000007</v>
      </c>
      <c r="D42">
        <v>8</v>
      </c>
      <c r="E42" s="3">
        <f t="shared" si="2"/>
        <v>5.7788162536239022E-2</v>
      </c>
      <c r="F42" s="4">
        <f t="shared" si="1"/>
        <v>736.8943925786964</v>
      </c>
    </row>
    <row r="43" spans="1:6">
      <c r="A43" s="7">
        <v>42967</v>
      </c>
      <c r="B43" s="1">
        <v>0.41666666666666669</v>
      </c>
      <c r="C43">
        <v>8304.7999999999993</v>
      </c>
      <c r="D43">
        <v>8</v>
      </c>
      <c r="E43" s="3">
        <f t="shared" si="2"/>
        <v>5.7029587997622304E-2</v>
      </c>
      <c r="F43" s="4">
        <f t="shared" si="1"/>
        <v>736.81701797575749</v>
      </c>
    </row>
    <row r="44" spans="1:6">
      <c r="A44" s="7">
        <v>42977</v>
      </c>
      <c r="B44" s="1">
        <v>0.41666666666666669</v>
      </c>
      <c r="C44">
        <v>8299.2000000000007</v>
      </c>
      <c r="D44">
        <v>8.8000000000000007</v>
      </c>
      <c r="E44" s="3">
        <f t="shared" si="2"/>
        <v>6.0292140016639469E-2</v>
      </c>
      <c r="F44" s="4">
        <f t="shared" si="1"/>
        <v>737.14979828169726</v>
      </c>
    </row>
    <row r="45" spans="1:6">
      <c r="A45" s="7">
        <v>42988</v>
      </c>
      <c r="B45" s="1">
        <v>0.41666666666666669</v>
      </c>
      <c r="C45">
        <v>8297.1</v>
      </c>
      <c r="D45">
        <v>9.3000000000000007</v>
      </c>
      <c r="E45" s="3">
        <f t="shared" si="2"/>
        <v>6.2100371827937338E-2</v>
      </c>
      <c r="F45" s="4">
        <f t="shared" si="1"/>
        <v>737.33423792644965</v>
      </c>
    </row>
    <row r="46" spans="1:6">
      <c r="A46" s="7">
        <v>42998</v>
      </c>
      <c r="B46" s="1">
        <v>0.41666666666666669</v>
      </c>
      <c r="C46">
        <v>8302.7000000000007</v>
      </c>
      <c r="D46">
        <v>8</v>
      </c>
      <c r="E46" s="3">
        <f t="shared" si="2"/>
        <v>5.7375891166496266E-2</v>
      </c>
      <c r="F46" s="4">
        <f t="shared" si="1"/>
        <v>736.85234089898267</v>
      </c>
    </row>
    <row r="47" spans="1:6">
      <c r="A47" s="7">
        <v>43008</v>
      </c>
      <c r="B47" s="1">
        <v>0.41666666666666669</v>
      </c>
      <c r="C47">
        <v>8296.4</v>
      </c>
      <c r="D47">
        <v>7.7</v>
      </c>
      <c r="E47" s="3">
        <f t="shared" si="2"/>
        <v>5.7537676668572187E-2</v>
      </c>
      <c r="F47" s="4">
        <f t="shared" si="1"/>
        <v>736.86884302019439</v>
      </c>
    </row>
    <row r="48" spans="1:6">
      <c r="A48" s="7">
        <v>43018</v>
      </c>
      <c r="B48" s="1">
        <v>0.41666666666666669</v>
      </c>
      <c r="C48">
        <v>8301</v>
      </c>
      <c r="D48">
        <v>7.9</v>
      </c>
      <c r="E48" s="3">
        <f t="shared" si="2"/>
        <v>5.7363851624719998E-2</v>
      </c>
      <c r="F48" s="4">
        <f t="shared" si="1"/>
        <v>736.85111286572146</v>
      </c>
    </row>
    <row r="49" spans="1:6">
      <c r="A49" s="7">
        <v>43230</v>
      </c>
      <c r="B49" s="1">
        <v>0.41666666666666669</v>
      </c>
      <c r="C49">
        <v>8300.6</v>
      </c>
      <c r="D49">
        <v>7.6</v>
      </c>
      <c r="E49" s="3">
        <f t="shared" si="2"/>
        <v>5.6552665101279424E-2</v>
      </c>
      <c r="F49" s="4">
        <f t="shared" si="1"/>
        <v>736.76837184033047</v>
      </c>
    </row>
    <row r="50" spans="1:6">
      <c r="A50" s="7">
        <v>43240</v>
      </c>
      <c r="B50" s="1">
        <v>0.41666666666666669</v>
      </c>
      <c r="C50">
        <v>8303.7000000000007</v>
      </c>
      <c r="D50">
        <v>7.6</v>
      </c>
      <c r="E50" s="3">
        <f t="shared" si="2"/>
        <v>5.6041450751102555E-2</v>
      </c>
      <c r="F50" s="4">
        <f t="shared" si="1"/>
        <v>736.71622797661246</v>
      </c>
    </row>
    <row r="51" spans="1:6">
      <c r="A51" s="7">
        <v>43250</v>
      </c>
      <c r="B51" s="1">
        <v>0.41666666666666669</v>
      </c>
      <c r="C51">
        <v>8300.6</v>
      </c>
      <c r="D51">
        <v>7.9</v>
      </c>
      <c r="E51" s="3">
        <f t="shared" si="2"/>
        <v>5.742981530127942E-2</v>
      </c>
      <c r="F51" s="4">
        <f t="shared" si="1"/>
        <v>736.85784116073046</v>
      </c>
    </row>
    <row r="52" spans="1:6">
      <c r="A52" s="7">
        <v>43261</v>
      </c>
      <c r="B52" s="1">
        <v>0.41666666666666669</v>
      </c>
      <c r="C52">
        <v>8291.5</v>
      </c>
      <c r="D52">
        <v>7.7</v>
      </c>
      <c r="E52" s="3">
        <f t="shared" si="2"/>
        <v>5.8345764935841378E-2</v>
      </c>
      <c r="F52" s="4">
        <f t="shared" si="1"/>
        <v>736.95126802345578</v>
      </c>
    </row>
    <row r="53" spans="1:6">
      <c r="A53" s="7">
        <v>43271</v>
      </c>
      <c r="B53" s="1">
        <v>0.41666666666666669</v>
      </c>
      <c r="C53">
        <v>8230.2000000000007</v>
      </c>
      <c r="D53">
        <v>7.9</v>
      </c>
      <c r="E53" s="3">
        <f t="shared" si="2"/>
        <v>6.9041889619111063E-2</v>
      </c>
      <c r="F53" s="4">
        <f t="shared" si="1"/>
        <v>738.0422727411493</v>
      </c>
    </row>
    <row r="54" spans="1:6">
      <c r="A54" s="7">
        <v>43281</v>
      </c>
      <c r="B54" s="1">
        <v>0.41666666666666669</v>
      </c>
      <c r="C54">
        <v>8245</v>
      </c>
      <c r="D54">
        <v>7.9</v>
      </c>
      <c r="E54" s="3">
        <f t="shared" si="2"/>
        <v>6.6600307578144169E-2</v>
      </c>
      <c r="F54" s="4">
        <f t="shared" si="1"/>
        <v>737.79323137297069</v>
      </c>
    </row>
    <row r="55" spans="1:6">
      <c r="A55" s="7">
        <v>43291</v>
      </c>
      <c r="B55" s="1">
        <v>0.41666666666666669</v>
      </c>
      <c r="C55">
        <v>8271.9</v>
      </c>
      <c r="D55">
        <v>8.1</v>
      </c>
      <c r="E55" s="3">
        <f t="shared" si="2"/>
        <v>6.2747889304398674E-2</v>
      </c>
      <c r="F55" s="4">
        <f t="shared" si="1"/>
        <v>737.40028470904872</v>
      </c>
    </row>
    <row r="56" spans="1:6">
      <c r="A56" s="7">
        <v>43301</v>
      </c>
      <c r="B56" s="1">
        <v>0.41666666666666669</v>
      </c>
      <c r="C56">
        <v>8272.1</v>
      </c>
      <c r="D56">
        <v>8.1</v>
      </c>
      <c r="E56" s="3">
        <f t="shared" si="2"/>
        <v>6.271490176370742E-2</v>
      </c>
      <c r="F56" s="4">
        <f t="shared" si="1"/>
        <v>737.39691997989814</v>
      </c>
    </row>
    <row r="57" spans="1:6">
      <c r="A57" s="7">
        <v>43311</v>
      </c>
      <c r="B57" s="1">
        <v>0.41666666666666669</v>
      </c>
      <c r="C57">
        <v>8268.5</v>
      </c>
      <c r="D57">
        <v>7.8</v>
      </c>
      <c r="E57" s="3">
        <f t="shared" si="2"/>
        <v>6.2431533354961231E-2</v>
      </c>
      <c r="F57" s="4">
        <f t="shared" si="1"/>
        <v>737.36801640220608</v>
      </c>
    </row>
    <row r="58" spans="1:6">
      <c r="A58" s="7">
        <v>43322</v>
      </c>
      <c r="B58" s="1">
        <v>0.41666666666666669</v>
      </c>
      <c r="C58">
        <v>8248.7000000000007</v>
      </c>
      <c r="D58">
        <v>7.8</v>
      </c>
      <c r="E58" s="3">
        <f t="shared" si="2"/>
        <v>6.5697562550720595E-2</v>
      </c>
      <c r="F58" s="4">
        <f t="shared" si="1"/>
        <v>737.70115138017354</v>
      </c>
    </row>
    <row r="59" spans="1:6">
      <c r="A59" s="7">
        <v>43332</v>
      </c>
      <c r="B59" s="1">
        <v>0.41666666666666669</v>
      </c>
      <c r="C59">
        <v>8261.6</v>
      </c>
      <c r="D59">
        <v>7.8</v>
      </c>
      <c r="E59" s="3">
        <f t="shared" si="2"/>
        <v>6.3569650984353548E-2</v>
      </c>
      <c r="F59" s="4">
        <f t="shared" si="1"/>
        <v>737.48410440040402</v>
      </c>
    </row>
    <row r="60" spans="1:6">
      <c r="A60" s="7">
        <v>43342</v>
      </c>
      <c r="B60" s="1">
        <v>0.41666666666666669</v>
      </c>
      <c r="C60">
        <v>8247.6</v>
      </c>
      <c r="D60">
        <v>7.7</v>
      </c>
      <c r="E60" s="3">
        <f t="shared" si="2"/>
        <v>6.5586636597224801E-2</v>
      </c>
      <c r="F60" s="4">
        <f t="shared" si="1"/>
        <v>737.68983693291693</v>
      </c>
    </row>
    <row r="61" spans="1:6">
      <c r="A61" s="7">
        <v>43353</v>
      </c>
      <c r="B61" s="1">
        <v>0.41666666666666669</v>
      </c>
      <c r="C61">
        <v>8238.5</v>
      </c>
      <c r="D61">
        <v>7.7</v>
      </c>
      <c r="E61" s="3">
        <f t="shared" ref="E61:E76" si="3">($B$2*C61^2+$B$3*C61+$B$4)-$B$5*D61-$E$7</f>
        <v>6.7087830509751478E-2</v>
      </c>
      <c r="F61" s="4">
        <f t="shared" ref="F61:F76" si="4">$D$1+102*E61</f>
        <v>737.8429587119947</v>
      </c>
    </row>
    <row r="62" spans="1:6">
      <c r="A62" s="7">
        <v>43363</v>
      </c>
      <c r="B62" s="1">
        <v>0.41666666666666669</v>
      </c>
      <c r="C62">
        <v>8236.1</v>
      </c>
      <c r="D62">
        <v>7.7</v>
      </c>
      <c r="E62" s="3">
        <f t="shared" si="3"/>
        <v>6.7483763445412126E-2</v>
      </c>
      <c r="F62" s="4">
        <f t="shared" si="4"/>
        <v>737.88334387143209</v>
      </c>
    </row>
    <row r="63" spans="1:6">
      <c r="A63" s="7">
        <v>43373</v>
      </c>
      <c r="B63" s="1">
        <v>0.41666666666666669</v>
      </c>
      <c r="C63">
        <v>8352.7000000000007</v>
      </c>
      <c r="D63">
        <v>7.4</v>
      </c>
      <c r="E63" s="3">
        <f t="shared" si="3"/>
        <v>4.7377462749266207E-2</v>
      </c>
      <c r="F63" s="4">
        <f t="shared" si="4"/>
        <v>735.8325012004251</v>
      </c>
    </row>
    <row r="64" spans="1:6">
      <c r="A64" s="7">
        <v>43383</v>
      </c>
      <c r="B64" s="1">
        <v>0.41666666666666669</v>
      </c>
      <c r="C64">
        <v>8354.1</v>
      </c>
      <c r="D64">
        <v>7.3</v>
      </c>
      <c r="E64" s="3">
        <f t="shared" si="3"/>
        <v>4.6854279385055812E-2</v>
      </c>
      <c r="F64" s="4">
        <f t="shared" si="4"/>
        <v>735.77913649727566</v>
      </c>
    </row>
    <row r="65" spans="1:6">
      <c r="A65" s="7">
        <v>43393</v>
      </c>
      <c r="B65" s="1">
        <v>0.41666666666666669</v>
      </c>
      <c r="C65">
        <v>8355.7000000000007</v>
      </c>
      <c r="D65">
        <v>7</v>
      </c>
      <c r="E65" s="3">
        <f t="shared" si="3"/>
        <v>4.5713360173391344E-2</v>
      </c>
      <c r="F65" s="4">
        <f t="shared" si="4"/>
        <v>735.66276273768597</v>
      </c>
    </row>
    <row r="66" spans="1:6">
      <c r="A66" s="7">
        <v>43605</v>
      </c>
      <c r="B66" s="1">
        <v>0.41666666666666669</v>
      </c>
      <c r="C66">
        <v>8367.2999999999993</v>
      </c>
      <c r="D66">
        <v>6.5</v>
      </c>
      <c r="E66" s="3">
        <f t="shared" si="3"/>
        <v>4.233919363337834E-2</v>
      </c>
      <c r="F66" s="4">
        <f t="shared" si="4"/>
        <v>735.31859775060457</v>
      </c>
    </row>
    <row r="67" spans="1:6">
      <c r="A67" s="7">
        <v>43615</v>
      </c>
      <c r="B67" s="1">
        <v>0.41666666666666669</v>
      </c>
      <c r="C67">
        <v>8368.4</v>
      </c>
      <c r="D67">
        <v>6.9</v>
      </c>
      <c r="E67" s="3">
        <f t="shared" si="3"/>
        <v>4.3327400140437615E-2</v>
      </c>
      <c r="F67" s="4">
        <f t="shared" si="4"/>
        <v>735.41939481432462</v>
      </c>
    </row>
    <row r="68" spans="1:6">
      <c r="A68" s="7">
        <v>43626</v>
      </c>
      <c r="B68" s="1">
        <v>0.41666666666666669</v>
      </c>
      <c r="C68">
        <v>8369.2000000000007</v>
      </c>
      <c r="D68">
        <v>7.2</v>
      </c>
      <c r="E68" s="3">
        <f t="shared" si="3"/>
        <v>4.4072676843427451E-2</v>
      </c>
      <c r="F68" s="4">
        <f t="shared" si="4"/>
        <v>735.4954130380296</v>
      </c>
    </row>
    <row r="69" spans="1:6">
      <c r="A69" s="7">
        <v>43636</v>
      </c>
      <c r="B69" s="1">
        <v>0.41666666666666669</v>
      </c>
      <c r="C69">
        <v>8371.2999999999993</v>
      </c>
      <c r="D69">
        <v>7.3</v>
      </c>
      <c r="E69" s="3">
        <f t="shared" si="3"/>
        <v>4.4018895328332801E-2</v>
      </c>
      <c r="F69" s="4">
        <f t="shared" si="4"/>
        <v>735.48992732348995</v>
      </c>
    </row>
    <row r="70" spans="1:6">
      <c r="A70" s="7">
        <v>43646</v>
      </c>
      <c r="B70" s="1">
        <v>0.41666666666666669</v>
      </c>
      <c r="C70">
        <v>8357.2000000000007</v>
      </c>
      <c r="D70">
        <v>7.3</v>
      </c>
      <c r="E70" s="3">
        <f t="shared" si="3"/>
        <v>4.6343229226710851E-2</v>
      </c>
      <c r="F70" s="4">
        <f t="shared" si="4"/>
        <v>735.7270093811245</v>
      </c>
    </row>
    <row r="71" spans="1:6">
      <c r="A71" s="7">
        <v>43656</v>
      </c>
      <c r="B71" s="1">
        <v>0.41666666666666669</v>
      </c>
      <c r="C71">
        <v>8296.7000000000007</v>
      </c>
      <c r="D71">
        <v>7.3</v>
      </c>
      <c r="E71" s="3">
        <f t="shared" si="3"/>
        <v>5.631866904889981E-2</v>
      </c>
      <c r="F71" s="4">
        <f t="shared" si="4"/>
        <v>736.74450424298777</v>
      </c>
    </row>
    <row r="72" spans="1:6">
      <c r="A72" s="7">
        <v>43666</v>
      </c>
      <c r="B72" s="1">
        <v>0.41666666666666669</v>
      </c>
      <c r="C72">
        <v>8267.2999999999993</v>
      </c>
      <c r="D72">
        <v>7.4</v>
      </c>
      <c r="E72" s="3">
        <f t="shared" si="3"/>
        <v>6.1459929869918516E-2</v>
      </c>
      <c r="F72" s="4">
        <f t="shared" si="4"/>
        <v>737.26891284673172</v>
      </c>
    </row>
    <row r="73" spans="1:6">
      <c r="A73" s="7">
        <v>43676</v>
      </c>
      <c r="B73" s="1">
        <v>0.41666666666666669</v>
      </c>
      <c r="C73">
        <v>8253.2000000000007</v>
      </c>
      <c r="D73">
        <v>7.4</v>
      </c>
      <c r="E73" s="3">
        <f t="shared" si="3"/>
        <v>6.3785715507229196E-2</v>
      </c>
      <c r="F73" s="4">
        <f t="shared" si="4"/>
        <v>737.50614298173741</v>
      </c>
    </row>
    <row r="74" spans="1:6">
      <c r="A74" s="7">
        <v>43687</v>
      </c>
      <c r="B74" s="1">
        <v>0.41666666666666669</v>
      </c>
      <c r="C74">
        <v>8247.2999999999993</v>
      </c>
      <c r="D74">
        <v>7.3</v>
      </c>
      <c r="E74" s="3">
        <f t="shared" si="3"/>
        <v>6.4466591599626644E-2</v>
      </c>
      <c r="F74" s="4">
        <f t="shared" si="4"/>
        <v>737.57559234316193</v>
      </c>
    </row>
    <row r="75" spans="1:6">
      <c r="A75" s="7">
        <v>43697</v>
      </c>
      <c r="B75" s="1">
        <v>0.41666666666666669</v>
      </c>
      <c r="C75">
        <v>8240.1</v>
      </c>
      <c r="D75">
        <v>7.4</v>
      </c>
      <c r="E75" s="3">
        <f t="shared" si="3"/>
        <v>6.5946728187317144E-2</v>
      </c>
      <c r="F75" s="4">
        <f t="shared" si="4"/>
        <v>737.72656627510639</v>
      </c>
    </row>
    <row r="76" spans="1:6">
      <c r="A76" s="7">
        <v>43707</v>
      </c>
      <c r="B76" s="1">
        <v>0.41666666666666669</v>
      </c>
      <c r="C76">
        <v>8197.4</v>
      </c>
      <c r="D76">
        <v>7.4</v>
      </c>
      <c r="E76" s="3">
        <f t="shared" si="3"/>
        <v>7.2991819166685817E-2</v>
      </c>
      <c r="F76" s="4">
        <f t="shared" si="4"/>
        <v>738.44516555500195</v>
      </c>
    </row>
  </sheetData>
  <phoneticPr fontId="4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6"/>
  <sheetViews>
    <sheetView topLeftCell="A38" workbookViewId="0">
      <selection activeCell="A56" sqref="A56:B58"/>
    </sheetView>
  </sheetViews>
  <sheetFormatPr defaultColWidth="9" defaultRowHeight="13.5"/>
  <cols>
    <col min="1" max="1" width="10.75" customWidth="1"/>
    <col min="2" max="2" width="13.125" style="17" customWidth="1"/>
    <col min="5" max="5" width="10.875" customWidth="1"/>
    <col min="8" max="8" width="9.5" customWidth="1"/>
  </cols>
  <sheetData>
    <row r="1" spans="1:8">
      <c r="A1" t="s">
        <v>0</v>
      </c>
      <c r="B1" s="18">
        <v>50379</v>
      </c>
      <c r="C1" t="s">
        <v>1</v>
      </c>
      <c r="D1" s="11">
        <v>741</v>
      </c>
    </row>
    <row r="2" spans="1:8">
      <c r="A2" t="s">
        <v>2</v>
      </c>
      <c r="B2" s="24">
        <v>4.2178899999999999E-10</v>
      </c>
    </row>
    <row r="3" spans="1:8">
      <c r="A3" t="s">
        <v>3</v>
      </c>
      <c r="B3" s="18">
        <v>-7.2404000000000007E-5</v>
      </c>
    </row>
    <row r="4" spans="1:8">
      <c r="A4" t="s">
        <v>4</v>
      </c>
      <c r="B4" s="18">
        <v>0.65503676</v>
      </c>
    </row>
    <row r="5" spans="1:8">
      <c r="A5" t="s">
        <v>5</v>
      </c>
      <c r="B5" s="18">
        <v>-9.5775600000000004E-4</v>
      </c>
    </row>
    <row r="6" spans="1:8">
      <c r="A6" t="s">
        <v>6</v>
      </c>
      <c r="B6" s="17" t="s">
        <v>7</v>
      </c>
      <c r="C6" t="s">
        <v>8</v>
      </c>
      <c r="D6" t="s">
        <v>9</v>
      </c>
      <c r="E6" t="s">
        <v>10</v>
      </c>
      <c r="F6" t="s">
        <v>11</v>
      </c>
      <c r="G6" t="s">
        <v>12</v>
      </c>
    </row>
    <row r="7" spans="1:8">
      <c r="A7" s="6">
        <v>42630</v>
      </c>
      <c r="B7" s="9">
        <v>0.3888888888888889</v>
      </c>
      <c r="C7" s="2">
        <v>9431.2999999999993</v>
      </c>
      <c r="D7" s="2">
        <v>13.3</v>
      </c>
      <c r="E7" s="3">
        <f>($B$2*C7^2+$B$3*C7+$B$4)-$B$5*D7</f>
        <v>2.2428956381625387E-2</v>
      </c>
      <c r="G7" t="s">
        <v>13</v>
      </c>
    </row>
    <row r="8" spans="1:8">
      <c r="A8" s="6">
        <v>42631</v>
      </c>
      <c r="B8" s="9">
        <v>0.35416666666666669</v>
      </c>
      <c r="C8" s="2">
        <v>9423.9</v>
      </c>
      <c r="D8" s="2">
        <v>11.6</v>
      </c>
      <c r="E8" s="3">
        <f t="shared" ref="E8:E33" si="0">($B$2*C8^2+$B$3*C8+$B$4)-$B$5*D8-$E$7</f>
        <v>-1.1512471780507454E-3</v>
      </c>
      <c r="F8" s="4">
        <f>$D$1+102*E8</f>
        <v>740.88257278783885</v>
      </c>
      <c r="G8" s="5" t="s">
        <v>14</v>
      </c>
      <c r="H8" s="23"/>
    </row>
    <row r="9" spans="1:8">
      <c r="A9" s="6">
        <v>42632</v>
      </c>
      <c r="B9" s="9">
        <v>0.33333333333333331</v>
      </c>
      <c r="C9" s="2">
        <v>9467.2000000000007</v>
      </c>
      <c r="D9" s="2">
        <v>14.3</v>
      </c>
      <c r="E9" s="3">
        <f t="shared" si="0"/>
        <v>-1.3553822589477439E-3</v>
      </c>
      <c r="F9" s="4">
        <f t="shared" ref="F9:F33" si="1">$D$1+102*E9</f>
        <v>740.86175100958735</v>
      </c>
      <c r="H9" s="23"/>
    </row>
    <row r="10" spans="1:8">
      <c r="A10" s="6">
        <v>42633</v>
      </c>
      <c r="B10" s="9">
        <v>0.33333333333333331</v>
      </c>
      <c r="C10" s="2">
        <v>9493.7000000000007</v>
      </c>
      <c r="D10" s="2">
        <v>15.7</v>
      </c>
      <c r="E10" s="3">
        <f t="shared" si="0"/>
        <v>-1.7212961341200976E-3</v>
      </c>
      <c r="F10" s="4">
        <f t="shared" si="1"/>
        <v>740.82442779431972</v>
      </c>
      <c r="H10" s="23"/>
    </row>
    <row r="11" spans="1:8">
      <c r="A11" s="6">
        <v>42634</v>
      </c>
      <c r="B11" s="9">
        <v>0.33333333333333331</v>
      </c>
      <c r="C11" s="2">
        <v>9510.4</v>
      </c>
      <c r="D11" s="2">
        <v>16.399999999999999</v>
      </c>
      <c r="E11" s="3">
        <f t="shared" si="0"/>
        <v>-2.126151204527249E-3</v>
      </c>
      <c r="F11" s="4">
        <f t="shared" si="1"/>
        <v>740.78313257713819</v>
      </c>
      <c r="H11" s="23"/>
    </row>
    <row r="12" spans="1:8">
      <c r="A12" s="6">
        <v>42635</v>
      </c>
      <c r="B12" s="9">
        <v>0.33333333333333331</v>
      </c>
      <c r="C12" s="2">
        <v>9522.2999999999993</v>
      </c>
      <c r="D12" s="2">
        <v>17.7</v>
      </c>
      <c r="E12" s="3">
        <f t="shared" si="0"/>
        <v>-1.6471453808737033E-3</v>
      </c>
      <c r="F12" s="4">
        <f t="shared" si="1"/>
        <v>740.83199117115089</v>
      </c>
      <c r="H12" s="23"/>
    </row>
    <row r="13" spans="1:8">
      <c r="A13" s="6">
        <v>42636</v>
      </c>
      <c r="B13" s="9">
        <v>0.33333333333333331</v>
      </c>
      <c r="C13" s="2">
        <v>9534.2000000000007</v>
      </c>
      <c r="D13" s="2">
        <v>18.600000000000001</v>
      </c>
      <c r="E13" s="3">
        <f t="shared" si="0"/>
        <v>-1.5511224981396357E-3</v>
      </c>
      <c r="F13" s="4">
        <f t="shared" si="1"/>
        <v>740.8417855051897</v>
      </c>
      <c r="H13" s="23"/>
    </row>
    <row r="14" spans="1:8">
      <c r="A14" s="6">
        <v>42637</v>
      </c>
      <c r="B14" s="9">
        <v>0.33333333333333331</v>
      </c>
      <c r="C14" s="2">
        <v>9558.2000000000007</v>
      </c>
      <c r="D14" s="2">
        <v>19.3</v>
      </c>
      <c r="E14" s="3">
        <f t="shared" si="0"/>
        <v>-2.425118154853103E-3</v>
      </c>
      <c r="F14" s="4">
        <f t="shared" si="1"/>
        <v>740.75263794820501</v>
      </c>
      <c r="H14" s="23"/>
    </row>
    <row r="15" spans="1:8">
      <c r="A15" s="6">
        <v>42643</v>
      </c>
      <c r="B15" s="9">
        <v>0.33333333333333331</v>
      </c>
      <c r="C15" s="2">
        <v>9571.4</v>
      </c>
      <c r="D15" s="2">
        <v>21.2</v>
      </c>
      <c r="E15" s="3">
        <f t="shared" si="0"/>
        <v>-1.454608310775006E-3</v>
      </c>
      <c r="F15" s="4">
        <f t="shared" si="1"/>
        <v>740.85162995230098</v>
      </c>
      <c r="H15" s="23"/>
    </row>
    <row r="16" spans="1:8">
      <c r="A16" s="6">
        <v>42884</v>
      </c>
      <c r="B16" s="9">
        <v>0.33333333333333331</v>
      </c>
      <c r="C16" s="2">
        <v>9392.5</v>
      </c>
      <c r="D16" s="2">
        <v>6.3</v>
      </c>
      <c r="E16" s="3">
        <f t="shared" si="0"/>
        <v>-4.203076064994149E-3</v>
      </c>
      <c r="F16" s="4">
        <f t="shared" si="1"/>
        <v>740.57128624137056</v>
      </c>
      <c r="H16" s="23"/>
    </row>
    <row r="17" spans="1:8">
      <c r="A17" s="6">
        <v>42885</v>
      </c>
      <c r="B17" s="9">
        <v>0.33333333333333331</v>
      </c>
      <c r="C17" s="2">
        <v>9389.9</v>
      </c>
      <c r="D17" s="2">
        <v>6.3</v>
      </c>
      <c r="E17" s="3">
        <f t="shared" si="0"/>
        <v>-4.035423410249539E-3</v>
      </c>
      <c r="F17" s="4">
        <f t="shared" si="1"/>
        <v>740.58838681215457</v>
      </c>
      <c r="H17" s="23"/>
    </row>
    <row r="18" spans="1:8">
      <c r="A18" s="6">
        <v>42896</v>
      </c>
      <c r="B18" s="9">
        <v>0.33333333333333331</v>
      </c>
      <c r="C18" s="2">
        <v>9372.1</v>
      </c>
      <c r="D18" s="2">
        <v>6.2</v>
      </c>
      <c r="E18" s="3">
        <f t="shared" si="0"/>
        <v>-2.9832699831299631E-3</v>
      </c>
      <c r="F18" s="4">
        <f t="shared" si="1"/>
        <v>740.69570646172076</v>
      </c>
      <c r="H18" s="23"/>
    </row>
    <row r="19" spans="1:8">
      <c r="A19" s="7">
        <v>42906</v>
      </c>
      <c r="B19" s="9">
        <v>0.33333333333333331</v>
      </c>
      <c r="C19" s="2">
        <v>9370.2999999999993</v>
      </c>
      <c r="D19" s="2">
        <v>6</v>
      </c>
      <c r="E19" s="3">
        <f t="shared" si="0"/>
        <v>-3.058723591806381E-3</v>
      </c>
      <c r="F19" s="4">
        <f t="shared" si="1"/>
        <v>740.68801019363571</v>
      </c>
      <c r="H19" s="23"/>
    </row>
    <row r="20" spans="1:8">
      <c r="A20" s="7">
        <v>42916</v>
      </c>
      <c r="B20" s="9">
        <v>0.33333333333333331</v>
      </c>
      <c r="C20" s="2">
        <v>9375.7000000000007</v>
      </c>
      <c r="D20" s="2">
        <v>6.1</v>
      </c>
      <c r="E20" s="3">
        <f t="shared" si="0"/>
        <v>-3.3112325661988906E-3</v>
      </c>
      <c r="F20" s="4">
        <f t="shared" si="1"/>
        <v>740.6622542782477</v>
      </c>
      <c r="H20" s="23"/>
    </row>
    <row r="21" spans="1:8">
      <c r="A21" s="7">
        <v>42926</v>
      </c>
      <c r="B21" s="9">
        <v>0.33333333333333331</v>
      </c>
      <c r="C21" s="2">
        <v>9399.4</v>
      </c>
      <c r="D21" s="2">
        <v>6</v>
      </c>
      <c r="E21" s="3">
        <f t="shared" si="0"/>
        <v>-4.9352995697014151E-3</v>
      </c>
      <c r="F21" s="4">
        <f t="shared" si="1"/>
        <v>740.49659944389043</v>
      </c>
      <c r="H21" s="23"/>
    </row>
    <row r="22" spans="1:8">
      <c r="A22" s="7">
        <v>42936</v>
      </c>
      <c r="B22" s="9">
        <v>0.33333333333333331</v>
      </c>
      <c r="C22" s="2">
        <v>9377.5</v>
      </c>
      <c r="D22" s="2">
        <v>5.9</v>
      </c>
      <c r="E22" s="3">
        <f t="shared" si="0"/>
        <v>-3.6188731579441247E-3</v>
      </c>
      <c r="F22" s="4">
        <f t="shared" si="1"/>
        <v>740.63087493788964</v>
      </c>
      <c r="H22" s="23"/>
    </row>
    <row r="23" spans="1:8">
      <c r="A23" s="7">
        <v>42946</v>
      </c>
      <c r="B23" s="9">
        <v>0.33333333333333331</v>
      </c>
      <c r="C23" s="2">
        <v>9379.6</v>
      </c>
      <c r="D23" s="2">
        <v>5.9</v>
      </c>
      <c r="E23" s="3">
        <f t="shared" si="0"/>
        <v>-3.7543073271952276E-3</v>
      </c>
      <c r="F23" s="4">
        <f t="shared" si="1"/>
        <v>740.61706065262604</v>
      </c>
    </row>
    <row r="24" spans="1:8">
      <c r="A24" s="7">
        <v>42957</v>
      </c>
      <c r="B24" s="9">
        <v>0.33333333333333331</v>
      </c>
      <c r="C24" s="2">
        <v>9369.9</v>
      </c>
      <c r="D24" s="2">
        <v>6</v>
      </c>
      <c r="E24" s="3">
        <f t="shared" si="0"/>
        <v>-3.0329237558934935E-3</v>
      </c>
      <c r="F24" s="4">
        <f t="shared" si="1"/>
        <v>740.69064177689881</v>
      </c>
    </row>
    <row r="25" spans="1:8">
      <c r="A25" s="7">
        <v>42967</v>
      </c>
      <c r="B25" s="9">
        <v>0.33333333333333331</v>
      </c>
      <c r="C25" s="2">
        <v>9365.6</v>
      </c>
      <c r="D25" s="2">
        <v>6.1</v>
      </c>
      <c r="E25" s="3">
        <f t="shared" si="0"/>
        <v>-2.6597913954744257E-3</v>
      </c>
      <c r="F25" s="4">
        <f t="shared" si="1"/>
        <v>740.72870127766157</v>
      </c>
    </row>
    <row r="26" spans="1:8">
      <c r="A26" s="7">
        <v>42977</v>
      </c>
      <c r="B26" s="9">
        <v>0.33333333333333331</v>
      </c>
      <c r="C26" s="2">
        <v>9381.1</v>
      </c>
      <c r="D26" s="2">
        <v>7.5</v>
      </c>
      <c r="E26" s="3">
        <f t="shared" si="0"/>
        <v>-2.3186341418567971E-3</v>
      </c>
      <c r="F26" s="4">
        <f t="shared" si="1"/>
        <v>740.76349931753066</v>
      </c>
    </row>
    <row r="27" spans="1:8">
      <c r="A27" s="7">
        <v>42988</v>
      </c>
      <c r="B27" s="9">
        <v>0.33333333333333331</v>
      </c>
      <c r="C27" s="2">
        <v>9373.5</v>
      </c>
      <c r="D27" s="2">
        <v>7</v>
      </c>
      <c r="E27" s="3">
        <f t="shared" si="0"/>
        <v>-2.3073614201001742E-3</v>
      </c>
      <c r="F27" s="4">
        <f t="shared" si="1"/>
        <v>740.76464913514974</v>
      </c>
    </row>
    <row r="28" spans="1:8">
      <c r="A28" s="6">
        <v>42998</v>
      </c>
      <c r="B28" s="9">
        <v>0.33333333333333331</v>
      </c>
      <c r="C28" s="2">
        <v>9389.2000000000007</v>
      </c>
      <c r="D28" s="2">
        <v>7</v>
      </c>
      <c r="E28" s="3">
        <f t="shared" si="0"/>
        <v>-3.3198559827166026E-3</v>
      </c>
      <c r="F28" s="4">
        <f t="shared" si="1"/>
        <v>740.66137468976285</v>
      </c>
    </row>
    <row r="29" spans="1:8">
      <c r="A29" s="7">
        <v>43008</v>
      </c>
      <c r="B29" s="9">
        <v>0.33333333333333331</v>
      </c>
      <c r="C29" s="2">
        <v>9385.2999999999993</v>
      </c>
      <c r="D29" s="2">
        <v>6.9</v>
      </c>
      <c r="E29" s="3">
        <f t="shared" si="0"/>
        <v>-3.1641396052803673E-3</v>
      </c>
      <c r="F29" s="4">
        <f t="shared" si="1"/>
        <v>740.67725776026145</v>
      </c>
    </row>
    <row r="30" spans="1:8">
      <c r="A30" s="7">
        <v>43018</v>
      </c>
      <c r="B30" s="9">
        <v>0.33333333333333331</v>
      </c>
      <c r="C30" s="2">
        <v>9386.5</v>
      </c>
      <c r="D30" s="2">
        <v>6.8</v>
      </c>
      <c r="E30" s="3">
        <f t="shared" si="0"/>
        <v>-3.3372987187802079E-3</v>
      </c>
      <c r="F30" s="4">
        <f t="shared" si="1"/>
        <v>740.65959553068444</v>
      </c>
    </row>
    <row r="31" spans="1:8">
      <c r="A31" s="7">
        <v>43230</v>
      </c>
      <c r="B31" s="9">
        <v>0.33333333333333331</v>
      </c>
      <c r="C31" s="2">
        <v>9391.4</v>
      </c>
      <c r="D31" s="2">
        <v>6.8</v>
      </c>
      <c r="E31" s="3">
        <f t="shared" si="0"/>
        <v>-3.6532687916309876E-3</v>
      </c>
      <c r="F31" s="4">
        <f t="shared" si="1"/>
        <v>740.62736658325366</v>
      </c>
    </row>
    <row r="32" spans="1:8">
      <c r="A32" s="7">
        <v>43240</v>
      </c>
      <c r="B32" s="9">
        <v>0.33333333333333331</v>
      </c>
      <c r="C32" s="2">
        <v>9389.4</v>
      </c>
      <c r="D32" s="2">
        <v>7.1</v>
      </c>
      <c r="E32" s="3">
        <f t="shared" si="0"/>
        <v>-3.236977061333416E-3</v>
      </c>
      <c r="F32" s="4">
        <f t="shared" si="1"/>
        <v>740.66982833974396</v>
      </c>
    </row>
    <row r="33" spans="1:6">
      <c r="A33" s="7">
        <v>43250</v>
      </c>
      <c r="B33" s="9">
        <v>0.33333333333333331</v>
      </c>
      <c r="C33" s="2">
        <v>9380.1</v>
      </c>
      <c r="D33" s="2">
        <v>6.9</v>
      </c>
      <c r="E33" s="3">
        <f t="shared" si="0"/>
        <v>-2.8287970096435334E-3</v>
      </c>
      <c r="F33" s="4">
        <f t="shared" si="1"/>
        <v>740.7114627050164</v>
      </c>
    </row>
    <row r="34" spans="1:6">
      <c r="A34" s="7">
        <v>43261</v>
      </c>
      <c r="B34" s="9">
        <v>0.33333333333333331</v>
      </c>
      <c r="C34" s="2">
        <v>9392.4</v>
      </c>
      <c r="D34" s="2">
        <v>6.8</v>
      </c>
      <c r="E34" s="3">
        <f t="shared" ref="E34:E58" si="2">($B$2*C34^2+$B$3*C34+$B$4)-$B$5*D34-$E$7</f>
        <v>-3.7177499914127395E-3</v>
      </c>
      <c r="F34" s="4">
        <f t="shared" ref="F34:F58" si="3">$D$1+102*E34</f>
        <v>740.62078950087584</v>
      </c>
    </row>
    <row r="35" spans="1:6">
      <c r="A35" s="7">
        <v>43271</v>
      </c>
      <c r="B35" s="9">
        <v>0.33333333333333331</v>
      </c>
      <c r="C35" s="2">
        <v>9400.2000000000007</v>
      </c>
      <c r="D35" s="2">
        <v>7.2</v>
      </c>
      <c r="E35" s="3">
        <f t="shared" si="2"/>
        <v>-3.8375719981139263E-3</v>
      </c>
      <c r="F35" s="4">
        <f t="shared" si="3"/>
        <v>740.60856765619235</v>
      </c>
    </row>
    <row r="36" spans="1:6">
      <c r="A36" s="7">
        <v>43281</v>
      </c>
      <c r="B36" s="9">
        <v>0.33333333333333331</v>
      </c>
      <c r="C36" s="2">
        <v>9393.7999999999993</v>
      </c>
      <c r="D36" s="2">
        <v>7</v>
      </c>
      <c r="E36" s="3">
        <f t="shared" si="2"/>
        <v>-3.6164710538962204E-3</v>
      </c>
      <c r="F36" s="4">
        <f t="shared" si="3"/>
        <v>740.63111995250256</v>
      </c>
    </row>
    <row r="37" spans="1:6">
      <c r="A37" s="7">
        <v>43291</v>
      </c>
      <c r="B37" s="9">
        <v>0.33333333333333331</v>
      </c>
      <c r="C37" s="2">
        <v>9400.6</v>
      </c>
      <c r="D37" s="2">
        <v>7.5</v>
      </c>
      <c r="E37" s="3">
        <f t="shared" si="2"/>
        <v>-3.5760348098615238E-3</v>
      </c>
      <c r="F37" s="4">
        <f t="shared" si="3"/>
        <v>740.63524444939412</v>
      </c>
    </row>
    <row r="38" spans="1:6">
      <c r="A38" s="7">
        <v>43301</v>
      </c>
      <c r="B38" s="9">
        <v>0.33333333333333331</v>
      </c>
      <c r="C38" s="2">
        <v>9382.6</v>
      </c>
      <c r="D38" s="2">
        <v>6.9</v>
      </c>
      <c r="E38" s="3">
        <f t="shared" si="2"/>
        <v>-2.9900222584678705E-3</v>
      </c>
      <c r="F38" s="4">
        <f t="shared" si="3"/>
        <v>740.69501772963633</v>
      </c>
    </row>
    <row r="39" spans="1:6">
      <c r="A39" s="7">
        <v>43311</v>
      </c>
      <c r="B39" s="9">
        <v>0.33333333333333331</v>
      </c>
      <c r="C39" s="2">
        <v>9378.7000000000007</v>
      </c>
      <c r="D39" s="2">
        <v>6.6</v>
      </c>
      <c r="E39" s="3">
        <f t="shared" si="2"/>
        <v>-3.0258353673341294E-3</v>
      </c>
      <c r="F39" s="4">
        <f t="shared" si="3"/>
        <v>740.69136479253189</v>
      </c>
    </row>
    <row r="40" spans="1:6">
      <c r="A40" s="7">
        <v>43322</v>
      </c>
      <c r="B40" s="9">
        <v>0.33333333333333331</v>
      </c>
      <c r="C40" s="2">
        <v>9376.6</v>
      </c>
      <c r="D40" s="2">
        <v>6.7</v>
      </c>
      <c r="E40" s="3">
        <f t="shared" si="2"/>
        <v>-2.7946240037206062E-3</v>
      </c>
      <c r="F40" s="4">
        <f t="shared" si="3"/>
        <v>740.71494835162048</v>
      </c>
    </row>
    <row r="41" spans="1:6">
      <c r="A41" s="7">
        <v>43332</v>
      </c>
      <c r="B41" s="9">
        <v>0.33333333333333331</v>
      </c>
      <c r="C41" s="2">
        <v>9386.2000000000007</v>
      </c>
      <c r="D41" s="2">
        <v>6.6</v>
      </c>
      <c r="E41" s="3">
        <f t="shared" si="2"/>
        <v>-3.5095041542882906E-3</v>
      </c>
      <c r="F41" s="4">
        <f t="shared" si="3"/>
        <v>740.64203057626264</v>
      </c>
    </row>
    <row r="42" spans="1:6">
      <c r="A42" s="7">
        <v>43342</v>
      </c>
      <c r="B42" s="9">
        <v>0.33333333333333331</v>
      </c>
      <c r="C42" s="2">
        <v>9388.1</v>
      </c>
      <c r="D42" s="2">
        <v>6.6</v>
      </c>
      <c r="E42" s="3">
        <f t="shared" si="2"/>
        <v>-3.6320260471651607E-3</v>
      </c>
      <c r="F42" s="4">
        <f t="shared" si="3"/>
        <v>740.62953334318911</v>
      </c>
    </row>
    <row r="43" spans="1:6">
      <c r="A43" s="7">
        <v>43353</v>
      </c>
      <c r="B43" s="9">
        <v>0.33333333333333331</v>
      </c>
      <c r="C43" s="2">
        <v>9391.4</v>
      </c>
      <c r="D43" s="2">
        <v>6.8</v>
      </c>
      <c r="E43" s="3">
        <f t="shared" si="2"/>
        <v>-3.6532687916309876E-3</v>
      </c>
      <c r="F43" s="4">
        <f t="shared" si="3"/>
        <v>740.62736658325366</v>
      </c>
    </row>
    <row r="44" spans="1:6">
      <c r="A44" s="7">
        <v>43363</v>
      </c>
      <c r="B44" s="9">
        <v>0.33333333333333331</v>
      </c>
      <c r="C44" s="2">
        <v>9367.7000000000007</v>
      </c>
      <c r="D44" s="2">
        <v>6.5</v>
      </c>
      <c r="E44" s="3">
        <f t="shared" si="2"/>
        <v>-2.412144245739687E-3</v>
      </c>
      <c r="F44" s="4">
        <f t="shared" si="3"/>
        <v>740.75396128693455</v>
      </c>
    </row>
    <row r="45" spans="1:6">
      <c r="A45" s="7">
        <v>43373</v>
      </c>
      <c r="B45" s="9">
        <v>0.33333333333333331</v>
      </c>
      <c r="C45" s="2">
        <v>9387.6</v>
      </c>
      <c r="D45" s="2">
        <v>6.2</v>
      </c>
      <c r="E45" s="3">
        <f t="shared" si="2"/>
        <v>-3.9828861390287934E-3</v>
      </c>
      <c r="F45" s="4">
        <f t="shared" si="3"/>
        <v>740.59374561381901</v>
      </c>
    </row>
    <row r="46" spans="1:6">
      <c r="A46" s="7">
        <v>43383</v>
      </c>
      <c r="B46" s="9">
        <v>0.33333333333333331</v>
      </c>
      <c r="C46" s="2">
        <v>9389.1</v>
      </c>
      <c r="D46" s="2">
        <v>6.2</v>
      </c>
      <c r="E46" s="3">
        <f t="shared" si="2"/>
        <v>-4.0796124307544285E-3</v>
      </c>
      <c r="F46" s="4">
        <f t="shared" si="3"/>
        <v>740.58387953206307</v>
      </c>
    </row>
    <row r="47" spans="1:6">
      <c r="A47" s="7">
        <v>43393</v>
      </c>
      <c r="B47" s="9">
        <v>0.33333333333333331</v>
      </c>
      <c r="C47" s="2">
        <v>9390.7000000000007</v>
      </c>
      <c r="D47" s="2">
        <v>6</v>
      </c>
      <c r="E47" s="3">
        <f t="shared" si="2"/>
        <v>-4.3743362498548516E-3</v>
      </c>
      <c r="F47" s="4">
        <f t="shared" si="3"/>
        <v>740.55381770251483</v>
      </c>
    </row>
    <row r="48" spans="1:6">
      <c r="A48" s="7">
        <v>43605</v>
      </c>
      <c r="B48" s="1">
        <v>0.33333333333333331</v>
      </c>
      <c r="C48" s="2">
        <v>9381.7999999999993</v>
      </c>
      <c r="D48" s="2">
        <v>5.7</v>
      </c>
      <c r="E48" s="3">
        <f t="shared" si="2"/>
        <v>-4.0877379524769906E-3</v>
      </c>
      <c r="F48" s="4">
        <f t="shared" si="3"/>
        <v>740.5830507288473</v>
      </c>
    </row>
    <row r="49" spans="1:6">
      <c r="A49" s="7">
        <v>43615</v>
      </c>
      <c r="B49" s="1">
        <v>0.33333333333333331</v>
      </c>
      <c r="C49" s="2">
        <v>9382.7000000000007</v>
      </c>
      <c r="D49" s="2">
        <v>5.7</v>
      </c>
      <c r="E49" s="3">
        <f t="shared" si="2"/>
        <v>-4.1457783587556495E-3</v>
      </c>
      <c r="F49" s="4">
        <f t="shared" si="3"/>
        <v>740.57713060740696</v>
      </c>
    </row>
    <row r="50" spans="1:6">
      <c r="A50" s="7">
        <v>43626</v>
      </c>
      <c r="B50" s="1">
        <v>0.33333333333333331</v>
      </c>
      <c r="C50" s="2">
        <v>9385.7000000000007</v>
      </c>
      <c r="D50" s="2">
        <v>6</v>
      </c>
      <c r="E50" s="3">
        <f t="shared" si="2"/>
        <v>-4.0519146447528659E-3</v>
      </c>
      <c r="F50" s="4">
        <f t="shared" si="3"/>
        <v>740.5867047062352</v>
      </c>
    </row>
    <row r="51" spans="1:6">
      <c r="A51" s="7">
        <v>43636</v>
      </c>
      <c r="B51" s="1">
        <v>0.33333333333333331</v>
      </c>
      <c r="C51" s="2">
        <v>9389.2000000000007</v>
      </c>
      <c r="D51" s="2">
        <v>6.3</v>
      </c>
      <c r="E51" s="3">
        <f t="shared" si="2"/>
        <v>-3.9902851827166019E-3</v>
      </c>
      <c r="F51" s="4">
        <f t="shared" si="3"/>
        <v>740.5929909113629</v>
      </c>
    </row>
    <row r="52" spans="1:6">
      <c r="A52" s="7">
        <v>43646</v>
      </c>
      <c r="B52" s="1">
        <v>0.33333333333333331</v>
      </c>
      <c r="C52" s="2">
        <v>9388.7000000000007</v>
      </c>
      <c r="D52" s="2">
        <v>6</v>
      </c>
      <c r="E52" s="3">
        <f t="shared" si="2"/>
        <v>-4.2453701385481019E-3</v>
      </c>
      <c r="F52" s="4">
        <f t="shared" si="3"/>
        <v>740.5669722458681</v>
      </c>
    </row>
    <row r="53" spans="1:6">
      <c r="A53" s="7">
        <v>43656</v>
      </c>
      <c r="B53" s="1">
        <v>0.33333333333333331</v>
      </c>
      <c r="C53" s="2">
        <v>9388.2000000000007</v>
      </c>
      <c r="D53" s="2">
        <v>5.8</v>
      </c>
      <c r="E53" s="3">
        <f t="shared" si="2"/>
        <v>-4.4046792834851883E-3</v>
      </c>
      <c r="F53" s="4">
        <f t="shared" si="3"/>
        <v>740.5507227130845</v>
      </c>
    </row>
    <row r="54" spans="1:6">
      <c r="A54" s="7">
        <v>43666</v>
      </c>
      <c r="B54" s="1">
        <v>0.33333333333333331</v>
      </c>
      <c r="C54" s="2">
        <v>9387.4</v>
      </c>
      <c r="D54" s="2">
        <v>5.5</v>
      </c>
      <c r="E54" s="3">
        <f t="shared" si="2"/>
        <v>-4.6404183567237932E-3</v>
      </c>
      <c r="F54" s="4">
        <f t="shared" si="3"/>
        <v>740.52667732761415</v>
      </c>
    </row>
    <row r="55" spans="1:6">
      <c r="A55" s="7">
        <v>43676</v>
      </c>
      <c r="B55" s="1">
        <v>0.33333333333333331</v>
      </c>
      <c r="C55" s="2">
        <v>9386.1</v>
      </c>
      <c r="D55" s="2">
        <v>5.3</v>
      </c>
      <c r="E55" s="3">
        <f t="shared" si="2"/>
        <v>-4.748138349252775E-3</v>
      </c>
      <c r="F55" s="4">
        <f t="shared" si="3"/>
        <v>740.51568988837619</v>
      </c>
    </row>
    <row r="56" spans="1:6">
      <c r="A56" s="7">
        <v>43687</v>
      </c>
      <c r="B56" s="9">
        <v>0.33333333333333331</v>
      </c>
      <c r="C56" s="2">
        <v>9380.2000000000007</v>
      </c>
      <c r="D56" s="2">
        <v>5.3</v>
      </c>
      <c r="E56" s="3">
        <f t="shared" si="2"/>
        <v>-4.3676557208259491E-3</v>
      </c>
      <c r="F56" s="4">
        <f t="shared" si="3"/>
        <v>740.55449911647577</v>
      </c>
    </row>
    <row r="57" spans="1:6">
      <c r="A57" s="7">
        <v>43697</v>
      </c>
      <c r="B57" s="1">
        <v>0.33333333333333331</v>
      </c>
      <c r="C57" s="2">
        <v>9375.6</v>
      </c>
      <c r="D57" s="2">
        <v>5.3</v>
      </c>
      <c r="E57" s="3">
        <f t="shared" si="2"/>
        <v>-4.0709878754064642E-3</v>
      </c>
      <c r="F57" s="4">
        <f t="shared" si="3"/>
        <v>740.58475923670858</v>
      </c>
    </row>
    <row r="58" spans="1:6">
      <c r="A58" s="7">
        <v>43707</v>
      </c>
      <c r="B58" s="9">
        <v>0.33333333333333331</v>
      </c>
      <c r="C58" s="2">
        <v>9367.2999999999993</v>
      </c>
      <c r="D58" s="2">
        <v>5.0999999999999996</v>
      </c>
      <c r="E58" s="3">
        <f t="shared" si="2"/>
        <v>-3.7272019325055826E-3</v>
      </c>
      <c r="F58" s="4">
        <f t="shared" si="3"/>
        <v>740.61982540288443</v>
      </c>
    </row>
    <row r="59" spans="1:6">
      <c r="B59" s="9"/>
    </row>
    <row r="60" spans="1:6">
      <c r="B60" s="9"/>
    </row>
    <row r="61" spans="1:6">
      <c r="B61" s="9"/>
    </row>
    <row r="62" spans="1:6">
      <c r="B62" s="9"/>
    </row>
    <row r="63" spans="1:6">
      <c r="B63" s="9"/>
    </row>
    <row r="64" spans="1:6">
      <c r="B64" s="9"/>
    </row>
    <row r="65" spans="2:2">
      <c r="B65" s="9"/>
    </row>
    <row r="66" spans="2:2">
      <c r="B66" s="9"/>
    </row>
    <row r="67" spans="2:2">
      <c r="B67" s="9"/>
    </row>
    <row r="68" spans="2:2">
      <c r="B68" s="9"/>
    </row>
    <row r="69" spans="2:2">
      <c r="B69" s="9"/>
    </row>
    <row r="70" spans="2:2">
      <c r="B70" s="9"/>
    </row>
    <row r="71" spans="2:2">
      <c r="B71" s="9"/>
    </row>
    <row r="72" spans="2:2">
      <c r="B72" s="9"/>
    </row>
    <row r="73" spans="2:2">
      <c r="B73" s="9"/>
    </row>
    <row r="74" spans="2:2">
      <c r="B74" s="9"/>
    </row>
    <row r="75" spans="2:2">
      <c r="B75" s="9"/>
    </row>
    <row r="76" spans="2:2">
      <c r="B76" s="9"/>
    </row>
    <row r="77" spans="2:2">
      <c r="B77" s="9"/>
    </row>
    <row r="78" spans="2:2">
      <c r="B78" s="9"/>
    </row>
    <row r="79" spans="2:2">
      <c r="B79" s="9"/>
    </row>
    <row r="80" spans="2:2">
      <c r="B80" s="9"/>
    </row>
    <row r="81" spans="2:2">
      <c r="B81" s="9"/>
    </row>
    <row r="82" spans="2:2">
      <c r="B82" s="9"/>
    </row>
    <row r="83" spans="2:2">
      <c r="B83" s="9"/>
    </row>
    <row r="84" spans="2:2">
      <c r="B84" s="9"/>
    </row>
    <row r="85" spans="2:2">
      <c r="B85" s="9"/>
    </row>
    <row r="86" spans="2:2">
      <c r="B86" s="9"/>
    </row>
    <row r="87" spans="2:2">
      <c r="B87" s="9"/>
    </row>
    <row r="88" spans="2:2">
      <c r="B88" s="9"/>
    </row>
    <row r="89" spans="2:2">
      <c r="B89" s="9"/>
    </row>
    <row r="90" spans="2:2">
      <c r="B90" s="9"/>
    </row>
    <row r="91" spans="2:2">
      <c r="B91" s="9"/>
    </row>
    <row r="92" spans="2:2">
      <c r="B92" s="9"/>
    </row>
    <row r="93" spans="2:2">
      <c r="B93" s="9"/>
    </row>
    <row r="94" spans="2:2">
      <c r="B94" s="9"/>
    </row>
    <row r="95" spans="2:2">
      <c r="B95" s="9"/>
    </row>
    <row r="96" spans="2:2">
      <c r="B96" s="9"/>
    </row>
    <row r="97" spans="2:2">
      <c r="B97" s="9"/>
    </row>
    <row r="98" spans="2:2">
      <c r="B98" s="9"/>
    </row>
    <row r="99" spans="2:2">
      <c r="B99" s="9"/>
    </row>
    <row r="100" spans="2:2">
      <c r="B100" s="9"/>
    </row>
    <row r="101" spans="2:2">
      <c r="B101" s="9"/>
    </row>
    <row r="102" spans="2:2">
      <c r="B102" s="9"/>
    </row>
    <row r="103" spans="2:2">
      <c r="B103" s="9"/>
    </row>
    <row r="104" spans="2:2">
      <c r="B104" s="9"/>
    </row>
    <row r="105" spans="2:2">
      <c r="B105" s="9"/>
    </row>
    <row r="106" spans="2:2">
      <c r="B106" s="9"/>
    </row>
    <row r="107" spans="2:2">
      <c r="B107" s="9"/>
    </row>
    <row r="108" spans="2:2">
      <c r="B108" s="9"/>
    </row>
    <row r="109" spans="2:2">
      <c r="B109" s="9"/>
    </row>
    <row r="110" spans="2:2">
      <c r="B110" s="9"/>
    </row>
    <row r="111" spans="2:2">
      <c r="B111" s="9"/>
    </row>
    <row r="112" spans="2:2">
      <c r="B112" s="9"/>
    </row>
    <row r="113" spans="2:2">
      <c r="B113" s="9"/>
    </row>
    <row r="114" spans="2:2">
      <c r="B114" s="9"/>
    </row>
    <row r="115" spans="2:2">
      <c r="B115" s="9"/>
    </row>
    <row r="116" spans="2:2">
      <c r="B116" s="9"/>
    </row>
    <row r="117" spans="2:2">
      <c r="B117" s="9"/>
    </row>
    <row r="118" spans="2:2">
      <c r="B118" s="9"/>
    </row>
    <row r="119" spans="2:2">
      <c r="B119" s="9"/>
    </row>
    <row r="120" spans="2:2">
      <c r="B120" s="9"/>
    </row>
    <row r="121" spans="2:2">
      <c r="B121" s="9"/>
    </row>
    <row r="122" spans="2:2">
      <c r="B122" s="9"/>
    </row>
    <row r="123" spans="2:2">
      <c r="B123" s="9"/>
    </row>
    <row r="124" spans="2:2">
      <c r="B124" s="9"/>
    </row>
    <row r="125" spans="2:2">
      <c r="B125" s="9"/>
    </row>
    <row r="126" spans="2:2">
      <c r="B126" s="9"/>
    </row>
    <row r="127" spans="2:2">
      <c r="B127" s="9"/>
    </row>
    <row r="128" spans="2:2">
      <c r="B128" s="9"/>
    </row>
    <row r="129" spans="2:2">
      <c r="B129" s="9"/>
    </row>
    <row r="130" spans="2:2">
      <c r="B130" s="9"/>
    </row>
    <row r="131" spans="2:2">
      <c r="B131" s="9"/>
    </row>
    <row r="132" spans="2:2">
      <c r="B132" s="9"/>
    </row>
    <row r="133" spans="2:2">
      <c r="B133" s="9"/>
    </row>
    <row r="134" spans="2:2">
      <c r="B134" s="9"/>
    </row>
    <row r="135" spans="2:2">
      <c r="B135" s="9"/>
    </row>
    <row r="136" spans="2:2">
      <c r="B136" s="9"/>
    </row>
    <row r="137" spans="2:2">
      <c r="B137" s="9"/>
    </row>
    <row r="138" spans="2:2">
      <c r="B138" s="9"/>
    </row>
    <row r="139" spans="2:2">
      <c r="B139" s="9"/>
    </row>
    <row r="140" spans="2:2">
      <c r="B140" s="9"/>
    </row>
    <row r="141" spans="2:2">
      <c r="B141" s="9"/>
    </row>
    <row r="142" spans="2:2">
      <c r="B142" s="9"/>
    </row>
    <row r="143" spans="2:2">
      <c r="B143" s="9"/>
    </row>
    <row r="144" spans="2:2">
      <c r="B144" s="9"/>
    </row>
    <row r="145" spans="2:2">
      <c r="B145" s="9"/>
    </row>
    <row r="146" spans="2:2">
      <c r="B146" s="9"/>
    </row>
    <row r="147" spans="2:2">
      <c r="B147" s="9"/>
    </row>
    <row r="148" spans="2:2">
      <c r="B148" s="9"/>
    </row>
    <row r="149" spans="2:2">
      <c r="B149" s="9"/>
    </row>
    <row r="150" spans="2:2">
      <c r="B150" s="9"/>
    </row>
    <row r="151" spans="2:2">
      <c r="B151" s="9"/>
    </row>
    <row r="152" spans="2:2">
      <c r="B152" s="9"/>
    </row>
    <row r="153" spans="2:2">
      <c r="B153" s="9"/>
    </row>
    <row r="154" spans="2:2">
      <c r="B154" s="9"/>
    </row>
    <row r="155" spans="2:2">
      <c r="B155" s="9"/>
    </row>
    <row r="156" spans="2:2">
      <c r="B156" s="9"/>
    </row>
    <row r="157" spans="2:2">
      <c r="B157" s="9"/>
    </row>
    <row r="158" spans="2:2">
      <c r="B158" s="9"/>
    </row>
    <row r="159" spans="2:2">
      <c r="B159" s="9"/>
    </row>
    <row r="160" spans="2:2">
      <c r="B160" s="9"/>
    </row>
    <row r="161" spans="2:2">
      <c r="B161" s="9"/>
    </row>
    <row r="162" spans="2:2">
      <c r="B162" s="9"/>
    </row>
    <row r="163" spans="2:2">
      <c r="B163" s="9"/>
    </row>
    <row r="164" spans="2:2">
      <c r="B164" s="9"/>
    </row>
    <row r="165" spans="2:2">
      <c r="B165" s="9"/>
    </row>
    <row r="166" spans="2:2">
      <c r="B166" s="9"/>
    </row>
    <row r="167" spans="2:2">
      <c r="B167" s="9"/>
    </row>
    <row r="168" spans="2:2">
      <c r="B168" s="9"/>
    </row>
    <row r="169" spans="2:2">
      <c r="B169" s="9"/>
    </row>
    <row r="170" spans="2:2">
      <c r="B170" s="9"/>
    </row>
    <row r="171" spans="2:2">
      <c r="B171" s="9"/>
    </row>
    <row r="172" spans="2:2">
      <c r="B172" s="9"/>
    </row>
    <row r="173" spans="2:2">
      <c r="B173" s="9"/>
    </row>
    <row r="174" spans="2:2">
      <c r="B174" s="9"/>
    </row>
    <row r="175" spans="2:2">
      <c r="B175" s="9"/>
    </row>
    <row r="176" spans="2:2">
      <c r="B176" s="9"/>
    </row>
  </sheetData>
  <phoneticPr fontId="5" type="noConversion"/>
  <pageMargins left="0.69930555555555596" right="0.69930555555555596" top="0.75" bottom="0.75" header="0.3" footer="0.3"/>
  <pageSetup paperSize="9" orientation="portrait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6"/>
  <sheetViews>
    <sheetView topLeftCell="A52" workbookViewId="0">
      <selection activeCell="E76" sqref="E76"/>
    </sheetView>
  </sheetViews>
  <sheetFormatPr defaultColWidth="9" defaultRowHeight="13.5"/>
  <cols>
    <col min="1" max="1" width="11.625" bestFit="1" customWidth="1"/>
    <col min="2" max="2" width="13.875" customWidth="1"/>
  </cols>
  <sheetData>
    <row r="1" spans="1:7">
      <c r="A1" t="s">
        <v>0</v>
      </c>
      <c r="B1">
        <v>11220</v>
      </c>
      <c r="C1" t="s">
        <v>1</v>
      </c>
      <c r="D1">
        <v>725.5</v>
      </c>
    </row>
    <row r="2" spans="1:7">
      <c r="A2" t="s">
        <v>2</v>
      </c>
      <c r="B2">
        <f>-3.57759*10^-12</f>
        <v>-3.5775899999999999E-12</v>
      </c>
    </row>
    <row r="3" spans="1:7">
      <c r="A3" t="s">
        <v>3</v>
      </c>
      <c r="B3">
        <v>-1.69741E-4</v>
      </c>
    </row>
    <row r="4" spans="1:7">
      <c r="A4" t="s">
        <v>4</v>
      </c>
      <c r="B4">
        <v>1.51190702</v>
      </c>
    </row>
    <row r="5" spans="1:7">
      <c r="A5" t="s">
        <v>5</v>
      </c>
      <c r="B5">
        <v>-3.0961299999999999E-3</v>
      </c>
    </row>
    <row r="6" spans="1:7">
      <c r="A6" t="s">
        <v>6</v>
      </c>
      <c r="B6" t="s">
        <v>7</v>
      </c>
      <c r="C6" t="s">
        <v>8</v>
      </c>
      <c r="D6" t="s">
        <v>9</v>
      </c>
      <c r="E6" t="s">
        <v>10</v>
      </c>
      <c r="F6" t="s">
        <v>11</v>
      </c>
      <c r="G6" t="s">
        <v>12</v>
      </c>
    </row>
    <row r="7" spans="1:7">
      <c r="A7" s="7">
        <v>42231</v>
      </c>
      <c r="B7" s="1">
        <v>0.375</v>
      </c>
      <c r="C7" s="2">
        <v>8874.9</v>
      </c>
      <c r="D7" s="2">
        <v>19.5</v>
      </c>
      <c r="E7" s="3">
        <f>($B$2*C7^2+$B$3*C7+$B$4)-$B$5*D7</f>
        <v>6.5565369337842849E-2</v>
      </c>
      <c r="G7" t="s">
        <v>13</v>
      </c>
    </row>
    <row r="8" spans="1:7">
      <c r="A8" s="7">
        <v>42231</v>
      </c>
      <c r="B8" s="1">
        <v>0.45833333333333298</v>
      </c>
      <c r="C8" s="2">
        <v>8898.2999999999993</v>
      </c>
      <c r="D8" s="2">
        <v>20.6</v>
      </c>
      <c r="E8" s="3">
        <f>($B$2*C8^2+$B$3*C8+$B$4)-$B$5*D8-$E$7</f>
        <v>-5.6768429420847588E-4</v>
      </c>
      <c r="F8" s="4">
        <f>$D$1+102*E8</f>
        <v>725.44209620199069</v>
      </c>
      <c r="G8" t="s">
        <v>17</v>
      </c>
    </row>
    <row r="9" spans="1:7">
      <c r="A9" s="7">
        <v>42231</v>
      </c>
      <c r="B9" s="1">
        <v>0.70833333333333304</v>
      </c>
      <c r="C9" s="2">
        <v>8082.8</v>
      </c>
      <c r="D9" s="2">
        <v>18.899999999999999</v>
      </c>
      <c r="E9" s="3">
        <f t="shared" ref="E9:E28" si="0">($B$2*C9^2+$B$3*C9+$B$4)-$B$5*D9-$E$7</f>
        <v>0.13264222298354056</v>
      </c>
      <c r="F9" s="4">
        <f t="shared" ref="F9:F58" si="1">$D$1+102*E9</f>
        <v>739.02950674432111</v>
      </c>
      <c r="G9" t="s">
        <v>25</v>
      </c>
    </row>
    <row r="10" spans="1:7">
      <c r="A10" s="7">
        <v>42232</v>
      </c>
      <c r="B10" s="1">
        <v>0.41666666666666702</v>
      </c>
      <c r="C10" s="2">
        <v>8199.7000000000007</v>
      </c>
      <c r="D10" s="2">
        <v>24.4</v>
      </c>
      <c r="E10" s="3">
        <f t="shared" si="0"/>
        <v>0.12982140541197773</v>
      </c>
      <c r="F10" s="4">
        <f t="shared" si="1"/>
        <v>738.74178335202168</v>
      </c>
    </row>
    <row r="11" spans="1:7">
      <c r="A11" s="7">
        <v>42233</v>
      </c>
      <c r="B11" s="1">
        <v>0.41666666666666702</v>
      </c>
      <c r="C11" s="2">
        <v>8158.8</v>
      </c>
      <c r="D11" s="2">
        <v>22.8</v>
      </c>
      <c r="E11" s="3">
        <f t="shared" si="0"/>
        <v>0.13181239794382393</v>
      </c>
      <c r="F11" s="4">
        <f t="shared" si="1"/>
        <v>738.94486459027007</v>
      </c>
    </row>
    <row r="12" spans="1:7">
      <c r="A12" s="7">
        <v>42234</v>
      </c>
      <c r="B12" s="1">
        <v>0.41666666666666702</v>
      </c>
      <c r="C12" s="2">
        <v>8138.2</v>
      </c>
      <c r="D12" s="2">
        <v>21.7</v>
      </c>
      <c r="E12" s="3">
        <f t="shared" si="0"/>
        <v>0.13190452060589913</v>
      </c>
      <c r="F12" s="4">
        <f t="shared" si="1"/>
        <v>738.95426110180176</v>
      </c>
    </row>
    <row r="13" spans="1:7">
      <c r="A13" s="7">
        <v>42235</v>
      </c>
      <c r="B13" s="1">
        <v>0.41666666666666702</v>
      </c>
      <c r="C13" s="2">
        <v>8109.1</v>
      </c>
      <c r="D13" s="2">
        <v>20.399999999999999</v>
      </c>
      <c r="E13" s="3">
        <f t="shared" si="0"/>
        <v>0.13282070617767905</v>
      </c>
      <c r="F13" s="4">
        <f t="shared" si="1"/>
        <v>739.04771203012331</v>
      </c>
    </row>
    <row r="14" spans="1:7">
      <c r="A14" s="7">
        <v>42236</v>
      </c>
      <c r="B14" s="1">
        <v>0.41666666666666702</v>
      </c>
      <c r="C14" s="2">
        <v>8085.1</v>
      </c>
      <c r="D14" s="2">
        <v>19.3</v>
      </c>
      <c r="E14" s="3">
        <f t="shared" si="0"/>
        <v>0.13349013764667059</v>
      </c>
      <c r="F14" s="4">
        <f t="shared" si="1"/>
        <v>739.11599403996036</v>
      </c>
    </row>
    <row r="15" spans="1:7">
      <c r="A15" s="7">
        <v>42237</v>
      </c>
      <c r="B15" s="1">
        <v>0.41666666666666702</v>
      </c>
      <c r="C15" s="2">
        <v>8067.5</v>
      </c>
      <c r="D15" s="2">
        <v>18.3</v>
      </c>
      <c r="E15" s="3">
        <f t="shared" si="0"/>
        <v>0.13338246630456269</v>
      </c>
      <c r="F15" s="4">
        <f t="shared" si="1"/>
        <v>739.10501156306543</v>
      </c>
    </row>
    <row r="16" spans="1:7">
      <c r="A16" s="7">
        <v>42238</v>
      </c>
      <c r="B16" s="1">
        <v>0.41666666666666702</v>
      </c>
      <c r="C16" s="2">
        <v>8052.9</v>
      </c>
      <c r="D16" s="2">
        <v>17.899999999999999</v>
      </c>
      <c r="E16" s="3">
        <f t="shared" si="0"/>
        <v>0.13462307491841763</v>
      </c>
      <c r="F16" s="4">
        <f t="shared" si="1"/>
        <v>739.2315536416786</v>
      </c>
    </row>
    <row r="17" spans="1:7">
      <c r="A17" s="7">
        <v>42245</v>
      </c>
      <c r="B17" s="1">
        <v>0.41666666666666702</v>
      </c>
      <c r="C17" s="2">
        <v>8003.8</v>
      </c>
      <c r="D17" s="2">
        <v>14</v>
      </c>
      <c r="E17" s="3">
        <f t="shared" si="0"/>
        <v>0.13088527153302479</v>
      </c>
      <c r="F17" s="4">
        <f t="shared" si="1"/>
        <v>738.85029769636856</v>
      </c>
    </row>
    <row r="18" spans="1:7">
      <c r="A18" s="7">
        <v>42252</v>
      </c>
      <c r="B18" s="1">
        <v>0.41666666666666602</v>
      </c>
      <c r="C18" s="2">
        <v>7985.4</v>
      </c>
      <c r="D18" s="2">
        <v>12.3</v>
      </c>
      <c r="E18" s="3">
        <f t="shared" si="0"/>
        <v>0.12874613746458208</v>
      </c>
      <c r="F18" s="4">
        <f t="shared" si="1"/>
        <v>738.63210602138736</v>
      </c>
    </row>
    <row r="19" spans="1:7">
      <c r="A19" s="7">
        <v>42259</v>
      </c>
      <c r="B19" s="1">
        <v>0.41666666666666602</v>
      </c>
      <c r="C19" s="2">
        <v>7974.5</v>
      </c>
      <c r="D19" s="2">
        <v>11.2</v>
      </c>
      <c r="E19" s="3">
        <f t="shared" si="0"/>
        <v>0.12719119373254914</v>
      </c>
      <c r="F19" s="4">
        <f t="shared" si="1"/>
        <v>738.47350176071996</v>
      </c>
    </row>
    <row r="20" spans="1:7">
      <c r="A20" s="7">
        <v>42266</v>
      </c>
      <c r="B20" s="1">
        <v>0.41666666666666602</v>
      </c>
      <c r="C20" s="2">
        <v>7969.1</v>
      </c>
      <c r="D20" s="2">
        <v>10.4</v>
      </c>
      <c r="E20" s="3">
        <f t="shared" si="0"/>
        <v>0.12563119914673435</v>
      </c>
      <c r="F20" s="4">
        <f t="shared" si="1"/>
        <v>738.31438231296693</v>
      </c>
    </row>
    <row r="21" spans="1:7">
      <c r="A21" s="7">
        <v>42273</v>
      </c>
      <c r="B21" s="1">
        <v>0.41666666666666502</v>
      </c>
      <c r="C21" s="2">
        <v>7961.5</v>
      </c>
      <c r="D21" s="2">
        <v>9.9</v>
      </c>
      <c r="E21" s="3">
        <f t="shared" si="0"/>
        <v>0.12537359889471447</v>
      </c>
      <c r="F21" s="4">
        <f t="shared" si="1"/>
        <v>738.28810708726087</v>
      </c>
    </row>
    <row r="22" spans="1:7">
      <c r="A22" s="7">
        <v>42280</v>
      </c>
      <c r="B22" s="1">
        <v>0.41666666666666502</v>
      </c>
      <c r="C22" s="2">
        <v>7953.8</v>
      </c>
      <c r="D22" s="2">
        <v>9.5</v>
      </c>
      <c r="E22" s="3">
        <f t="shared" si="0"/>
        <v>0.12544259102053409</v>
      </c>
      <c r="F22" s="4">
        <f t="shared" si="1"/>
        <v>738.29514428409448</v>
      </c>
    </row>
    <row r="23" spans="1:7">
      <c r="A23" s="7">
        <v>42287</v>
      </c>
      <c r="B23" s="1">
        <v>0.41666666666666502</v>
      </c>
      <c r="C23" s="2">
        <v>7951.8</v>
      </c>
      <c r="D23" s="2">
        <v>9.5</v>
      </c>
      <c r="E23" s="3">
        <f t="shared" si="0"/>
        <v>0.12578218682796491</v>
      </c>
      <c r="F23" s="4">
        <f t="shared" si="1"/>
        <v>738.32978305645247</v>
      </c>
    </row>
    <row r="24" spans="1:7">
      <c r="A24" s="7">
        <v>42294</v>
      </c>
      <c r="B24" s="1">
        <v>0.41666666666666702</v>
      </c>
      <c r="C24" s="2">
        <v>7938.1</v>
      </c>
      <c r="D24" s="2">
        <v>8.9</v>
      </c>
      <c r="E24" s="3">
        <f t="shared" si="0"/>
        <v>0.12625073933936359</v>
      </c>
      <c r="F24" s="4">
        <f t="shared" si="1"/>
        <v>738.3775754126151</v>
      </c>
      <c r="G24" s="2"/>
    </row>
    <row r="25" spans="1:7">
      <c r="A25" s="7">
        <v>42301</v>
      </c>
      <c r="B25" s="1">
        <v>0.41666666666666702</v>
      </c>
      <c r="C25" s="2">
        <v>7940.8</v>
      </c>
      <c r="D25" s="2">
        <v>8.8000000000000007</v>
      </c>
      <c r="E25" s="3">
        <f t="shared" si="0"/>
        <v>0.12548267225724005</v>
      </c>
      <c r="F25" s="4">
        <f t="shared" si="1"/>
        <v>738.29923257023847</v>
      </c>
      <c r="G25" s="2"/>
    </row>
    <row r="26" spans="1:7">
      <c r="A26" s="7">
        <v>42308</v>
      </c>
      <c r="B26" s="1">
        <v>0.41666666666666702</v>
      </c>
      <c r="C26" s="2">
        <v>7936.4</v>
      </c>
      <c r="D26" s="2">
        <v>8.6999999999999993</v>
      </c>
      <c r="E26" s="3">
        <f t="shared" si="0"/>
        <v>0.12592016958653271</v>
      </c>
      <c r="F26" s="4">
        <f t="shared" si="1"/>
        <v>738.34385729782639</v>
      </c>
      <c r="G26" s="2"/>
    </row>
    <row r="27" spans="1:7">
      <c r="A27" s="7">
        <v>42531</v>
      </c>
      <c r="B27" s="1">
        <v>0.41666666666666702</v>
      </c>
      <c r="C27" s="2">
        <v>7966.6</v>
      </c>
      <c r="D27" s="2">
        <v>7.1</v>
      </c>
      <c r="E27" s="3">
        <f t="shared" si="0"/>
        <v>0.11583846517523674</v>
      </c>
      <c r="F27" s="4">
        <f t="shared" si="1"/>
        <v>737.31552344787417</v>
      </c>
      <c r="G27" s="2"/>
    </row>
    <row r="28" spans="1:7">
      <c r="A28" s="6">
        <v>42544</v>
      </c>
      <c r="B28" s="1">
        <v>0.41666666666666702</v>
      </c>
      <c r="C28" s="2">
        <v>7875.3</v>
      </c>
      <c r="D28" s="2">
        <v>7</v>
      </c>
      <c r="E28" s="3">
        <f t="shared" si="0"/>
        <v>0.13103137997787867</v>
      </c>
      <c r="F28" s="4">
        <f t="shared" si="1"/>
        <v>738.86520075774365</v>
      </c>
    </row>
    <row r="29" spans="1:7">
      <c r="A29" s="7">
        <v>42551</v>
      </c>
      <c r="B29" s="9">
        <v>0.41666666666666702</v>
      </c>
      <c r="C29">
        <v>7921.7</v>
      </c>
      <c r="D29" s="2">
        <v>7</v>
      </c>
      <c r="E29" s="3">
        <f>($B$2*C29^2+$B$3*C29+$B$4)-$B$5*D29-$E$7</f>
        <v>0.12315277527309837</v>
      </c>
      <c r="F29" s="4">
        <f t="shared" si="1"/>
        <v>738.06158307785608</v>
      </c>
    </row>
    <row r="30" spans="1:7">
      <c r="A30" s="7">
        <v>42561</v>
      </c>
      <c r="B30" s="9">
        <v>0.41666666666666702</v>
      </c>
      <c r="C30">
        <v>7937.1</v>
      </c>
      <c r="D30" s="2">
        <v>6.9</v>
      </c>
      <c r="E30" s="3">
        <f>($B$2*C30^2+$B$3*C30+$B$4)-$B$5*D30-$E$7</f>
        <v>0.12022827713432022</v>
      </c>
      <c r="F30" s="4">
        <f t="shared" si="1"/>
        <v>737.76328426770067</v>
      </c>
    </row>
    <row r="31" spans="1:7">
      <c r="A31" s="7">
        <v>42571</v>
      </c>
      <c r="B31" s="9">
        <v>0.41666666666666702</v>
      </c>
      <c r="C31" s="2">
        <v>7935.9</v>
      </c>
      <c r="D31" s="2">
        <v>6.9</v>
      </c>
      <c r="E31" s="3">
        <f>($B$2*C31^2+$B$3*C31+$B$4)-$B$5*D31-$E$7</f>
        <v>0.12043203447882372</v>
      </c>
      <c r="F31" s="4">
        <f t="shared" si="1"/>
        <v>737.78406751683997</v>
      </c>
    </row>
    <row r="32" spans="1:7">
      <c r="A32" s="7">
        <v>42581</v>
      </c>
      <c r="B32" s="9">
        <v>0.41666666666666702</v>
      </c>
      <c r="C32" s="2">
        <v>7928.4</v>
      </c>
      <c r="D32" s="2">
        <v>6.8</v>
      </c>
      <c r="E32" s="3">
        <f>($B$2*C32^2+$B$3*C32+$B$4)-$B$5*D32-$E$7</f>
        <v>0.12139590464853137</v>
      </c>
      <c r="F32" s="4">
        <f t="shared" si="1"/>
        <v>737.88238227415025</v>
      </c>
    </row>
    <row r="33" spans="1:6">
      <c r="A33" s="7">
        <v>42592</v>
      </c>
      <c r="B33" s="1">
        <v>0.41666666666666702</v>
      </c>
      <c r="C33">
        <v>7929.7</v>
      </c>
      <c r="D33">
        <v>6.7</v>
      </c>
      <c r="E33" s="3">
        <f t="shared" ref="E33:E58" si="2">($B$2*C33^2+$B$3*C33+$B$4)-$B$5*D33-$E$7</f>
        <v>0.12086555459461737</v>
      </c>
      <c r="F33" s="4">
        <f t="shared" si="1"/>
        <v>737.82828656865092</v>
      </c>
    </row>
    <row r="34" spans="1:6">
      <c r="A34" s="7">
        <v>42602</v>
      </c>
      <c r="B34" s="1">
        <v>0.41666666666666702</v>
      </c>
      <c r="C34">
        <v>7925.5</v>
      </c>
      <c r="D34">
        <v>6.7</v>
      </c>
      <c r="E34" s="3">
        <f t="shared" si="2"/>
        <v>0.12157870503291826</v>
      </c>
      <c r="F34" s="4">
        <f t="shared" si="1"/>
        <v>737.90102791335767</v>
      </c>
    </row>
    <row r="35" spans="1:6">
      <c r="A35" s="7">
        <v>42612</v>
      </c>
      <c r="B35" s="1">
        <v>0.41666666666666702</v>
      </c>
      <c r="C35">
        <v>7917</v>
      </c>
      <c r="D35">
        <v>6.6</v>
      </c>
      <c r="E35" s="3">
        <f t="shared" si="2"/>
        <v>0.12271237229565957</v>
      </c>
      <c r="F35" s="4">
        <f t="shared" si="1"/>
        <v>738.01666197415727</v>
      </c>
    </row>
    <row r="36" spans="1:6">
      <c r="A36" s="7">
        <v>42623</v>
      </c>
      <c r="B36" s="1">
        <v>0.41666666666666702</v>
      </c>
      <c r="C36">
        <v>7905.3</v>
      </c>
      <c r="D36">
        <v>6.5</v>
      </c>
      <c r="E36" s="3">
        <f t="shared" si="2"/>
        <v>0.12438939128237592</v>
      </c>
      <c r="F36" s="4">
        <f t="shared" si="1"/>
        <v>738.18771791080235</v>
      </c>
    </row>
    <row r="37" spans="1:6">
      <c r="A37" s="7">
        <v>42633</v>
      </c>
      <c r="B37" s="1">
        <v>0.41666666666666669</v>
      </c>
      <c r="C37">
        <v>7889.5</v>
      </c>
      <c r="D37">
        <v>6.5</v>
      </c>
      <c r="E37" s="3">
        <f t="shared" si="2"/>
        <v>0.12707219189800867</v>
      </c>
      <c r="F37" s="4">
        <f t="shared" si="1"/>
        <v>738.46136357359683</v>
      </c>
    </row>
    <row r="38" spans="1:6">
      <c r="A38" s="7">
        <v>42643</v>
      </c>
      <c r="B38" s="1">
        <v>0.41666666666666669</v>
      </c>
      <c r="C38">
        <v>7908.6</v>
      </c>
      <c r="D38">
        <v>6.4</v>
      </c>
      <c r="E38" s="3">
        <f t="shared" si="2"/>
        <v>0.12351944628272937</v>
      </c>
      <c r="F38" s="4">
        <f t="shared" si="1"/>
        <v>738.09898352083837</v>
      </c>
    </row>
    <row r="39" spans="1:6">
      <c r="A39" s="7">
        <v>42926</v>
      </c>
      <c r="B39" s="1">
        <v>0.41666666666666669</v>
      </c>
      <c r="C39">
        <v>7935.4</v>
      </c>
      <c r="D39">
        <v>6.5</v>
      </c>
      <c r="E39" s="3">
        <f t="shared" si="2"/>
        <v>0.11927848136932573</v>
      </c>
      <c r="F39" s="4">
        <f t="shared" si="1"/>
        <v>737.66640509967124</v>
      </c>
    </row>
    <row r="40" spans="1:6">
      <c r="A40" s="7">
        <v>42936</v>
      </c>
      <c r="B40" s="1">
        <v>0.41666666666666669</v>
      </c>
      <c r="C40">
        <v>7933.9</v>
      </c>
      <c r="D40">
        <v>6.6</v>
      </c>
      <c r="E40" s="3">
        <f t="shared" si="2"/>
        <v>0.1198427910300992</v>
      </c>
      <c r="F40" s="4">
        <f t="shared" si="1"/>
        <v>737.72396468507009</v>
      </c>
    </row>
    <row r="41" spans="1:6">
      <c r="A41" s="7">
        <v>42946</v>
      </c>
      <c r="B41" s="1">
        <v>0.41666666666666669</v>
      </c>
      <c r="C41">
        <v>7940.4</v>
      </c>
      <c r="D41">
        <v>6.6</v>
      </c>
      <c r="E41" s="3">
        <f t="shared" si="2"/>
        <v>0.11873910538380894</v>
      </c>
      <c r="F41" s="4">
        <f t="shared" si="1"/>
        <v>737.61138874914855</v>
      </c>
    </row>
    <row r="42" spans="1:6">
      <c r="A42" s="7">
        <v>42957</v>
      </c>
      <c r="B42" s="1">
        <v>0.41666666666666669</v>
      </c>
      <c r="C42">
        <v>7937.1</v>
      </c>
      <c r="D42">
        <v>6.6</v>
      </c>
      <c r="E42" s="3">
        <f t="shared" si="2"/>
        <v>0.1192994381343202</v>
      </c>
      <c r="F42" s="4">
        <f t="shared" si="1"/>
        <v>737.66854268970064</v>
      </c>
    </row>
    <row r="43" spans="1:6">
      <c r="A43" s="7">
        <v>42967</v>
      </c>
      <c r="B43" s="1">
        <v>0.41666666666666669</v>
      </c>
      <c r="C43">
        <v>7940.1</v>
      </c>
      <c r="D43">
        <v>6.6</v>
      </c>
      <c r="E43" s="3">
        <f t="shared" si="2"/>
        <v>0.11879004472798438</v>
      </c>
      <c r="F43" s="4">
        <f t="shared" si="1"/>
        <v>737.61658456225439</v>
      </c>
    </row>
    <row r="44" spans="1:6">
      <c r="A44" s="7">
        <v>42977</v>
      </c>
      <c r="B44" s="1">
        <v>0.41666666666666669</v>
      </c>
      <c r="C44">
        <v>7935.4</v>
      </c>
      <c r="D44">
        <v>7.6</v>
      </c>
      <c r="E44" s="3">
        <f t="shared" si="2"/>
        <v>0.12268422436932572</v>
      </c>
      <c r="F44" s="4">
        <f t="shared" si="1"/>
        <v>738.01379088567126</v>
      </c>
    </row>
    <row r="45" spans="1:6">
      <c r="A45" s="7">
        <v>42988</v>
      </c>
      <c r="B45" s="1">
        <v>0.41666666666666669</v>
      </c>
      <c r="C45">
        <v>7932.8</v>
      </c>
      <c r="D45">
        <v>7.5</v>
      </c>
      <c r="E45" s="3">
        <f t="shared" si="2"/>
        <v>0.12281608557110105</v>
      </c>
      <c r="F45" s="4">
        <f t="shared" si="1"/>
        <v>738.02724072825231</v>
      </c>
    </row>
    <row r="46" spans="1:6">
      <c r="A46" s="7">
        <v>42998</v>
      </c>
      <c r="B46" s="1">
        <v>0.41666666666666669</v>
      </c>
      <c r="C46">
        <v>7938.8</v>
      </c>
      <c r="D46">
        <v>6.8</v>
      </c>
      <c r="E46" s="3">
        <f t="shared" si="2"/>
        <v>0.11963000787863634</v>
      </c>
      <c r="F46" s="4">
        <f t="shared" si="1"/>
        <v>737.7022608036209</v>
      </c>
    </row>
    <row r="47" spans="1:6">
      <c r="A47" s="7">
        <v>43008</v>
      </c>
      <c r="B47" s="1">
        <v>0.41666666666666669</v>
      </c>
      <c r="C47">
        <v>7937.6</v>
      </c>
      <c r="D47">
        <v>6.7</v>
      </c>
      <c r="E47" s="3">
        <f t="shared" si="2"/>
        <v>0.11952415223773619</v>
      </c>
      <c r="F47" s="4">
        <f t="shared" si="1"/>
        <v>737.69146352824907</v>
      </c>
    </row>
    <row r="48" spans="1:6">
      <c r="A48" s="7">
        <v>43018</v>
      </c>
      <c r="B48" s="1">
        <v>0.41666666666666669</v>
      </c>
      <c r="C48">
        <v>7938.6</v>
      </c>
      <c r="D48">
        <v>6.7</v>
      </c>
      <c r="E48" s="3">
        <f t="shared" si="2"/>
        <v>0.11935435443920198</v>
      </c>
      <c r="F48" s="4">
        <f t="shared" si="1"/>
        <v>737.67414415279859</v>
      </c>
    </row>
    <row r="49" spans="1:6">
      <c r="A49" s="7">
        <v>43230</v>
      </c>
      <c r="B49" s="1">
        <v>0.41666666666666669</v>
      </c>
      <c r="C49">
        <v>7947.7</v>
      </c>
      <c r="D49">
        <v>6.9</v>
      </c>
      <c r="E49" s="3">
        <f t="shared" si="2"/>
        <v>0.11842842014372296</v>
      </c>
      <c r="F49" s="4">
        <f t="shared" si="1"/>
        <v>737.5796988546598</v>
      </c>
    </row>
    <row r="50" spans="1:6">
      <c r="A50" s="7">
        <v>43240</v>
      </c>
      <c r="B50" s="1">
        <v>0.41666666666666669</v>
      </c>
      <c r="C50">
        <v>7950.2</v>
      </c>
      <c r="D50">
        <v>7.1</v>
      </c>
      <c r="E50" s="3">
        <f t="shared" si="2"/>
        <v>0.11862315145330279</v>
      </c>
      <c r="F50" s="4">
        <f t="shared" si="1"/>
        <v>737.59956144823684</v>
      </c>
    </row>
    <row r="51" spans="1:6">
      <c r="A51" s="7">
        <v>43250</v>
      </c>
      <c r="B51" s="1">
        <v>0.41666666666666669</v>
      </c>
      <c r="C51">
        <v>7949.7</v>
      </c>
      <c r="D51">
        <v>7.2</v>
      </c>
      <c r="E51" s="3">
        <f t="shared" si="2"/>
        <v>0.11901766339496453</v>
      </c>
      <c r="F51" s="4">
        <f t="shared" si="1"/>
        <v>737.63980166628642</v>
      </c>
    </row>
    <row r="52" spans="1:6">
      <c r="A52" s="7">
        <v>43261</v>
      </c>
      <c r="B52" s="1">
        <v>0.41666666666666669</v>
      </c>
      <c r="C52">
        <v>7942.9</v>
      </c>
      <c r="D52">
        <v>6.9</v>
      </c>
      <c r="E52" s="3">
        <f t="shared" si="2"/>
        <v>0.119243449823971</v>
      </c>
      <c r="F52" s="4">
        <f t="shared" si="1"/>
        <v>737.662831882045</v>
      </c>
    </row>
    <row r="53" spans="1:6">
      <c r="A53" s="7">
        <v>43271</v>
      </c>
      <c r="B53" s="1">
        <v>0.41666666666666669</v>
      </c>
      <c r="C53">
        <v>7882.8</v>
      </c>
      <c r="D53">
        <v>7.1</v>
      </c>
      <c r="E53" s="3">
        <f t="shared" si="2"/>
        <v>0.1300675126577214</v>
      </c>
      <c r="F53" s="4">
        <f t="shared" si="1"/>
        <v>738.76688629108753</v>
      </c>
    </row>
    <row r="54" spans="1:6">
      <c r="A54" s="7">
        <v>43281</v>
      </c>
      <c r="B54" s="1">
        <v>0.41666666666666669</v>
      </c>
      <c r="C54">
        <v>7890.7</v>
      </c>
      <c r="D54">
        <v>6.9</v>
      </c>
      <c r="E54" s="3">
        <f t="shared" si="2"/>
        <v>0.12810688695190603</v>
      </c>
      <c r="F54" s="4">
        <f t="shared" si="1"/>
        <v>738.56690246909443</v>
      </c>
    </row>
    <row r="55" spans="1:6">
      <c r="A55" s="7">
        <v>43291</v>
      </c>
      <c r="B55" s="1">
        <v>0.41666666666666669</v>
      </c>
      <c r="C55">
        <v>7915.2</v>
      </c>
      <c r="D55">
        <v>7.4</v>
      </c>
      <c r="E55" s="3">
        <f t="shared" si="2"/>
        <v>0.12549491204967633</v>
      </c>
      <c r="F55" s="4">
        <f t="shared" si="1"/>
        <v>738.30048102906699</v>
      </c>
    </row>
    <row r="56" spans="1:6">
      <c r="A56" s="7">
        <v>43301</v>
      </c>
      <c r="B56" s="1">
        <v>0.41666666666666669</v>
      </c>
      <c r="C56">
        <v>7923.8</v>
      </c>
      <c r="D56">
        <v>7.3</v>
      </c>
      <c r="E56" s="3">
        <f t="shared" si="2"/>
        <v>0.12372503912682353</v>
      </c>
      <c r="F56" s="4">
        <f t="shared" si="1"/>
        <v>738.11995399093598</v>
      </c>
    </row>
    <row r="57" spans="1:6">
      <c r="A57" s="7">
        <v>43311</v>
      </c>
      <c r="B57" s="1">
        <v>0.41666666666666669</v>
      </c>
      <c r="C57">
        <v>7916.2</v>
      </c>
      <c r="D57">
        <v>7</v>
      </c>
      <c r="E57" s="3">
        <f t="shared" si="2"/>
        <v>0.12408666241141814</v>
      </c>
      <c r="F57" s="4">
        <f t="shared" si="1"/>
        <v>738.15683956596467</v>
      </c>
    </row>
    <row r="58" spans="1:6">
      <c r="A58" s="7">
        <v>43322</v>
      </c>
      <c r="B58" s="1">
        <v>0.41666666666666669</v>
      </c>
      <c r="C58">
        <v>7899.1</v>
      </c>
      <c r="D58">
        <v>7</v>
      </c>
      <c r="E58" s="3">
        <f t="shared" si="2"/>
        <v>0.12699020104068898</v>
      </c>
      <c r="F58" s="4">
        <f t="shared" si="1"/>
        <v>738.45300050615026</v>
      </c>
    </row>
    <row r="59" spans="1:6">
      <c r="A59" s="7">
        <v>43332</v>
      </c>
      <c r="B59" s="1">
        <v>0.41666666666666669</v>
      </c>
      <c r="C59">
        <v>7910.1</v>
      </c>
      <c r="D59">
        <v>6.9</v>
      </c>
      <c r="E59" s="3">
        <f t="shared" ref="E59:E76" si="3">($B$2*C59^2+$B$3*C59+$B$4)-$B$5*D59-$E$7</f>
        <v>0.12481281489349488</v>
      </c>
      <c r="F59" s="4">
        <f t="shared" ref="F59:F76" si="4">$D$1+102*E59</f>
        <v>738.23090711913653</v>
      </c>
    </row>
    <row r="60" spans="1:6">
      <c r="A60" s="7">
        <v>43342</v>
      </c>
      <c r="B60" s="1">
        <v>0.41666666666666669</v>
      </c>
      <c r="C60">
        <v>7902.5</v>
      </c>
      <c r="D60">
        <v>6.9</v>
      </c>
      <c r="E60" s="3">
        <f t="shared" si="3"/>
        <v>0.12610327643309233</v>
      </c>
      <c r="F60" s="4">
        <f t="shared" si="4"/>
        <v>738.36253419617537</v>
      </c>
    </row>
    <row r="61" spans="1:6">
      <c r="A61" s="7">
        <v>43353</v>
      </c>
      <c r="B61" s="1">
        <v>0.41666666666666669</v>
      </c>
      <c r="C61">
        <v>7893.1</v>
      </c>
      <c r="D61">
        <v>6.9</v>
      </c>
      <c r="E61" s="3">
        <f t="shared" si="3"/>
        <v>0.12769937302878992</v>
      </c>
      <c r="F61" s="4">
        <f t="shared" si="4"/>
        <v>738.52533604893654</v>
      </c>
    </row>
    <row r="62" spans="1:6">
      <c r="A62" s="7">
        <v>43363</v>
      </c>
      <c r="B62" s="1">
        <v>0.41666666666666669</v>
      </c>
      <c r="C62">
        <v>7886.2</v>
      </c>
      <c r="D62">
        <v>6.9</v>
      </c>
      <c r="E62" s="3">
        <f t="shared" si="3"/>
        <v>0.12887097544666465</v>
      </c>
      <c r="F62" s="4">
        <f t="shared" si="4"/>
        <v>738.64483949555984</v>
      </c>
    </row>
    <row r="63" spans="1:6">
      <c r="A63" s="7">
        <v>43373</v>
      </c>
      <c r="B63" s="1">
        <v>0.41666666666666669</v>
      </c>
      <c r="C63">
        <v>7897.7</v>
      </c>
      <c r="D63">
        <v>6.7</v>
      </c>
      <c r="E63" s="3">
        <f t="shared" si="3"/>
        <v>0.12629907856095238</v>
      </c>
      <c r="F63" s="4">
        <f t="shared" si="4"/>
        <v>738.38250601321715</v>
      </c>
    </row>
    <row r="64" spans="1:6">
      <c r="A64" s="7">
        <v>43383</v>
      </c>
      <c r="B64" s="1">
        <v>0.41666666666666669</v>
      </c>
      <c r="C64">
        <v>7899.1</v>
      </c>
      <c r="D64">
        <v>6.5</v>
      </c>
      <c r="E64" s="3">
        <f t="shared" si="3"/>
        <v>0.12544213604068899</v>
      </c>
      <c r="F64" s="4">
        <f t="shared" si="4"/>
        <v>738.29509787615029</v>
      </c>
    </row>
    <row r="65" spans="1:6">
      <c r="A65" s="7">
        <v>43393</v>
      </c>
      <c r="B65" s="1">
        <v>0.41666666666666669</v>
      </c>
      <c r="C65">
        <v>7897.4</v>
      </c>
      <c r="D65">
        <v>6.3</v>
      </c>
      <c r="E65" s="3">
        <f t="shared" si="3"/>
        <v>0.12511156581347002</v>
      </c>
      <c r="F65" s="4">
        <f t="shared" si="4"/>
        <v>738.26137971297396</v>
      </c>
    </row>
    <row r="66" spans="1:6">
      <c r="A66" s="7">
        <v>43605</v>
      </c>
      <c r="B66" s="1">
        <v>0.41666666666666669</v>
      </c>
      <c r="C66">
        <v>7907.3</v>
      </c>
      <c r="D66">
        <v>6</v>
      </c>
      <c r="E66" s="3">
        <f t="shared" si="3"/>
        <v>0.1225017311403766</v>
      </c>
      <c r="F66" s="4">
        <f t="shared" si="4"/>
        <v>737.99517657631839</v>
      </c>
    </row>
    <row r="67" spans="1:6">
      <c r="A67" s="7">
        <v>43615</v>
      </c>
      <c r="B67" s="1">
        <v>0.41666666666666669</v>
      </c>
      <c r="C67">
        <v>7912.3</v>
      </c>
      <c r="D67">
        <v>6.2</v>
      </c>
      <c r="E67" s="3">
        <f t="shared" si="3"/>
        <v>0.12227196916016297</v>
      </c>
      <c r="F67" s="4">
        <f t="shared" si="4"/>
        <v>737.97174085433664</v>
      </c>
    </row>
    <row r="68" spans="1:6">
      <c r="A68" s="7">
        <v>43626</v>
      </c>
      <c r="B68" s="1">
        <v>0.41666666666666669</v>
      </c>
      <c r="C68">
        <v>7913.4</v>
      </c>
      <c r="D68">
        <v>6.3</v>
      </c>
      <c r="E68" s="3">
        <f t="shared" si="3"/>
        <v>0.12239480478051032</v>
      </c>
      <c r="F68" s="4">
        <f t="shared" si="4"/>
        <v>737.984270087612</v>
      </c>
    </row>
    <row r="69" spans="1:6">
      <c r="A69" s="7">
        <v>43636</v>
      </c>
      <c r="B69" s="1">
        <v>0.41666666666666669</v>
      </c>
      <c r="C69">
        <v>7915.7</v>
      </c>
      <c r="D69">
        <v>6.3</v>
      </c>
      <c r="E69" s="3">
        <f t="shared" si="3"/>
        <v>0.12200427023144164</v>
      </c>
      <c r="F69" s="4">
        <f t="shared" si="4"/>
        <v>737.94443556360704</v>
      </c>
    </row>
    <row r="70" spans="1:6">
      <c r="A70" s="7">
        <v>43646</v>
      </c>
      <c r="B70" s="1">
        <v>0.41666666666666669</v>
      </c>
      <c r="C70">
        <v>7914.3</v>
      </c>
      <c r="D70">
        <v>6.5</v>
      </c>
      <c r="E70" s="3">
        <f t="shared" si="3"/>
        <v>0.12286121291799112</v>
      </c>
      <c r="F70" s="4">
        <f t="shared" si="4"/>
        <v>738.03184371763507</v>
      </c>
    </row>
    <row r="71" spans="1:6">
      <c r="A71" s="7">
        <v>43656</v>
      </c>
      <c r="B71" s="1">
        <v>0.41666666666666669</v>
      </c>
      <c r="C71">
        <v>7913.8</v>
      </c>
      <c r="D71">
        <v>6.7</v>
      </c>
      <c r="E71" s="3">
        <f t="shared" si="3"/>
        <v>0.12356533773121717</v>
      </c>
      <c r="F71" s="4">
        <f t="shared" si="4"/>
        <v>738.10366444858414</v>
      </c>
    </row>
    <row r="72" spans="1:6">
      <c r="A72" s="7">
        <v>43666</v>
      </c>
      <c r="B72" s="1">
        <v>0.41666666666666669</v>
      </c>
      <c r="C72">
        <v>7913.6</v>
      </c>
      <c r="D72">
        <v>6.7</v>
      </c>
      <c r="E72" s="3">
        <f t="shared" si="3"/>
        <v>0.12359929725600674</v>
      </c>
      <c r="F72" s="4">
        <f t="shared" si="4"/>
        <v>738.10712832011268</v>
      </c>
    </row>
    <row r="73" spans="1:6">
      <c r="A73" s="7">
        <v>43676</v>
      </c>
      <c r="B73" s="1">
        <v>0.41666666666666669</v>
      </c>
      <c r="C73">
        <v>7912.8</v>
      </c>
      <c r="D73">
        <v>6.9</v>
      </c>
      <c r="E73" s="3">
        <f t="shared" si="3"/>
        <v>0.1243543613523031</v>
      </c>
      <c r="F73" s="4">
        <f t="shared" si="4"/>
        <v>738.18414485793494</v>
      </c>
    </row>
    <row r="74" spans="1:6">
      <c r="A74" s="7">
        <v>43687</v>
      </c>
      <c r="B74" s="1">
        <v>0.41666666666666669</v>
      </c>
      <c r="C74">
        <v>7905.3</v>
      </c>
      <c r="D74">
        <v>6.8</v>
      </c>
      <c r="E74" s="3">
        <f t="shared" si="3"/>
        <v>0.1253182302823759</v>
      </c>
      <c r="F74" s="4">
        <f t="shared" si="4"/>
        <v>738.28245948880237</v>
      </c>
    </row>
    <row r="75" spans="1:6">
      <c r="A75" s="7">
        <v>43697</v>
      </c>
      <c r="B75" s="1">
        <v>0.41666666666666669</v>
      </c>
      <c r="C75">
        <v>7892.6</v>
      </c>
      <c r="D75">
        <v>6.9</v>
      </c>
      <c r="E75" s="3">
        <f t="shared" si="3"/>
        <v>0.12778427176617108</v>
      </c>
      <c r="F75" s="4">
        <f t="shared" si="4"/>
        <v>738.53399572014951</v>
      </c>
    </row>
    <row r="76" spans="1:6">
      <c r="A76" s="7">
        <v>43707</v>
      </c>
      <c r="B76" s="1">
        <v>0.41666666666666669</v>
      </c>
      <c r="C76">
        <v>7867.3</v>
      </c>
      <c r="D76">
        <v>6.9</v>
      </c>
      <c r="E76" s="3">
        <f t="shared" si="3"/>
        <v>0.13208014554242525</v>
      </c>
      <c r="F76" s="4">
        <f t="shared" si="4"/>
        <v>738.97217484532734</v>
      </c>
    </row>
  </sheetData>
  <phoneticPr fontId="4" type="noConversion"/>
  <pageMargins left="0.69930555555555596" right="0.69930555555555596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4"/>
  <sheetViews>
    <sheetView topLeftCell="A40" workbookViewId="0">
      <selection activeCell="A58" sqref="A58:B64"/>
    </sheetView>
  </sheetViews>
  <sheetFormatPr defaultColWidth="9" defaultRowHeight="13.5"/>
  <cols>
    <col min="1" max="1" width="11.25" customWidth="1"/>
    <col min="2" max="2" width="13.875" customWidth="1"/>
  </cols>
  <sheetData>
    <row r="1" spans="1:7">
      <c r="A1" t="s">
        <v>0</v>
      </c>
      <c r="B1">
        <v>50403</v>
      </c>
      <c r="C1" t="s">
        <v>1</v>
      </c>
      <c r="D1">
        <v>737.7</v>
      </c>
    </row>
    <row r="2" spans="1:7">
      <c r="A2" t="s">
        <v>2</v>
      </c>
      <c r="B2">
        <f>4.33387*10^-10</f>
        <v>4.3338700000000002E-10</v>
      </c>
    </row>
    <row r="3" spans="1:7">
      <c r="A3" t="s">
        <v>3</v>
      </c>
      <c r="B3">
        <v>-7.6868999999999999E-5</v>
      </c>
    </row>
    <row r="4" spans="1:7">
      <c r="A4" t="s">
        <v>4</v>
      </c>
      <c r="B4">
        <v>0.66251755999999995</v>
      </c>
    </row>
    <row r="5" spans="1:7">
      <c r="A5" t="s">
        <v>5</v>
      </c>
      <c r="B5">
        <v>-1.0497779999999999E-3</v>
      </c>
    </row>
    <row r="6" spans="1:7">
      <c r="A6" t="s">
        <v>6</v>
      </c>
      <c r="B6" t="s">
        <v>7</v>
      </c>
      <c r="C6" t="s">
        <v>8</v>
      </c>
      <c r="D6" t="s">
        <v>9</v>
      </c>
      <c r="E6" t="s">
        <v>10</v>
      </c>
      <c r="F6" t="s">
        <v>11</v>
      </c>
      <c r="G6" t="s">
        <v>12</v>
      </c>
    </row>
    <row r="7" spans="1:7">
      <c r="A7" s="7">
        <v>42531</v>
      </c>
      <c r="B7" s="1">
        <v>0.58333333333333304</v>
      </c>
      <c r="C7" s="2">
        <v>8996</v>
      </c>
      <c r="D7" s="2">
        <v>13.2</v>
      </c>
      <c r="E7" s="3">
        <f>($B$2*C7^2+$B$3*C7+$B$4)-$B$5*D7</f>
        <v>1.9934255670191917E-2</v>
      </c>
      <c r="G7" t="s">
        <v>13</v>
      </c>
    </row>
    <row r="8" spans="1:7">
      <c r="A8" s="7">
        <v>42532</v>
      </c>
      <c r="B8" s="1">
        <v>0.41666666666666702</v>
      </c>
      <c r="C8" s="2">
        <v>8722.5</v>
      </c>
      <c r="D8" s="2">
        <v>6.4</v>
      </c>
      <c r="E8" s="3">
        <f>($B$2*C8^2+$B$3*C8+$B$4)-$B$5*D8-$E$7</f>
        <v>1.1784983472476727E-2</v>
      </c>
      <c r="F8" s="4">
        <f>$D$1+102*E8</f>
        <v>738.90206831419266</v>
      </c>
      <c r="G8" t="s">
        <v>17</v>
      </c>
    </row>
    <row r="9" spans="1:7">
      <c r="A9" s="7">
        <v>42532</v>
      </c>
      <c r="B9" s="1">
        <v>0.4375</v>
      </c>
      <c r="C9" s="2">
        <v>8714.5</v>
      </c>
      <c r="D9" s="2">
        <v>6.3</v>
      </c>
      <c r="E9" s="3">
        <f t="shared" ref="E9:E16" si="0">($B$2*C9^2+$B$3*C9+$B$4)-$B$5*D9-$E$7</f>
        <v>1.2234501919524795E-2</v>
      </c>
      <c r="F9" s="4">
        <f t="shared" ref="F9:F46" si="1">$D$1+102*E9</f>
        <v>738.94791919579154</v>
      </c>
      <c r="G9" t="s">
        <v>25</v>
      </c>
    </row>
    <row r="10" spans="1:7">
      <c r="A10" s="7">
        <v>42533</v>
      </c>
      <c r="B10" s="1">
        <v>0.33333333333333298</v>
      </c>
      <c r="C10" s="2">
        <v>8761.9</v>
      </c>
      <c r="D10" s="2">
        <v>2.7</v>
      </c>
      <c r="E10" s="3">
        <f t="shared" si="0"/>
        <v>5.1707202319911001E-3</v>
      </c>
      <c r="F10" s="4">
        <f t="shared" si="1"/>
        <v>738.22741346366308</v>
      </c>
    </row>
    <row r="11" spans="1:7">
      <c r="A11" s="7">
        <v>42534</v>
      </c>
      <c r="B11" s="1">
        <v>0.33333333333333298</v>
      </c>
      <c r="C11" s="2">
        <v>8761.9</v>
      </c>
      <c r="D11" s="2">
        <v>2.5</v>
      </c>
      <c r="E11" s="3">
        <f t="shared" si="0"/>
        <v>4.9607646319910978E-3</v>
      </c>
      <c r="F11" s="4">
        <f t="shared" si="1"/>
        <v>738.20599799246315</v>
      </c>
    </row>
    <row r="12" spans="1:7">
      <c r="A12" s="7">
        <v>42535</v>
      </c>
      <c r="B12" s="1">
        <v>0.33333333333333298</v>
      </c>
      <c r="C12" s="2">
        <v>8762</v>
      </c>
      <c r="D12" s="2">
        <v>2.4</v>
      </c>
      <c r="E12" s="3">
        <f t="shared" si="0"/>
        <v>4.8488593950360252E-3</v>
      </c>
      <c r="F12" s="4">
        <f t="shared" si="1"/>
        <v>738.19458365829371</v>
      </c>
    </row>
    <row r="13" spans="1:7">
      <c r="A13" s="7">
        <v>42536</v>
      </c>
      <c r="B13" s="1">
        <v>0.33333333333333298</v>
      </c>
      <c r="C13" s="2">
        <v>8775.2999999999993</v>
      </c>
      <c r="D13" s="2">
        <v>2.6</v>
      </c>
      <c r="E13" s="3">
        <f t="shared" si="0"/>
        <v>4.1375431182428847E-3</v>
      </c>
      <c r="F13" s="4">
        <f t="shared" si="1"/>
        <v>738.12202939806082</v>
      </c>
    </row>
    <row r="14" spans="1:7">
      <c r="A14" s="7">
        <v>42537</v>
      </c>
      <c r="B14" s="1">
        <v>0.33333333333333298</v>
      </c>
      <c r="C14" s="2">
        <v>8781.5</v>
      </c>
      <c r="D14" s="2">
        <v>2.7</v>
      </c>
      <c r="E14" s="3">
        <f t="shared" si="0"/>
        <v>3.8131082293087377E-3</v>
      </c>
      <c r="F14" s="4">
        <f t="shared" si="1"/>
        <v>738.08893703938952</v>
      </c>
    </row>
    <row r="15" spans="1:7">
      <c r="A15" s="7">
        <v>42538</v>
      </c>
      <c r="B15" s="1">
        <v>0.33333333333333298</v>
      </c>
      <c r="C15" s="2">
        <v>8785</v>
      </c>
      <c r="D15" s="2">
        <v>2.7</v>
      </c>
      <c r="E15" s="3">
        <f t="shared" si="0"/>
        <v>3.5707125538831271E-3</v>
      </c>
      <c r="F15" s="4">
        <f t="shared" si="1"/>
        <v>738.0642126804961</v>
      </c>
    </row>
    <row r="16" spans="1:7">
      <c r="A16" s="7">
        <v>42544</v>
      </c>
      <c r="B16" s="1">
        <v>0.33333333333333298</v>
      </c>
      <c r="C16" s="2">
        <v>8680.4</v>
      </c>
      <c r="D16" s="2">
        <v>2.7</v>
      </c>
      <c r="E16" s="3">
        <f t="shared" si="0"/>
        <v>1.0819463547278075E-2</v>
      </c>
      <c r="F16" s="4">
        <f t="shared" si="1"/>
        <v>738.80358528182239</v>
      </c>
    </row>
    <row r="17" spans="1:7">
      <c r="A17" s="7">
        <v>42551</v>
      </c>
      <c r="B17" s="9">
        <v>0.33333333333333298</v>
      </c>
      <c r="C17" s="2">
        <v>8811.2999999999993</v>
      </c>
      <c r="D17" s="2">
        <v>2.7</v>
      </c>
      <c r="E17" s="3">
        <f>($B$2*C17^2+$B$3*C17+$B$4)-$B$5*D17-$E$7</f>
        <v>1.7496218555540961E-3</v>
      </c>
      <c r="F17" s="4">
        <f t="shared" si="1"/>
        <v>737.87846142926651</v>
      </c>
    </row>
    <row r="18" spans="1:7">
      <c r="A18" s="7">
        <v>42561</v>
      </c>
      <c r="B18" s="9">
        <v>0.33333333333333298</v>
      </c>
      <c r="C18" s="2">
        <v>8880.5</v>
      </c>
      <c r="D18" s="2">
        <v>2.7</v>
      </c>
      <c r="E18" s="3">
        <f>($B$2*C18^2+$B$3*C18+$B$4)-$B$5*D18-$E$7</f>
        <v>-3.0391291324852292E-3</v>
      </c>
      <c r="F18" s="4">
        <f t="shared" si="1"/>
        <v>737.39000882848654</v>
      </c>
    </row>
    <row r="19" spans="1:7">
      <c r="A19" s="7">
        <v>42571</v>
      </c>
      <c r="B19" s="9">
        <v>0.33333333333333298</v>
      </c>
      <c r="C19" s="2">
        <v>8874.6</v>
      </c>
      <c r="D19" s="2">
        <v>3.2</v>
      </c>
      <c r="E19" s="3">
        <f>($B$2*C19^2+$B$3*C19+$B$4)-$B$5*D19-$E$7</f>
        <v>-2.1061125266750164E-3</v>
      </c>
      <c r="F19" s="4">
        <f t="shared" si="1"/>
        <v>737.48517652227918</v>
      </c>
    </row>
    <row r="20" spans="1:7">
      <c r="A20" s="7">
        <v>42581</v>
      </c>
      <c r="B20" s="9">
        <v>0.33333333333333298</v>
      </c>
      <c r="C20" s="2">
        <v>8903.7000000000007</v>
      </c>
      <c r="D20" s="2">
        <v>5.9</v>
      </c>
      <c r="E20" s="3">
        <f>($B$2*C20^2+$B$3*C20+$B$4)-$B$5*D20-$E$7</f>
        <v>-1.2843876993039946E-3</v>
      </c>
      <c r="F20" s="4">
        <f t="shared" si="1"/>
        <v>737.56899245467105</v>
      </c>
    </row>
    <row r="21" spans="1:7">
      <c r="A21" s="7">
        <v>42592</v>
      </c>
      <c r="B21" s="1">
        <v>0.33333333333333298</v>
      </c>
      <c r="C21" s="2">
        <v>8921.4</v>
      </c>
      <c r="D21" s="2">
        <v>7.3</v>
      </c>
      <c r="E21" s="3">
        <f t="shared" ref="E21:E46" si="2">($B$2*C21^2+$B$3*C21+$B$4)-$B$5*D21-$E$7</f>
        <v>-1.038544350241373E-3</v>
      </c>
      <c r="F21" s="4">
        <f t="shared" si="1"/>
        <v>737.59406847627542</v>
      </c>
    </row>
    <row r="22" spans="1:7">
      <c r="A22" s="7">
        <v>42602</v>
      </c>
      <c r="B22" s="1">
        <v>0.33333333333333298</v>
      </c>
      <c r="C22" s="2">
        <v>8947.5</v>
      </c>
      <c r="D22" s="2">
        <v>9.1</v>
      </c>
      <c r="E22" s="3">
        <f t="shared" si="2"/>
        <v>-9.5310256227324266E-4</v>
      </c>
      <c r="F22" s="4">
        <f t="shared" si="1"/>
        <v>737.60278353864817</v>
      </c>
    </row>
    <row r="23" spans="1:7">
      <c r="A23" s="7">
        <v>42612</v>
      </c>
      <c r="B23" s="1">
        <v>0.33333333333333298</v>
      </c>
      <c r="C23" s="2">
        <v>8954.7999999999993</v>
      </c>
      <c r="D23" s="2">
        <v>10.3</v>
      </c>
      <c r="E23" s="3">
        <f t="shared" si="2"/>
        <v>-1.9787470641542335E-4</v>
      </c>
      <c r="F23" s="4">
        <f t="shared" si="1"/>
        <v>737.67981677994567</v>
      </c>
    </row>
    <row r="24" spans="1:7">
      <c r="A24" s="7">
        <v>42623</v>
      </c>
      <c r="B24" s="1">
        <v>0.33333333333333298</v>
      </c>
      <c r="C24" s="2">
        <v>8963.6</v>
      </c>
      <c r="D24" s="2">
        <v>11.1</v>
      </c>
      <c r="E24" s="3">
        <f t="shared" si="2"/>
        <v>3.3837787847566803E-5</v>
      </c>
      <c r="F24" s="4">
        <f t="shared" si="1"/>
        <v>737.70345145436045</v>
      </c>
      <c r="G24" s="2"/>
    </row>
    <row r="25" spans="1:7">
      <c r="A25" s="7">
        <v>42633</v>
      </c>
      <c r="B25" s="1">
        <v>0.33333333333333331</v>
      </c>
      <c r="C25" s="2">
        <v>8933</v>
      </c>
      <c r="D25" s="2">
        <v>11.5</v>
      </c>
      <c r="E25" s="3">
        <f t="shared" si="2"/>
        <v>2.5686020820510184E-3</v>
      </c>
      <c r="F25" s="4">
        <f t="shared" si="1"/>
        <v>737.96199741236921</v>
      </c>
      <c r="G25" s="2"/>
    </row>
    <row r="26" spans="1:7">
      <c r="A26" s="7">
        <v>42643</v>
      </c>
      <c r="B26" s="1">
        <v>0.33333333333333331</v>
      </c>
      <c r="C26" s="2">
        <v>9003.7000000000007</v>
      </c>
      <c r="D26" s="2">
        <v>11.7</v>
      </c>
      <c r="E26" s="3">
        <f t="shared" si="2"/>
        <v>-2.1064918629239114E-3</v>
      </c>
      <c r="F26" s="4">
        <f t="shared" si="1"/>
        <v>737.4851378299818</v>
      </c>
      <c r="G26" s="2"/>
    </row>
    <row r="27" spans="1:7">
      <c r="A27" s="6">
        <v>42926</v>
      </c>
      <c r="B27" s="1">
        <v>0.33333333333333331</v>
      </c>
      <c r="C27" s="2">
        <v>8978.5</v>
      </c>
      <c r="D27" s="2">
        <v>9.1999999999999993</v>
      </c>
      <c r="E27" s="3">
        <f t="shared" si="2"/>
        <v>-2.9902280060511953E-3</v>
      </c>
      <c r="F27" s="4">
        <f t="shared" si="1"/>
        <v>737.39499674338288</v>
      </c>
      <c r="G27" s="2"/>
    </row>
    <row r="28" spans="1:7">
      <c r="A28" s="7">
        <v>42936</v>
      </c>
      <c r="B28" s="1">
        <v>0.33333333333333331</v>
      </c>
      <c r="C28" s="2">
        <v>8959.2999999999993</v>
      </c>
      <c r="D28" s="2">
        <v>9.1</v>
      </c>
      <c r="E28" s="3">
        <f t="shared" si="2"/>
        <v>-1.7685819851603092E-3</v>
      </c>
      <c r="F28" s="4">
        <f t="shared" si="1"/>
        <v>737.51960463751368</v>
      </c>
    </row>
    <row r="29" spans="1:7">
      <c r="A29" s="7">
        <v>42946</v>
      </c>
      <c r="B29" s="1">
        <v>0.33333333333333331</v>
      </c>
      <c r="C29" s="2">
        <v>8961.4</v>
      </c>
      <c r="D29" s="2">
        <v>9</v>
      </c>
      <c r="E29" s="3">
        <f t="shared" si="2"/>
        <v>-2.0186748284974528E-3</v>
      </c>
      <c r="F29" s="4">
        <f t="shared" si="1"/>
        <v>737.49409516749336</v>
      </c>
    </row>
    <row r="30" spans="1:7">
      <c r="A30" s="7">
        <v>42957</v>
      </c>
      <c r="B30" s="1">
        <v>0.33333333333333331</v>
      </c>
      <c r="C30" s="2">
        <v>8948.7999999999993</v>
      </c>
      <c r="D30" s="2">
        <v>8.8000000000000007</v>
      </c>
      <c r="E30" s="3">
        <f t="shared" si="2"/>
        <v>-1.3578828313746509E-3</v>
      </c>
      <c r="F30" s="4">
        <f t="shared" si="1"/>
        <v>737.56149595119984</v>
      </c>
    </row>
    <row r="31" spans="1:7">
      <c r="A31" s="7">
        <v>42967</v>
      </c>
      <c r="B31" s="1">
        <v>0.33333333333333331</v>
      </c>
      <c r="C31" s="2">
        <v>8959.2000000000007</v>
      </c>
      <c r="D31" s="2">
        <v>8.6999999999999993</v>
      </c>
      <c r="E31" s="3">
        <f t="shared" si="2"/>
        <v>-2.1815828496563813E-3</v>
      </c>
      <c r="F31" s="4">
        <f t="shared" si="1"/>
        <v>737.47747854933505</v>
      </c>
    </row>
    <row r="32" spans="1:7">
      <c r="A32" s="7">
        <v>42977</v>
      </c>
      <c r="B32" s="1">
        <v>0.33333333333333331</v>
      </c>
      <c r="C32" s="2">
        <v>8944.2999999999993</v>
      </c>
      <c r="D32" s="2">
        <v>9.5</v>
      </c>
      <c r="E32" s="3">
        <f t="shared" si="2"/>
        <v>-3.1202359755832035E-4</v>
      </c>
      <c r="F32" s="4">
        <f t="shared" si="1"/>
        <v>737.66817359304912</v>
      </c>
    </row>
    <row r="33" spans="1:6">
      <c r="A33" s="7">
        <v>42988</v>
      </c>
      <c r="B33" s="1">
        <v>0.33333333333333331</v>
      </c>
      <c r="C33" s="2">
        <v>8937.1</v>
      </c>
      <c r="D33" s="2">
        <v>9</v>
      </c>
      <c r="E33" s="3">
        <f t="shared" si="2"/>
        <v>-3.3925267493125147E-4</v>
      </c>
      <c r="F33" s="4">
        <f t="shared" si="1"/>
        <v>737.66539622715709</v>
      </c>
    </row>
    <row r="34" spans="1:6">
      <c r="A34" s="7">
        <v>42998</v>
      </c>
      <c r="B34" s="1">
        <v>0.33333333333333331</v>
      </c>
      <c r="C34" s="2">
        <v>8942.2999999999993</v>
      </c>
      <c r="D34" s="2">
        <v>8</v>
      </c>
      <c r="E34" s="3">
        <f t="shared" si="2"/>
        <v>-1.7484562373866336E-3</v>
      </c>
      <c r="F34" s="4">
        <f t="shared" si="1"/>
        <v>737.5216574637866</v>
      </c>
    </row>
    <row r="35" spans="1:6">
      <c r="A35" s="7">
        <v>43008</v>
      </c>
      <c r="B35" s="1">
        <v>0.33333333333333331</v>
      </c>
      <c r="C35" s="2">
        <v>8946.2999999999993</v>
      </c>
      <c r="D35" s="2">
        <v>7.9</v>
      </c>
      <c r="E35" s="3">
        <f t="shared" si="2"/>
        <v>-2.1298992906338375E-3</v>
      </c>
      <c r="F35" s="4">
        <f t="shared" si="1"/>
        <v>737.48275027235536</v>
      </c>
    </row>
    <row r="36" spans="1:6">
      <c r="A36" s="7">
        <v>43018</v>
      </c>
      <c r="B36" s="1">
        <v>0.33333333333333331</v>
      </c>
      <c r="C36" s="2">
        <v>8948.1</v>
      </c>
      <c r="D36" s="2">
        <v>8.5</v>
      </c>
      <c r="E36" s="3">
        <f t="shared" si="2"/>
        <v>-1.624437330034964E-3</v>
      </c>
      <c r="F36" s="4">
        <f t="shared" si="1"/>
        <v>737.53430739233647</v>
      </c>
    </row>
    <row r="37" spans="1:6">
      <c r="A37" s="7">
        <v>43230</v>
      </c>
      <c r="B37" s="1">
        <v>0.33333333333333331</v>
      </c>
      <c r="C37" s="2">
        <v>8955.5</v>
      </c>
      <c r="D37" s="2">
        <v>8.3000000000000007</v>
      </c>
      <c r="E37" s="3">
        <f t="shared" si="2"/>
        <v>-2.3458055425851325E-3</v>
      </c>
      <c r="F37" s="4">
        <f t="shared" si="1"/>
        <v>737.46072783465638</v>
      </c>
    </row>
    <row r="38" spans="1:6">
      <c r="A38" s="7">
        <v>43240</v>
      </c>
      <c r="B38" s="1">
        <v>0.33333333333333331</v>
      </c>
      <c r="C38" s="2">
        <v>8653</v>
      </c>
      <c r="D38" s="2">
        <v>8.3000000000000007</v>
      </c>
      <c r="E38" s="3">
        <f t="shared" si="2"/>
        <v>1.8598600223091E-2</v>
      </c>
      <c r="F38" s="4">
        <f t="shared" si="1"/>
        <v>739.59705722275532</v>
      </c>
    </row>
    <row r="39" spans="1:6">
      <c r="A39" s="7">
        <v>43250</v>
      </c>
      <c r="B39" s="1">
        <v>0.33333333333333331</v>
      </c>
      <c r="C39" s="2">
        <v>8946.6</v>
      </c>
      <c r="D39" s="2">
        <v>8.4</v>
      </c>
      <c r="E39" s="3">
        <f t="shared" si="2"/>
        <v>-1.6257446255582807E-3</v>
      </c>
      <c r="F39" s="4">
        <f t="shared" si="1"/>
        <v>737.53417404819311</v>
      </c>
    </row>
    <row r="40" spans="1:6">
      <c r="A40" s="7">
        <v>43261</v>
      </c>
      <c r="B40" s="1">
        <v>0.33333333333333331</v>
      </c>
      <c r="C40" s="2">
        <v>8955.7000000000007</v>
      </c>
      <c r="D40" s="2">
        <v>8.4</v>
      </c>
      <c r="E40" s="3">
        <f t="shared" si="2"/>
        <v>-2.2546490463383993E-3</v>
      </c>
      <c r="F40" s="4">
        <f t="shared" si="1"/>
        <v>737.47002579727348</v>
      </c>
    </row>
    <row r="41" spans="1:6">
      <c r="A41" s="7">
        <v>43271</v>
      </c>
      <c r="B41" s="1">
        <v>0.33333333333333331</v>
      </c>
      <c r="C41" s="2">
        <v>8857.2000000000007</v>
      </c>
      <c r="D41" s="2">
        <v>8.1999999999999993</v>
      </c>
      <c r="E41" s="3">
        <f t="shared" si="2"/>
        <v>4.3465837433699986E-3</v>
      </c>
      <c r="F41" s="4">
        <f t="shared" si="1"/>
        <v>738.14335154182379</v>
      </c>
    </row>
    <row r="42" spans="1:6">
      <c r="A42" s="7">
        <v>43281</v>
      </c>
      <c r="B42" s="1">
        <v>0.33333333333333331</v>
      </c>
      <c r="C42" s="2">
        <v>8893</v>
      </c>
      <c r="D42" s="2">
        <v>8</v>
      </c>
      <c r="E42" s="3">
        <f t="shared" si="2"/>
        <v>1.660116815571086E-3</v>
      </c>
      <c r="F42" s="4">
        <f t="shared" si="1"/>
        <v>737.86933191518824</v>
      </c>
    </row>
    <row r="43" spans="1:6">
      <c r="A43" s="7">
        <v>43291</v>
      </c>
      <c r="B43" s="1">
        <v>0.33333333333333331</v>
      </c>
      <c r="C43" s="2">
        <v>8959.6</v>
      </c>
      <c r="D43" s="2">
        <v>8.5</v>
      </c>
      <c r="E43" s="3">
        <f t="shared" si="2"/>
        <v>-2.4191797396660303E-3</v>
      </c>
      <c r="F43" s="4">
        <f t="shared" si="1"/>
        <v>737.45324366655416</v>
      </c>
    </row>
    <row r="44" spans="1:6">
      <c r="A44" s="7">
        <v>43301</v>
      </c>
      <c r="B44" s="1">
        <v>0.33333333333333331</v>
      </c>
      <c r="C44" s="2">
        <v>8951.6</v>
      </c>
      <c r="D44" s="2">
        <v>8.1999999999999993</v>
      </c>
      <c r="E44" s="3">
        <f t="shared" si="2"/>
        <v>-2.181260989541238E-3</v>
      </c>
      <c r="F44" s="4">
        <f t="shared" si="1"/>
        <v>737.47751137906687</v>
      </c>
    </row>
    <row r="45" spans="1:6">
      <c r="A45" s="7">
        <v>43311</v>
      </c>
      <c r="B45" s="1">
        <v>0.33333333333333331</v>
      </c>
      <c r="C45" s="2">
        <v>8948.9</v>
      </c>
      <c r="D45" s="2">
        <v>8</v>
      </c>
      <c r="E45" s="3">
        <f t="shared" si="2"/>
        <v>-2.2046164683236086E-3</v>
      </c>
      <c r="F45" s="4">
        <f t="shared" si="1"/>
        <v>737.47512912023103</v>
      </c>
    </row>
    <row r="46" spans="1:6">
      <c r="A46" s="7">
        <v>43322</v>
      </c>
      <c r="B46" s="1">
        <v>0.33333333333333331</v>
      </c>
      <c r="C46" s="2">
        <v>8903.1</v>
      </c>
      <c r="D46" s="2">
        <v>8</v>
      </c>
      <c r="E46" s="3">
        <f t="shared" si="2"/>
        <v>9.6163715931706084E-4</v>
      </c>
      <c r="F46" s="4">
        <f t="shared" si="1"/>
        <v>737.79808699025034</v>
      </c>
    </row>
    <row r="47" spans="1:6">
      <c r="A47" s="7">
        <v>43332</v>
      </c>
      <c r="B47" s="1">
        <v>0.33333333333333331</v>
      </c>
      <c r="C47" s="2">
        <v>8933.9</v>
      </c>
      <c r="D47" s="2">
        <v>7.9</v>
      </c>
      <c r="E47" s="3">
        <f t="shared" ref="E47:E64" si="3">($B$2*C47^2+$B$3*C47+$B$4)-$B$5*D47-$E$7</f>
        <v>-1.272811863977704E-3</v>
      </c>
      <c r="F47" s="4">
        <f t="shared" ref="F47:F64" si="4">$D$1+102*E47</f>
        <v>737.57017318987437</v>
      </c>
    </row>
    <row r="48" spans="1:6">
      <c r="A48" s="7">
        <v>43342</v>
      </c>
      <c r="B48" s="1">
        <v>0.33333333333333331</v>
      </c>
      <c r="C48" s="2">
        <v>8902.7000000000007</v>
      </c>
      <c r="D48" s="2">
        <v>8</v>
      </c>
      <c r="E48" s="3">
        <f t="shared" si="3"/>
        <v>9.8929803841917019E-4</v>
      </c>
      <c r="F48" s="4">
        <f t="shared" si="4"/>
        <v>737.80090839991885</v>
      </c>
    </row>
    <row r="49" spans="1:6">
      <c r="A49" s="7">
        <v>43353</v>
      </c>
      <c r="B49" s="1">
        <v>0.33333333333333331</v>
      </c>
      <c r="C49" s="2">
        <v>8881.9</v>
      </c>
      <c r="D49" s="2">
        <v>7.9</v>
      </c>
      <c r="E49" s="3">
        <f t="shared" si="3"/>
        <v>2.3228770580631698E-3</v>
      </c>
      <c r="F49" s="4">
        <f t="shared" si="4"/>
        <v>737.93693345992244</v>
      </c>
    </row>
    <row r="50" spans="1:6">
      <c r="A50" s="7">
        <v>43363</v>
      </c>
      <c r="B50" s="1">
        <v>0.33333333333333331</v>
      </c>
      <c r="C50" s="2">
        <v>8873.9</v>
      </c>
      <c r="D50" s="2">
        <v>7.8</v>
      </c>
      <c r="E50" s="3">
        <f t="shared" si="3"/>
        <v>2.7712901949063125E-3</v>
      </c>
      <c r="F50" s="4">
        <f t="shared" si="4"/>
        <v>737.98267159988052</v>
      </c>
    </row>
    <row r="51" spans="1:6">
      <c r="A51" s="7">
        <v>43373</v>
      </c>
      <c r="B51" s="1">
        <v>0.33333333333333331</v>
      </c>
      <c r="C51" s="2">
        <v>8891.7000000000007</v>
      </c>
      <c r="D51" s="2">
        <v>7.5</v>
      </c>
      <c r="E51" s="3">
        <f t="shared" si="3"/>
        <v>1.2251375604585141E-3</v>
      </c>
      <c r="F51" s="4">
        <f t="shared" si="4"/>
        <v>737.82496403116681</v>
      </c>
    </row>
    <row r="52" spans="1:6">
      <c r="A52" s="7">
        <v>43383</v>
      </c>
      <c r="B52" s="1">
        <v>0.33333333333333331</v>
      </c>
      <c r="C52" s="2">
        <v>8862.2999999999993</v>
      </c>
      <c r="D52" s="2">
        <v>7.4</v>
      </c>
      <c r="E52" s="3">
        <f t="shared" si="3"/>
        <v>3.1538943881973293E-3</v>
      </c>
      <c r="F52" s="4">
        <f t="shared" si="4"/>
        <v>738.02169722759618</v>
      </c>
    </row>
    <row r="53" spans="1:6">
      <c r="A53" s="7">
        <v>43393</v>
      </c>
      <c r="B53" s="1">
        <v>0.33333333333333331</v>
      </c>
      <c r="C53" s="2">
        <v>8857.4</v>
      </c>
      <c r="D53" s="2">
        <v>7.2</v>
      </c>
      <c r="E53" s="3">
        <f t="shared" si="3"/>
        <v>3.2829673988401635E-3</v>
      </c>
      <c r="F53" s="4">
        <f t="shared" si="4"/>
        <v>738.03486267468179</v>
      </c>
    </row>
    <row r="54" spans="1:6">
      <c r="A54" s="7">
        <v>43605</v>
      </c>
      <c r="B54" s="1">
        <v>0.33333333333333331</v>
      </c>
      <c r="C54" s="2">
        <v>8862.5</v>
      </c>
      <c r="D54" s="2">
        <v>7</v>
      </c>
      <c r="E54" s="3">
        <f t="shared" si="3"/>
        <v>2.7201457277768355E-3</v>
      </c>
      <c r="F54" s="4">
        <f t="shared" si="4"/>
        <v>737.97745486423332</v>
      </c>
    </row>
    <row r="55" spans="1:6">
      <c r="A55" s="7">
        <v>43615</v>
      </c>
      <c r="B55" s="1">
        <v>0.33333333333333331</v>
      </c>
      <c r="C55" s="2">
        <v>8867.2999999999993</v>
      </c>
      <c r="D55" s="2">
        <v>6.8</v>
      </c>
      <c r="E55" s="3">
        <f t="shared" si="3"/>
        <v>2.1781014789733141E-3</v>
      </c>
      <c r="F55" s="4">
        <f t="shared" si="4"/>
        <v>737.92216635085538</v>
      </c>
    </row>
    <row r="56" spans="1:6">
      <c r="A56" s="7">
        <v>43626</v>
      </c>
      <c r="B56" s="1">
        <v>0.33333333333333331</v>
      </c>
      <c r="C56" s="2">
        <v>8869.4</v>
      </c>
      <c r="D56" s="2">
        <v>7.1</v>
      </c>
      <c r="E56" s="3">
        <f t="shared" si="3"/>
        <v>2.3477523748993388E-3</v>
      </c>
      <c r="F56" s="4">
        <f t="shared" si="4"/>
        <v>737.93947074223979</v>
      </c>
    </row>
    <row r="57" spans="1:6">
      <c r="A57" s="7">
        <v>43636</v>
      </c>
      <c r="B57" s="1">
        <v>0.33333333333333331</v>
      </c>
      <c r="C57" s="2">
        <v>8872.4</v>
      </c>
      <c r="D57" s="2">
        <v>7.3</v>
      </c>
      <c r="E57" s="3">
        <f t="shared" si="3"/>
        <v>2.3501681713292075E-3</v>
      </c>
      <c r="F57" s="4">
        <f t="shared" si="4"/>
        <v>737.93971715347561</v>
      </c>
    </row>
    <row r="58" spans="1:6">
      <c r="A58" s="7">
        <v>43646</v>
      </c>
      <c r="B58" s="1">
        <v>0.33333333333333331</v>
      </c>
      <c r="C58" s="2">
        <v>8880.2999999999993</v>
      </c>
      <c r="D58" s="2">
        <v>7.5</v>
      </c>
      <c r="E58" s="3">
        <f t="shared" si="3"/>
        <v>2.0136396075488699E-3</v>
      </c>
      <c r="F58" s="4">
        <f t="shared" si="4"/>
        <v>737.90539123997007</v>
      </c>
    </row>
    <row r="59" spans="1:6">
      <c r="A59" s="7">
        <v>43656</v>
      </c>
      <c r="B59" s="1">
        <v>0.33333333333333331</v>
      </c>
      <c r="C59" s="2">
        <v>8897.4</v>
      </c>
      <c r="D59" s="2">
        <v>7.6</v>
      </c>
      <c r="E59" s="3">
        <f t="shared" si="3"/>
        <v>9.3590657914415995E-4</v>
      </c>
      <c r="F59" s="4">
        <f t="shared" si="4"/>
        <v>737.79546247107271</v>
      </c>
    </row>
    <row r="60" spans="1:6">
      <c r="A60" s="7">
        <v>43666</v>
      </c>
      <c r="B60" s="1">
        <v>0.33333333333333331</v>
      </c>
      <c r="C60" s="2">
        <v>8905.2999999999993</v>
      </c>
      <c r="D60" s="2">
        <v>7.6</v>
      </c>
      <c r="E60" s="3">
        <f t="shared" si="3"/>
        <v>3.8959360322892919E-4</v>
      </c>
      <c r="F60" s="4">
        <f t="shared" si="4"/>
        <v>737.73973854752944</v>
      </c>
    </row>
    <row r="61" spans="1:6">
      <c r="A61" s="7">
        <v>43676</v>
      </c>
      <c r="B61" s="1">
        <v>0.33333333333333331</v>
      </c>
      <c r="C61" s="2">
        <v>8825.2999999999993</v>
      </c>
      <c r="D61" s="2">
        <v>7.8</v>
      </c>
      <c r="E61" s="3">
        <f t="shared" si="3"/>
        <v>6.1343322798529561E-3</v>
      </c>
      <c r="F61" s="4">
        <f t="shared" si="4"/>
        <v>738.325701892545</v>
      </c>
    </row>
    <row r="62" spans="1:6">
      <c r="A62" s="7">
        <v>43687</v>
      </c>
      <c r="B62" s="1">
        <v>0.33333333333333331</v>
      </c>
      <c r="C62" s="2">
        <v>8815.6</v>
      </c>
      <c r="D62" s="2">
        <v>7.9</v>
      </c>
      <c r="E62" s="3">
        <f t="shared" si="3"/>
        <v>6.9107796135882728E-3</v>
      </c>
      <c r="F62" s="4">
        <f t="shared" si="4"/>
        <v>738.40489952058601</v>
      </c>
    </row>
    <row r="63" spans="1:6">
      <c r="A63" s="7">
        <v>43697</v>
      </c>
      <c r="B63" s="1">
        <v>0.33333333333333331</v>
      </c>
      <c r="C63" s="2">
        <v>8801.2999999999993</v>
      </c>
      <c r="D63" s="2">
        <v>7.5</v>
      </c>
      <c r="E63" s="3">
        <f t="shared" si="3"/>
        <v>7.4809155367921015E-3</v>
      </c>
      <c r="F63" s="4">
        <f t="shared" si="4"/>
        <v>738.46305338475281</v>
      </c>
    </row>
    <row r="64" spans="1:6">
      <c r="A64" s="7">
        <v>43707</v>
      </c>
      <c r="B64" s="1">
        <v>0.33333333333333331</v>
      </c>
      <c r="C64" s="2">
        <v>8790.6</v>
      </c>
      <c r="D64" s="2">
        <v>7.6</v>
      </c>
      <c r="E64" s="3">
        <f t="shared" si="3"/>
        <v>8.3268137586032763E-3</v>
      </c>
      <c r="F64" s="4">
        <f t="shared" si="4"/>
        <v>738.54933500337756</v>
      </c>
    </row>
  </sheetData>
  <phoneticPr fontId="4" type="noConversion"/>
  <pageMargins left="0.69930555555555596" right="0.69930555555555596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3"/>
  <sheetViews>
    <sheetView topLeftCell="A42" workbookViewId="0">
      <selection activeCell="A57" sqref="A57:B63"/>
    </sheetView>
  </sheetViews>
  <sheetFormatPr defaultColWidth="9" defaultRowHeight="13.5"/>
  <cols>
    <col min="1" max="1" width="11.125" customWidth="1"/>
    <col min="2" max="2" width="13.875" customWidth="1"/>
  </cols>
  <sheetData>
    <row r="1" spans="1:7">
      <c r="A1" t="s">
        <v>0</v>
      </c>
      <c r="B1">
        <v>50393</v>
      </c>
      <c r="C1" t="s">
        <v>1</v>
      </c>
      <c r="D1">
        <v>737.7</v>
      </c>
    </row>
    <row r="2" spans="1:7">
      <c r="A2" t="s">
        <v>2</v>
      </c>
      <c r="B2">
        <f>8.8654*10^-10</f>
        <v>8.8653999999999992E-10</v>
      </c>
    </row>
    <row r="3" spans="1:7">
      <c r="A3" t="s">
        <v>3</v>
      </c>
      <c r="B3">
        <v>-9.5833000000000002E-5</v>
      </c>
    </row>
    <row r="4" spans="1:7">
      <c r="A4" t="s">
        <v>4</v>
      </c>
      <c r="B4">
        <v>0.75278252999999995</v>
      </c>
    </row>
    <row r="5" spans="1:7">
      <c r="A5" t="s">
        <v>5</v>
      </c>
      <c r="B5">
        <v>-1.132484E-3</v>
      </c>
    </row>
    <row r="6" spans="1:7">
      <c r="A6" t="s">
        <v>6</v>
      </c>
      <c r="B6" t="s">
        <v>7</v>
      </c>
      <c r="C6" t="s">
        <v>8</v>
      </c>
      <c r="D6" t="s">
        <v>9</v>
      </c>
      <c r="E6" t="s">
        <v>10</v>
      </c>
      <c r="F6" t="s">
        <v>11</v>
      </c>
      <c r="G6" t="s">
        <v>12</v>
      </c>
    </row>
    <row r="7" spans="1:7">
      <c r="A7" s="7">
        <v>42531</v>
      </c>
      <c r="B7" s="1">
        <v>0.58333333333333304</v>
      </c>
      <c r="C7" s="2">
        <v>8346.9</v>
      </c>
      <c r="D7" s="2">
        <v>12.9</v>
      </c>
      <c r="E7" s="3">
        <f>($B$2*C7^2+$B$3*C7+$B$4)-$B$5*D7</f>
        <v>2.9249003393849355E-2</v>
      </c>
      <c r="G7" t="s">
        <v>13</v>
      </c>
    </row>
    <row r="8" spans="1:7">
      <c r="A8" s="7">
        <v>42532</v>
      </c>
      <c r="B8" s="1">
        <v>0.66666666666666696</v>
      </c>
      <c r="C8" s="2">
        <v>8236.4</v>
      </c>
      <c r="D8" s="2">
        <v>9.6999999999999993</v>
      </c>
      <c r="E8" s="3">
        <f>($B$2*C8^2+$B$3*C8+$B$4)-$B$5*D8-$E$7</f>
        <v>5.3410533545889503E-3</v>
      </c>
      <c r="F8" s="4">
        <f>$D$1+102*E8</f>
        <v>738.2447874421681</v>
      </c>
      <c r="G8" s="5" t="s">
        <v>14</v>
      </c>
    </row>
    <row r="9" spans="1:7">
      <c r="A9" s="7">
        <v>42533</v>
      </c>
      <c r="B9" s="1">
        <v>0.33333333333333298</v>
      </c>
      <c r="C9" s="2">
        <v>8166.8</v>
      </c>
      <c r="D9" s="2">
        <v>2.5</v>
      </c>
      <c r="E9" s="3">
        <f t="shared" ref="E9:E15" si="0">($B$2*C9^2+$B$3*C9+$B$4)-$B$5*D9-$E$7</f>
        <v>2.8450156868002445E-3</v>
      </c>
      <c r="F9" s="4">
        <f t="shared" ref="F9:F45" si="1">$D$1+102*E9</f>
        <v>737.99019160005366</v>
      </c>
    </row>
    <row r="10" spans="1:7">
      <c r="A10" s="7">
        <v>42534</v>
      </c>
      <c r="B10" s="1">
        <v>0.33333333333333298</v>
      </c>
      <c r="C10" s="2">
        <v>8169.3</v>
      </c>
      <c r="D10" s="2">
        <v>2.5</v>
      </c>
      <c r="E10" s="3">
        <f t="shared" si="0"/>
        <v>2.6416397020351916E-3</v>
      </c>
      <c r="F10" s="4">
        <f t="shared" si="1"/>
        <v>737.96944724960758</v>
      </c>
    </row>
    <row r="11" spans="1:7">
      <c r="A11" s="7">
        <v>42535</v>
      </c>
      <c r="B11" s="1">
        <v>0.33333333333333298</v>
      </c>
      <c r="C11" s="2">
        <v>8172</v>
      </c>
      <c r="D11" s="2">
        <v>2.4</v>
      </c>
      <c r="E11" s="3">
        <f t="shared" si="0"/>
        <v>2.3087576855105284E-3</v>
      </c>
      <c r="F11" s="4">
        <f t="shared" si="1"/>
        <v>737.93549328392214</v>
      </c>
    </row>
    <row r="12" spans="1:7">
      <c r="A12" s="7">
        <v>42536</v>
      </c>
      <c r="B12" s="1">
        <v>0.33333333333333298</v>
      </c>
      <c r="C12" s="2">
        <v>8176.9</v>
      </c>
      <c r="D12" s="2">
        <v>2.4</v>
      </c>
      <c r="E12" s="3">
        <f t="shared" si="0"/>
        <v>1.9101963591600067E-3</v>
      </c>
      <c r="F12" s="4">
        <f t="shared" si="1"/>
        <v>737.89484002863435</v>
      </c>
    </row>
    <row r="13" spans="1:7">
      <c r="A13" s="7">
        <v>42537</v>
      </c>
      <c r="B13" s="1">
        <v>0.33333333333333298</v>
      </c>
      <c r="C13" s="2">
        <v>8195.7999999999993</v>
      </c>
      <c r="D13" s="2">
        <v>2.5</v>
      </c>
      <c r="E13" s="3">
        <f t="shared" si="0"/>
        <v>4.8653556951623253E-4</v>
      </c>
      <c r="F13" s="4">
        <f t="shared" si="1"/>
        <v>737.74962662809071</v>
      </c>
    </row>
    <row r="14" spans="1:7">
      <c r="A14" s="7">
        <v>42538</v>
      </c>
      <c r="B14" s="1">
        <v>0.33333333333333298</v>
      </c>
      <c r="C14" s="2">
        <v>8203.2000000000007</v>
      </c>
      <c r="D14" s="2">
        <v>2.5</v>
      </c>
      <c r="E14" s="3">
        <f t="shared" si="0"/>
        <v>-1.1504469647987195E-4</v>
      </c>
      <c r="F14" s="4">
        <f t="shared" si="1"/>
        <v>737.68826544095907</v>
      </c>
    </row>
    <row r="15" spans="1:7">
      <c r="A15" s="7">
        <v>42544</v>
      </c>
      <c r="B15" s="1">
        <v>0.33333333333333298</v>
      </c>
      <c r="C15" s="2">
        <v>8107.6</v>
      </c>
      <c r="D15" s="2">
        <v>2.4</v>
      </c>
      <c r="E15" s="3">
        <f t="shared" si="0"/>
        <v>7.5509488175009541E-3</v>
      </c>
      <c r="F15" s="4">
        <f t="shared" si="1"/>
        <v>738.47019677938511</v>
      </c>
    </row>
    <row r="16" spans="1:7">
      <c r="A16" s="7">
        <v>42551</v>
      </c>
      <c r="B16" s="9">
        <v>0.33333333333333298</v>
      </c>
      <c r="C16" s="2">
        <v>8251.9</v>
      </c>
      <c r="D16" s="2">
        <v>2.7</v>
      </c>
      <c r="E16" s="3">
        <f>($B$2*C16^2+$B$3*C16+$B$4)-$B$5*D16-$E$7</f>
        <v>-3.8451743144400016E-3</v>
      </c>
      <c r="F16" s="4">
        <f t="shared" si="1"/>
        <v>737.30779221992714</v>
      </c>
    </row>
    <row r="17" spans="1:7">
      <c r="A17" s="7">
        <v>42561</v>
      </c>
      <c r="B17" s="9">
        <v>0.33333333333333298</v>
      </c>
      <c r="C17" s="2">
        <v>8267</v>
      </c>
      <c r="D17" s="2">
        <v>4</v>
      </c>
      <c r="E17" s="3">
        <f>($B$2*C17^2+$B$3*C17+$B$4)-$B$5*D17-$E$7</f>
        <v>-3.5988889637894907E-3</v>
      </c>
      <c r="F17" s="4">
        <f t="shared" si="1"/>
        <v>737.33291332569354</v>
      </c>
    </row>
    <row r="18" spans="1:7">
      <c r="A18" s="7">
        <v>42571</v>
      </c>
      <c r="B18" s="9">
        <v>0.33333333333333298</v>
      </c>
      <c r="C18" s="2">
        <v>8286</v>
      </c>
      <c r="D18" s="2">
        <v>5.6</v>
      </c>
      <c r="E18" s="3">
        <f>($B$2*C18^2+$B$3*C18+$B$4)-$B$5*D18-$E$7</f>
        <v>-3.328918528009487E-3</v>
      </c>
      <c r="F18" s="4">
        <f t="shared" si="1"/>
        <v>737.36045031014305</v>
      </c>
    </row>
    <row r="19" spans="1:7">
      <c r="A19" s="7">
        <v>42581</v>
      </c>
      <c r="B19" s="9">
        <v>0.33333333333333298</v>
      </c>
      <c r="C19" s="2">
        <v>8291.7999999999993</v>
      </c>
      <c r="D19" s="2">
        <v>6.6</v>
      </c>
      <c r="E19" s="3">
        <f>($B$2*C19^2+$B$3*C19+$B$4)-$B$5*D19-$E$7</f>
        <v>-2.6670240076997372E-3</v>
      </c>
      <c r="F19" s="4">
        <f t="shared" si="1"/>
        <v>737.4279635512147</v>
      </c>
    </row>
    <row r="20" spans="1:7">
      <c r="A20" s="7">
        <v>42592</v>
      </c>
      <c r="B20" s="1">
        <v>0.33333333333333298</v>
      </c>
      <c r="C20" s="2">
        <v>8297</v>
      </c>
      <c r="D20" s="2">
        <v>7.4</v>
      </c>
      <c r="E20" s="3">
        <f t="shared" ref="E20:E45" si="2">($B$2*C20^2+$B$3*C20+$B$4)-$B$5*D20-$E$7</f>
        <v>-2.182893906989395E-3</v>
      </c>
      <c r="F20" s="4">
        <f t="shared" si="1"/>
        <v>737.47734482148712</v>
      </c>
    </row>
    <row r="21" spans="1:7">
      <c r="A21" s="7">
        <v>42602</v>
      </c>
      <c r="B21" s="1">
        <v>0.33333333333333298</v>
      </c>
      <c r="C21" s="2">
        <v>8329.4</v>
      </c>
      <c r="D21" s="2">
        <v>9.6</v>
      </c>
      <c r="E21" s="3">
        <f t="shared" si="2"/>
        <v>-2.3188433225349719E-3</v>
      </c>
      <c r="F21" s="4">
        <f t="shared" si="1"/>
        <v>737.46347798110151</v>
      </c>
    </row>
    <row r="22" spans="1:7">
      <c r="A22" s="7">
        <v>42612</v>
      </c>
      <c r="B22" s="1">
        <v>0.33333333333333298</v>
      </c>
      <c r="C22" s="2">
        <v>8337.2999999999993</v>
      </c>
      <c r="D22" s="2">
        <v>10.7</v>
      </c>
      <c r="E22" s="3">
        <f t="shared" si="2"/>
        <v>-1.7134636224126927E-3</v>
      </c>
      <c r="F22" s="4">
        <f t="shared" si="1"/>
        <v>737.52522671051395</v>
      </c>
    </row>
    <row r="23" spans="1:7">
      <c r="A23" s="7">
        <v>42623</v>
      </c>
      <c r="B23" s="1">
        <v>0.33333333333333298</v>
      </c>
      <c r="C23" s="2">
        <v>8353.9</v>
      </c>
      <c r="D23" s="2">
        <v>11.6</v>
      </c>
      <c r="E23" s="3">
        <f t="shared" si="2"/>
        <v>-2.0394187093760625E-3</v>
      </c>
      <c r="F23" s="4">
        <f t="shared" si="1"/>
        <v>737.4919792916437</v>
      </c>
      <c r="G23" s="2"/>
    </row>
    <row r="24" spans="1:7">
      <c r="A24" s="7">
        <v>42633</v>
      </c>
      <c r="B24" s="1">
        <v>0.33333333333333331</v>
      </c>
      <c r="C24" s="2">
        <v>8343.7999999999993</v>
      </c>
      <c r="D24" s="2">
        <v>12.2</v>
      </c>
      <c r="E24" s="3">
        <f t="shared" si="2"/>
        <v>-5.4152711685176783E-4</v>
      </c>
      <c r="F24" s="4">
        <f t="shared" si="1"/>
        <v>737.64476423408121</v>
      </c>
      <c r="G24" s="2"/>
    </row>
    <row r="25" spans="1:7">
      <c r="A25" s="7">
        <v>42643</v>
      </c>
      <c r="B25" s="1">
        <v>0.33333333333333331</v>
      </c>
      <c r="C25" s="2">
        <v>8368.7000000000007</v>
      </c>
      <c r="D25" s="2">
        <v>12.3</v>
      </c>
      <c r="E25" s="3">
        <f t="shared" si="2"/>
        <v>-2.4455945530768748E-3</v>
      </c>
      <c r="F25" s="4">
        <f t="shared" si="1"/>
        <v>737.45054935558619</v>
      </c>
      <c r="G25" s="2"/>
    </row>
    <row r="26" spans="1:7">
      <c r="A26" s="6">
        <v>42926</v>
      </c>
      <c r="B26" s="1">
        <v>0.33333333333333331</v>
      </c>
      <c r="C26" s="2">
        <v>8337.5</v>
      </c>
      <c r="D26" s="2">
        <v>8.1999999999999993</v>
      </c>
      <c r="E26" s="3">
        <f t="shared" si="2"/>
        <v>-4.5608836469744514E-3</v>
      </c>
      <c r="F26" s="4">
        <f t="shared" si="1"/>
        <v>737.23478986800865</v>
      </c>
      <c r="G26" s="2"/>
    </row>
    <row r="27" spans="1:7">
      <c r="A27" s="7">
        <v>42936</v>
      </c>
      <c r="B27" s="1">
        <v>0.33333333333333331</v>
      </c>
      <c r="C27" s="2">
        <v>8325.7000000000007</v>
      </c>
      <c r="D27" s="2">
        <v>8.4</v>
      </c>
      <c r="E27" s="3">
        <f t="shared" si="2"/>
        <v>-3.3778740482449041E-3</v>
      </c>
      <c r="F27" s="4">
        <f t="shared" si="1"/>
        <v>737.35545684707904</v>
      </c>
    </row>
    <row r="28" spans="1:7">
      <c r="A28" s="7">
        <v>42946</v>
      </c>
      <c r="B28" s="1">
        <v>0.33333333333333331</v>
      </c>
      <c r="C28" s="2">
        <v>8332.7999999999993</v>
      </c>
      <c r="D28" s="2">
        <v>8.6999999999999993</v>
      </c>
      <c r="E28" s="3">
        <f t="shared" si="2"/>
        <v>-3.6136873194557266E-3</v>
      </c>
      <c r="F28" s="4">
        <f t="shared" si="1"/>
        <v>737.33140389341554</v>
      </c>
    </row>
    <row r="29" spans="1:7">
      <c r="A29" s="7">
        <v>42957</v>
      </c>
      <c r="B29" s="1">
        <v>0.33333333333333331</v>
      </c>
      <c r="C29" s="2">
        <v>8328.4</v>
      </c>
      <c r="D29" s="2">
        <v>9.1</v>
      </c>
      <c r="E29" s="3">
        <f t="shared" si="2"/>
        <v>-2.8040201285469864E-3</v>
      </c>
      <c r="F29" s="4">
        <f t="shared" si="1"/>
        <v>737.41398994688825</v>
      </c>
    </row>
    <row r="30" spans="1:7">
      <c r="A30" s="7">
        <v>42967</v>
      </c>
      <c r="B30" s="1">
        <v>0.33333333333333331</v>
      </c>
      <c r="C30" s="2">
        <v>8340</v>
      </c>
      <c r="D30" s="2">
        <v>9.3000000000000007</v>
      </c>
      <c r="E30" s="3">
        <f t="shared" si="2"/>
        <v>-3.5177705698494696E-3</v>
      </c>
      <c r="F30" s="4">
        <f t="shared" si="1"/>
        <v>737.34118740187535</v>
      </c>
    </row>
    <row r="31" spans="1:7">
      <c r="A31" s="7">
        <v>42977</v>
      </c>
      <c r="B31" s="1">
        <v>0.33333333333333331</v>
      </c>
      <c r="C31" s="2">
        <v>8333.7999999999993</v>
      </c>
      <c r="D31" s="2">
        <v>10.4</v>
      </c>
      <c r="E31" s="3">
        <f t="shared" si="2"/>
        <v>-1.7695219118917492E-3</v>
      </c>
      <c r="F31" s="4">
        <f t="shared" si="1"/>
        <v>737.51950876498711</v>
      </c>
    </row>
    <row r="32" spans="1:7">
      <c r="A32" s="7">
        <v>42988</v>
      </c>
      <c r="B32" s="1">
        <v>0.33333333333333331</v>
      </c>
      <c r="C32" s="2">
        <v>8330.7000000000007</v>
      </c>
      <c r="D32" s="2">
        <v>10.5</v>
      </c>
      <c r="E32" s="3">
        <f t="shared" si="2"/>
        <v>-1.4049898239648223E-3</v>
      </c>
      <c r="F32" s="4">
        <f t="shared" si="1"/>
        <v>737.5566910379556</v>
      </c>
    </row>
    <row r="33" spans="1:6">
      <c r="A33" s="7">
        <v>42998</v>
      </c>
      <c r="B33" s="1">
        <v>0.33333333333333331</v>
      </c>
      <c r="C33" s="2">
        <v>8343.7999999999993</v>
      </c>
      <c r="D33" s="2">
        <v>10</v>
      </c>
      <c r="E33" s="3">
        <f t="shared" si="2"/>
        <v>-3.0329919168517669E-3</v>
      </c>
      <c r="F33" s="4">
        <f t="shared" si="1"/>
        <v>737.39063482448114</v>
      </c>
    </row>
    <row r="34" spans="1:6">
      <c r="A34" s="7">
        <v>43008</v>
      </c>
      <c r="B34" s="1">
        <v>0.33333333333333331</v>
      </c>
      <c r="C34" s="2">
        <v>8341.6</v>
      </c>
      <c r="D34" s="2">
        <v>10.1</v>
      </c>
      <c r="E34" s="3">
        <f t="shared" si="2"/>
        <v>-2.7414539207870729E-3</v>
      </c>
      <c r="F34" s="4">
        <f t="shared" si="1"/>
        <v>737.42037170007973</v>
      </c>
    </row>
    <row r="35" spans="1:6">
      <c r="A35" s="7">
        <v>43018</v>
      </c>
      <c r="B35" s="1">
        <v>0.33333333333333331</v>
      </c>
      <c r="C35" s="2">
        <v>8339</v>
      </c>
      <c r="D35" s="2">
        <v>9.8000000000000007</v>
      </c>
      <c r="E35" s="3">
        <f t="shared" si="2"/>
        <v>-2.870482170509437E-3</v>
      </c>
      <c r="F35" s="4">
        <f t="shared" si="1"/>
        <v>737.40721081860806</v>
      </c>
    </row>
    <row r="36" spans="1:6">
      <c r="A36" s="7">
        <v>43230</v>
      </c>
      <c r="B36" s="1">
        <v>0.33333333333333331</v>
      </c>
      <c r="C36" s="2">
        <v>8286.4</v>
      </c>
      <c r="D36" s="2">
        <v>4.9000000000000004</v>
      </c>
      <c r="E36" s="3">
        <f t="shared" si="2"/>
        <v>-4.1541136898109766E-3</v>
      </c>
      <c r="F36" s="4">
        <f t="shared" si="1"/>
        <v>737.27628040363936</v>
      </c>
    </row>
    <row r="37" spans="1:6">
      <c r="A37" s="7">
        <v>43240</v>
      </c>
      <c r="B37" s="1">
        <v>0.33333333333333331</v>
      </c>
      <c r="C37" s="2">
        <v>8284.7000000000007</v>
      </c>
      <c r="D37" s="2">
        <v>5.0999999999999996</v>
      </c>
      <c r="E37" s="3">
        <f t="shared" si="2"/>
        <v>-3.7896753929009333E-3</v>
      </c>
      <c r="F37" s="4">
        <f t="shared" si="1"/>
        <v>737.31345310992413</v>
      </c>
    </row>
    <row r="38" spans="1:6">
      <c r="A38" s="7">
        <v>43250</v>
      </c>
      <c r="B38" s="1">
        <v>0.33333333333333331</v>
      </c>
      <c r="C38" s="2">
        <v>8279.6</v>
      </c>
      <c r="D38" s="2">
        <v>5.0999999999999996</v>
      </c>
      <c r="E38" s="3">
        <f t="shared" si="2"/>
        <v>-3.37582015696309E-3</v>
      </c>
      <c r="F38" s="4">
        <f t="shared" si="1"/>
        <v>737.35566634398981</v>
      </c>
    </row>
    <row r="39" spans="1:6">
      <c r="A39" s="7">
        <v>43261</v>
      </c>
      <c r="B39" s="1">
        <v>0.33333333333333331</v>
      </c>
      <c r="C39" s="2">
        <v>8287.9</v>
      </c>
      <c r="D39" s="2">
        <v>5</v>
      </c>
      <c r="E39" s="3">
        <f t="shared" si="2"/>
        <v>-4.1625741199280593E-3</v>
      </c>
      <c r="F39" s="4">
        <f t="shared" si="1"/>
        <v>737.27541743976735</v>
      </c>
    </row>
    <row r="40" spans="1:6">
      <c r="A40" s="7">
        <v>43271</v>
      </c>
      <c r="B40" s="1">
        <v>0.33333333333333331</v>
      </c>
      <c r="C40" s="2">
        <v>8247.6</v>
      </c>
      <c r="D40" s="2">
        <v>6.9</v>
      </c>
      <c r="E40" s="3">
        <f t="shared" si="2"/>
        <v>1.260442278620922E-3</v>
      </c>
      <c r="F40" s="4">
        <f t="shared" si="1"/>
        <v>737.82856511241937</v>
      </c>
    </row>
    <row r="41" spans="1:6">
      <c r="A41" s="7">
        <v>43281</v>
      </c>
      <c r="B41" s="1">
        <v>0.33333333333333331</v>
      </c>
      <c r="C41" s="2">
        <v>8281.6</v>
      </c>
      <c r="D41" s="2">
        <v>6.7</v>
      </c>
      <c r="E41" s="3">
        <f t="shared" si="2"/>
        <v>-1.7261474244670595E-3</v>
      </c>
      <c r="F41" s="4">
        <f t="shared" si="1"/>
        <v>737.52393296270441</v>
      </c>
    </row>
    <row r="42" spans="1:6">
      <c r="A42" s="7">
        <v>43291</v>
      </c>
      <c r="B42" s="1">
        <v>0.33333333333333331</v>
      </c>
      <c r="C42" s="2">
        <v>8317.9</v>
      </c>
      <c r="D42" s="2">
        <v>7.4</v>
      </c>
      <c r="E42" s="3">
        <f t="shared" si="2"/>
        <v>-3.877951341968059E-3</v>
      </c>
      <c r="F42" s="4">
        <f t="shared" si="1"/>
        <v>737.30444896311928</v>
      </c>
    </row>
    <row r="43" spans="1:6">
      <c r="A43" s="7">
        <v>43301</v>
      </c>
      <c r="B43" s="1">
        <v>0.33333333333333331</v>
      </c>
      <c r="C43" s="2">
        <v>8313.4</v>
      </c>
      <c r="D43" s="2">
        <v>7.4</v>
      </c>
      <c r="E43" s="3">
        <f t="shared" si="2"/>
        <v>-3.5130522491269613E-3</v>
      </c>
      <c r="F43" s="4">
        <f t="shared" si="1"/>
        <v>737.34166867058912</v>
      </c>
    </row>
    <row r="44" spans="1:6">
      <c r="A44" s="7">
        <v>43311</v>
      </c>
      <c r="B44" s="1">
        <v>0.33333333333333331</v>
      </c>
      <c r="C44" s="2">
        <v>8309.1</v>
      </c>
      <c r="D44" s="2">
        <v>7.3</v>
      </c>
      <c r="E44" s="3">
        <f t="shared" si="2"/>
        <v>-3.27758574707206E-3</v>
      </c>
      <c r="F44" s="4">
        <f t="shared" si="1"/>
        <v>737.36568625379869</v>
      </c>
    </row>
    <row r="45" spans="1:6">
      <c r="A45" s="7">
        <v>43322</v>
      </c>
      <c r="B45" s="1">
        <v>0.33333333333333331</v>
      </c>
      <c r="C45" s="2">
        <v>8294.4</v>
      </c>
      <c r="D45" s="2">
        <v>7.6</v>
      </c>
      <c r="E45" s="3">
        <f t="shared" si="2"/>
        <v>-1.7454745503549321E-3</v>
      </c>
      <c r="F45" s="4">
        <f t="shared" si="1"/>
        <v>737.52196159586379</v>
      </c>
    </row>
    <row r="46" spans="1:6">
      <c r="A46" s="7">
        <v>43332</v>
      </c>
      <c r="B46" s="1">
        <v>0.33333333333333331</v>
      </c>
      <c r="C46" s="2">
        <v>8320.9</v>
      </c>
      <c r="D46" s="2">
        <v>6.8</v>
      </c>
      <c r="E46" s="3">
        <f t="shared" ref="E46:E63" si="3">($B$2*C46^2+$B$3*C46+$B$4)-$B$5*D46-$E$7</f>
        <v>-4.8006878567119701E-3</v>
      </c>
      <c r="F46" s="4">
        <f t="shared" ref="F46:F63" si="4">$D$1+102*E46</f>
        <v>737.21032983861539</v>
      </c>
    </row>
    <row r="47" spans="1:6">
      <c r="A47" s="7">
        <v>43342</v>
      </c>
      <c r="B47" s="1">
        <v>0.33333333333333331</v>
      </c>
      <c r="C47" s="2">
        <v>8301.2000000000007</v>
      </c>
      <c r="D47" s="2">
        <v>7.5</v>
      </c>
      <c r="E47" s="3">
        <f t="shared" si="3"/>
        <v>-2.4103412404318132E-3</v>
      </c>
      <c r="F47" s="4">
        <f t="shared" si="4"/>
        <v>737.45414519347605</v>
      </c>
    </row>
    <row r="48" spans="1:6">
      <c r="A48" s="7">
        <v>43353</v>
      </c>
      <c r="B48" s="1">
        <v>0.33333333333333331</v>
      </c>
      <c r="C48" s="2">
        <v>8288.7999999999993</v>
      </c>
      <c r="D48" s="2">
        <v>8.4</v>
      </c>
      <c r="E48" s="3">
        <f t="shared" si="3"/>
        <v>-3.8515190307180508E-4</v>
      </c>
      <c r="F48" s="4">
        <f t="shared" si="4"/>
        <v>737.66071450588674</v>
      </c>
    </row>
    <row r="49" spans="1:6">
      <c r="A49" s="7">
        <v>43363</v>
      </c>
      <c r="B49" s="1">
        <v>0.33333333333333331</v>
      </c>
      <c r="C49" s="2">
        <v>8304.7000000000007</v>
      </c>
      <c r="D49" s="2">
        <v>9.8000000000000007</v>
      </c>
      <c r="E49" s="3">
        <f t="shared" si="3"/>
        <v>-8.951725938087865E-5</v>
      </c>
      <c r="F49" s="4">
        <f t="shared" si="4"/>
        <v>737.69086923954319</v>
      </c>
    </row>
    <row r="50" spans="1:6">
      <c r="A50" s="7">
        <v>43373</v>
      </c>
      <c r="B50" s="1">
        <v>0.33333333333333331</v>
      </c>
      <c r="C50" s="2">
        <v>8322.4</v>
      </c>
      <c r="D50" s="2">
        <v>8.6999999999999993</v>
      </c>
      <c r="E50" s="3">
        <f t="shared" si="3"/>
        <v>-2.7705853299390786E-3</v>
      </c>
      <c r="F50" s="4">
        <f t="shared" si="4"/>
        <v>737.41740029634627</v>
      </c>
    </row>
    <row r="51" spans="1:6">
      <c r="A51" s="7">
        <v>43383</v>
      </c>
      <c r="B51" s="1">
        <v>0.33333333333333331</v>
      </c>
      <c r="C51" s="2">
        <v>8310.4</v>
      </c>
      <c r="D51" s="2">
        <v>8.5</v>
      </c>
      <c r="E51" s="3">
        <f t="shared" si="3"/>
        <v>-2.0240338400830775E-3</v>
      </c>
      <c r="F51" s="4">
        <f t="shared" si="4"/>
        <v>737.49354854831154</v>
      </c>
    </row>
    <row r="52" spans="1:6">
      <c r="A52" s="7">
        <v>43393</v>
      </c>
      <c r="B52" s="1">
        <v>0.33333333333333331</v>
      </c>
      <c r="C52" s="2">
        <v>8302.7000000000007</v>
      </c>
      <c r="D52" s="2">
        <v>8.1</v>
      </c>
      <c r="E52" s="3">
        <f t="shared" si="3"/>
        <v>-1.852520308172987E-3</v>
      </c>
      <c r="F52" s="4">
        <f t="shared" si="4"/>
        <v>737.51104292856644</v>
      </c>
    </row>
    <row r="53" spans="1:6">
      <c r="A53" s="7">
        <v>43605</v>
      </c>
      <c r="B53" s="1">
        <v>0.33333333333333331</v>
      </c>
      <c r="C53" s="2">
        <v>8312.4</v>
      </c>
      <c r="D53" s="2">
        <v>7.8</v>
      </c>
      <c r="E53" s="3">
        <f t="shared" si="3"/>
        <v>-2.9789650858590526E-3</v>
      </c>
      <c r="F53" s="4">
        <f t="shared" si="4"/>
        <v>737.39614556124241</v>
      </c>
    </row>
    <row r="54" spans="1:6">
      <c r="A54" s="7">
        <v>43615</v>
      </c>
      <c r="B54" s="1">
        <v>0.33333333333333331</v>
      </c>
      <c r="C54" s="2">
        <v>8314.2000000000007</v>
      </c>
      <c r="D54" s="2">
        <v>7.9</v>
      </c>
      <c r="E54" s="3">
        <f t="shared" si="3"/>
        <v>-3.0116838231238306E-3</v>
      </c>
      <c r="F54" s="4">
        <f t="shared" si="4"/>
        <v>737.39280825004141</v>
      </c>
    </row>
    <row r="55" spans="1:6">
      <c r="A55" s="7">
        <v>43626</v>
      </c>
      <c r="B55" s="1">
        <v>0.33333333333333331</v>
      </c>
      <c r="C55" s="2">
        <v>8314.9</v>
      </c>
      <c r="D55" s="2">
        <v>7.9</v>
      </c>
      <c r="E55" s="3">
        <f t="shared" si="3"/>
        <v>-3.0684472695040009E-3</v>
      </c>
      <c r="F55" s="4">
        <f t="shared" si="4"/>
        <v>737.38701837851067</v>
      </c>
    </row>
    <row r="56" spans="1:6">
      <c r="A56" s="7">
        <v>43636</v>
      </c>
      <c r="B56" s="1">
        <v>0.33333333333333331</v>
      </c>
      <c r="C56" s="2">
        <v>8315.7000000000007</v>
      </c>
      <c r="D56" s="2">
        <v>8.3000000000000007</v>
      </c>
      <c r="E56" s="3">
        <f t="shared" si="3"/>
        <v>-2.6803251158048526E-3</v>
      </c>
      <c r="F56" s="4">
        <f t="shared" si="4"/>
        <v>737.42660683818792</v>
      </c>
    </row>
    <row r="57" spans="1:6">
      <c r="A57" s="7">
        <v>43646</v>
      </c>
      <c r="B57" s="1">
        <v>0.33333333333333331</v>
      </c>
      <c r="C57" s="2">
        <v>8314.2000000000007</v>
      </c>
      <c r="D57" s="2">
        <v>7.8</v>
      </c>
      <c r="E57" s="3">
        <f t="shared" si="3"/>
        <v>-3.1249322231238323E-3</v>
      </c>
      <c r="F57" s="4">
        <f t="shared" si="4"/>
        <v>737.38125691324137</v>
      </c>
    </row>
    <row r="58" spans="1:6">
      <c r="A58" s="7">
        <v>43656</v>
      </c>
      <c r="B58" s="1">
        <v>0.33333333333333331</v>
      </c>
      <c r="C58" s="2">
        <v>8313.5</v>
      </c>
      <c r="D58" s="2">
        <v>7.2</v>
      </c>
      <c r="E58" s="3">
        <f t="shared" si="3"/>
        <v>-3.747658307934415E-3</v>
      </c>
      <c r="F58" s="4">
        <f t="shared" si="4"/>
        <v>737.31773885259076</v>
      </c>
    </row>
    <row r="59" spans="1:6">
      <c r="A59" s="7">
        <v>43666</v>
      </c>
      <c r="B59" s="1">
        <v>0.33333333333333331</v>
      </c>
      <c r="C59" s="2">
        <v>8305.7000000000007</v>
      </c>
      <c r="D59" s="2">
        <v>6.8</v>
      </c>
      <c r="E59" s="3">
        <f t="shared" si="3"/>
        <v>-3.568076475364855E-3</v>
      </c>
      <c r="F59" s="4">
        <f t="shared" si="4"/>
        <v>737.33605619951288</v>
      </c>
    </row>
    <row r="60" spans="1:6">
      <c r="A60" s="7">
        <v>43676</v>
      </c>
      <c r="B60" s="1">
        <v>0.33333333333333331</v>
      </c>
      <c r="C60" s="2">
        <v>8300</v>
      </c>
      <c r="D60" s="2">
        <v>6.4</v>
      </c>
      <c r="E60" s="3">
        <f t="shared" si="3"/>
        <v>-3.5587351938493744E-3</v>
      </c>
      <c r="F60" s="4">
        <f t="shared" si="4"/>
        <v>737.33700901022746</v>
      </c>
    </row>
    <row r="61" spans="1:6">
      <c r="A61" s="7">
        <v>43687</v>
      </c>
      <c r="B61" s="1">
        <v>0.33333333333333331</v>
      </c>
      <c r="C61" s="2">
        <v>8295.2999999999993</v>
      </c>
      <c r="D61" s="2">
        <v>8.5</v>
      </c>
      <c r="E61" s="3">
        <f t="shared" si="3"/>
        <v>-7.992519609807229E-4</v>
      </c>
      <c r="F61" s="4">
        <f t="shared" si="4"/>
        <v>737.61847629997999</v>
      </c>
    </row>
    <row r="62" spans="1:6">
      <c r="A62" s="7">
        <v>43697</v>
      </c>
      <c r="B62" s="1">
        <v>0.33333333333333331</v>
      </c>
      <c r="C62" s="2">
        <v>8280.7000000000007</v>
      </c>
      <c r="D62" s="2">
        <v>8.4</v>
      </c>
      <c r="E62" s="3">
        <f t="shared" si="3"/>
        <v>2.7211024823509816E-4</v>
      </c>
      <c r="F62" s="4">
        <f t="shared" si="4"/>
        <v>737.72775524532005</v>
      </c>
    </row>
    <row r="63" spans="1:6">
      <c r="A63" s="7">
        <v>43707</v>
      </c>
      <c r="B63" s="1">
        <v>0.33333333333333331</v>
      </c>
      <c r="C63" s="2">
        <v>8244.1</v>
      </c>
      <c r="D63" s="2">
        <v>10.7</v>
      </c>
      <c r="E63" s="3">
        <f t="shared" si="3"/>
        <v>5.8481250476079653E-3</v>
      </c>
      <c r="F63" s="4">
        <f t="shared" si="4"/>
        <v>738.29650875485606</v>
      </c>
    </row>
  </sheetData>
  <phoneticPr fontId="4" type="noConversion"/>
  <pageMargins left="0.69930555555555596" right="0.69930555555555596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"/>
  <sheetViews>
    <sheetView topLeftCell="A35" workbookViewId="0">
      <selection activeCell="A49" sqref="A49:B55"/>
    </sheetView>
  </sheetViews>
  <sheetFormatPr defaultColWidth="9" defaultRowHeight="13.5"/>
  <cols>
    <col min="1" max="1" width="11.625" bestFit="1" customWidth="1"/>
    <col min="2" max="2" width="13.875" customWidth="1"/>
  </cols>
  <sheetData>
    <row r="1" spans="1:7">
      <c r="A1" t="s">
        <v>0</v>
      </c>
      <c r="B1">
        <v>50360</v>
      </c>
      <c r="C1" t="s">
        <v>1</v>
      </c>
      <c r="D1">
        <v>750</v>
      </c>
    </row>
    <row r="2" spans="1:7">
      <c r="A2" t="s">
        <v>2</v>
      </c>
      <c r="B2" s="10">
        <v>6.1339400000000002E-10</v>
      </c>
    </row>
    <row r="3" spans="1:7">
      <c r="A3" t="s">
        <v>3</v>
      </c>
      <c r="B3">
        <v>-7.2618000000000002E-5</v>
      </c>
    </row>
    <row r="4" spans="1:7">
      <c r="A4" t="s">
        <v>4</v>
      </c>
      <c r="B4">
        <v>0.61265062000000003</v>
      </c>
    </row>
    <row r="5" spans="1:7">
      <c r="A5" t="s">
        <v>5</v>
      </c>
      <c r="B5">
        <v>-8.6376200000000002E-4</v>
      </c>
    </row>
    <row r="6" spans="1:7">
      <c r="A6" t="s">
        <v>6</v>
      </c>
      <c r="B6" t="s">
        <v>7</v>
      </c>
      <c r="C6" t="s">
        <v>8</v>
      </c>
      <c r="D6" t="s">
        <v>9</v>
      </c>
      <c r="E6" t="s">
        <v>10</v>
      </c>
      <c r="F6" t="s">
        <v>11</v>
      </c>
      <c r="G6" t="s">
        <v>12</v>
      </c>
    </row>
    <row r="7" spans="1:7">
      <c r="A7" s="7">
        <v>42915</v>
      </c>
      <c r="B7" s="1">
        <v>0.45833333333333331</v>
      </c>
      <c r="C7" s="2">
        <v>9120.7999999999993</v>
      </c>
      <c r="D7" s="2">
        <v>19.899999999999999</v>
      </c>
      <c r="E7" s="3">
        <f>($B$2*C7^2+$B$3*C7+$B$4)-$B$5*D7</f>
        <v>1.8532858351420312E-2</v>
      </c>
      <c r="G7" t="s">
        <v>13</v>
      </c>
    </row>
    <row r="8" spans="1:7">
      <c r="A8" s="7">
        <v>42916</v>
      </c>
      <c r="B8" s="1">
        <v>0.33333333333333331</v>
      </c>
      <c r="C8" s="2">
        <v>9229.7000000000007</v>
      </c>
      <c r="D8" s="2">
        <v>27.5</v>
      </c>
      <c r="E8" s="3">
        <f>($B$2*C8^2+$B$3*C8+$B$4)-$B$5*D8-$E$7</f>
        <v>-1.1772116958682841E-4</v>
      </c>
      <c r="F8" s="4">
        <f>$D$1+102*E8</f>
        <v>749.9879924407021</v>
      </c>
      <c r="G8" t="s">
        <v>14</v>
      </c>
    </row>
    <row r="9" spans="1:7">
      <c r="A9" s="7">
        <v>42917</v>
      </c>
      <c r="B9" s="1">
        <v>0.33333333333333331</v>
      </c>
      <c r="C9" s="2">
        <v>9249.6</v>
      </c>
      <c r="D9" s="2">
        <v>27.8</v>
      </c>
      <c r="E9" s="3">
        <f>($B$2*C9^2+$B$3*C9+$B$4)-$B$5*D9-$E$7</f>
        <v>-1.0781224438773523E-3</v>
      </c>
      <c r="F9" s="4">
        <f t="shared" ref="F9:F37" si="0">$D$1+102*E9</f>
        <v>749.8900315107245</v>
      </c>
    </row>
    <row r="10" spans="1:7">
      <c r="A10" s="7">
        <v>42918</v>
      </c>
      <c r="B10" s="1">
        <v>0.33333333333333331</v>
      </c>
      <c r="C10" s="2">
        <v>9245.7999999999993</v>
      </c>
      <c r="D10" s="2">
        <v>27.5</v>
      </c>
      <c r="E10" s="3">
        <f t="shared" ref="E10:E37" si="1">($B$2*C10^2+$B$3*C10+$B$4)-$B$5*D10-$E$7</f>
        <v>-1.1044135199501336E-3</v>
      </c>
      <c r="F10" s="4">
        <f t="shared" si="0"/>
        <v>749.88734982096514</v>
      </c>
    </row>
    <row r="11" spans="1:7">
      <c r="A11" s="7">
        <v>42919</v>
      </c>
      <c r="B11" s="1">
        <v>0.33333333333333331</v>
      </c>
      <c r="C11" s="2">
        <v>9265.2999999999993</v>
      </c>
      <c r="D11" s="2">
        <v>28.7</v>
      </c>
      <c r="E11" s="3">
        <f t="shared" si="1"/>
        <v>-1.2625354653187822E-3</v>
      </c>
      <c r="F11" s="4">
        <f t="shared" si="0"/>
        <v>749.87122138253744</v>
      </c>
    </row>
    <row r="12" spans="1:7">
      <c r="A12" s="7">
        <v>42920</v>
      </c>
      <c r="B12" s="1">
        <v>0.33333333333333331</v>
      </c>
      <c r="C12" s="2">
        <v>9280</v>
      </c>
      <c r="D12" s="2">
        <v>30</v>
      </c>
      <c r="E12" s="3">
        <f t="shared" si="1"/>
        <v>-1.0399085018203136E-3</v>
      </c>
      <c r="F12" s="4">
        <f t="shared" si="0"/>
        <v>749.89392933281431</v>
      </c>
    </row>
    <row r="13" spans="1:7">
      <c r="A13" s="7">
        <v>42921</v>
      </c>
      <c r="B13" s="1">
        <v>0.33333333333333331</v>
      </c>
      <c r="C13" s="2">
        <v>9304.5</v>
      </c>
      <c r="D13" s="2">
        <v>31.6</v>
      </c>
      <c r="E13" s="3">
        <f t="shared" si="1"/>
        <v>-1.1577395923917377E-3</v>
      </c>
      <c r="F13" s="4">
        <f t="shared" si="0"/>
        <v>749.88191056157609</v>
      </c>
    </row>
    <row r="14" spans="1:7">
      <c r="A14" s="7">
        <v>42922</v>
      </c>
      <c r="B14" s="1">
        <v>0.33333333333333331</v>
      </c>
      <c r="C14" s="2">
        <v>9310.1</v>
      </c>
      <c r="D14" s="2">
        <v>31.9</v>
      </c>
      <c r="E14" s="3">
        <f t="shared" si="1"/>
        <v>-1.2413305222583812E-3</v>
      </c>
      <c r="F14" s="4">
        <f t="shared" si="0"/>
        <v>749.87338428672967</v>
      </c>
    </row>
    <row r="15" spans="1:7">
      <c r="A15" s="7">
        <v>42923</v>
      </c>
      <c r="B15" s="1">
        <v>0.33333333333333331</v>
      </c>
      <c r="C15" s="2">
        <v>9319.7000000000007</v>
      </c>
      <c r="D15" s="2">
        <v>32.5</v>
      </c>
      <c r="E15" s="3">
        <f t="shared" si="1"/>
        <v>-1.3105030098628824E-3</v>
      </c>
      <c r="F15" s="4">
        <f t="shared" si="0"/>
        <v>749.86632869299399</v>
      </c>
    </row>
    <row r="16" spans="1:7">
      <c r="A16" s="7">
        <v>42924</v>
      </c>
      <c r="B16" s="1">
        <v>0.33333333333333331</v>
      </c>
      <c r="C16" s="2">
        <v>9324.7999999999993</v>
      </c>
      <c r="D16" s="2">
        <v>32.799999999999997</v>
      </c>
      <c r="E16" s="3">
        <f t="shared" si="1"/>
        <v>-1.3634004452544833E-3</v>
      </c>
      <c r="F16" s="4">
        <f t="shared" si="0"/>
        <v>749.86093315458402</v>
      </c>
    </row>
    <row r="17" spans="1:7">
      <c r="A17" s="7">
        <v>42925</v>
      </c>
      <c r="B17" s="1">
        <v>0.33333333333333331</v>
      </c>
      <c r="C17" s="2">
        <v>9337.6</v>
      </c>
      <c r="D17" s="2">
        <v>33.1</v>
      </c>
      <c r="E17" s="3">
        <f t="shared" si="1"/>
        <v>-1.8872554716788496E-3</v>
      </c>
      <c r="F17" s="4">
        <f t="shared" si="0"/>
        <v>749.80749994188875</v>
      </c>
    </row>
    <row r="18" spans="1:7">
      <c r="A18" s="7">
        <v>42926</v>
      </c>
      <c r="B18" s="1">
        <v>0.33333333333333331</v>
      </c>
      <c r="C18" s="2">
        <v>9345.6</v>
      </c>
      <c r="D18" s="2">
        <v>33.4</v>
      </c>
      <c r="E18" s="3">
        <f t="shared" si="1"/>
        <v>-2.1173895694324776E-3</v>
      </c>
      <c r="F18" s="4">
        <f t="shared" si="0"/>
        <v>749.78402626391789</v>
      </c>
    </row>
    <row r="19" spans="1:7">
      <c r="A19" s="7">
        <v>42936</v>
      </c>
      <c r="B19" s="1">
        <v>0.33333333333333331</v>
      </c>
      <c r="C19" s="2">
        <v>9289</v>
      </c>
      <c r="D19" s="2">
        <v>31.2</v>
      </c>
      <c r="E19" s="3">
        <f t="shared" si="1"/>
        <v>-5.5444508314633073E-4</v>
      </c>
      <c r="F19" s="4">
        <f t="shared" si="0"/>
        <v>749.9434466015191</v>
      </c>
      <c r="G19" s="2"/>
    </row>
    <row r="20" spans="1:7">
      <c r="A20" s="7">
        <v>42946</v>
      </c>
      <c r="B20" s="1">
        <v>0.33333333333333331</v>
      </c>
      <c r="C20" s="2">
        <v>9259.2000000000007</v>
      </c>
      <c r="D20" s="2">
        <v>28.9</v>
      </c>
      <c r="E20" s="3">
        <f t="shared" si="1"/>
        <v>-7.1612644995219105E-4</v>
      </c>
      <c r="F20" s="4">
        <f t="shared" si="0"/>
        <v>749.9269551021049</v>
      </c>
      <c r="G20" s="2"/>
    </row>
    <row r="21" spans="1:7">
      <c r="A21" s="7">
        <v>42957</v>
      </c>
      <c r="B21" s="1">
        <v>0.33333333333333331</v>
      </c>
      <c r="C21" s="2">
        <v>9218.2000000000007</v>
      </c>
      <c r="D21" s="2">
        <v>26.9</v>
      </c>
      <c r="E21" s="3">
        <f t="shared" si="1"/>
        <v>6.8996571928284234E-5</v>
      </c>
      <c r="F21" s="4">
        <f t="shared" si="0"/>
        <v>750.00703765033666</v>
      </c>
      <c r="G21" s="2"/>
    </row>
    <row r="22" spans="1:7">
      <c r="A22" s="7">
        <v>42967</v>
      </c>
      <c r="B22" s="1">
        <v>0.33333333333333331</v>
      </c>
      <c r="C22" s="2">
        <v>9219.5</v>
      </c>
      <c r="D22" s="2">
        <v>26.2</v>
      </c>
      <c r="E22" s="3">
        <f t="shared" si="1"/>
        <v>-6.1533778115178961E-4</v>
      </c>
      <c r="F22" s="4">
        <f t="shared" si="0"/>
        <v>749.93723554632254</v>
      </c>
    </row>
    <row r="23" spans="1:7">
      <c r="A23" s="7">
        <v>42977</v>
      </c>
      <c r="B23" s="1">
        <v>0.33333333333333331</v>
      </c>
      <c r="C23" s="2">
        <v>9188.1</v>
      </c>
      <c r="D23" s="2">
        <v>25.3</v>
      </c>
      <c r="E23" s="3">
        <f t="shared" si="1"/>
        <v>5.3294072106395765E-4</v>
      </c>
      <c r="F23" s="4">
        <f t="shared" si="0"/>
        <v>750.05435995354856</v>
      </c>
    </row>
    <row r="24" spans="1:7">
      <c r="A24" s="6">
        <v>42988</v>
      </c>
      <c r="B24" s="1">
        <v>0.33333333333333331</v>
      </c>
      <c r="C24" s="2">
        <v>9160.6</v>
      </c>
      <c r="D24" s="2">
        <v>23.2</v>
      </c>
      <c r="E24" s="3">
        <f t="shared" si="1"/>
        <v>4.0652350264956325E-4</v>
      </c>
      <c r="F24" s="4">
        <f t="shared" si="0"/>
        <v>750.04146539727026</v>
      </c>
    </row>
    <row r="25" spans="1:7">
      <c r="A25" s="7">
        <v>42998</v>
      </c>
      <c r="B25" s="9">
        <v>0.33333333333333331</v>
      </c>
      <c r="C25" s="2">
        <v>9167.2999999999993</v>
      </c>
      <c r="D25" s="2">
        <v>22.7</v>
      </c>
      <c r="E25" s="3">
        <f t="shared" si="1"/>
        <v>-4.3657519727002131E-4</v>
      </c>
      <c r="F25" s="4">
        <f t="shared" si="0"/>
        <v>749.9554693298785</v>
      </c>
    </row>
    <row r="26" spans="1:7">
      <c r="A26" s="7">
        <v>43008</v>
      </c>
      <c r="B26" s="9">
        <v>0.33333333333333331</v>
      </c>
      <c r="C26" s="2">
        <v>9170.4</v>
      </c>
      <c r="D26" s="2">
        <v>21.8</v>
      </c>
      <c r="E26" s="3">
        <f t="shared" si="1"/>
        <v>-1.4042072682931735E-3</v>
      </c>
      <c r="F26" s="4">
        <f t="shared" si="0"/>
        <v>749.85677085863415</v>
      </c>
    </row>
    <row r="27" spans="1:7">
      <c r="A27" s="7">
        <v>43018</v>
      </c>
      <c r="B27" s="9">
        <v>0.33333333333333331</v>
      </c>
      <c r="C27" s="2">
        <v>9152.2999999999993</v>
      </c>
      <c r="D27" s="2">
        <v>22</v>
      </c>
      <c r="E27" s="3">
        <f t="shared" si="1"/>
        <v>-1.2049558810594413E-4</v>
      </c>
      <c r="F27" s="4">
        <f t="shared" si="0"/>
        <v>749.9877094500132</v>
      </c>
    </row>
    <row r="28" spans="1:7">
      <c r="A28" s="7">
        <v>43230</v>
      </c>
      <c r="B28" s="9">
        <v>0.33333333333333331</v>
      </c>
      <c r="C28" s="2">
        <v>8996.7000000000007</v>
      </c>
      <c r="D28" s="2">
        <v>7.9</v>
      </c>
      <c r="E28" s="3">
        <f t="shared" si="1"/>
        <v>-2.7323940751596901E-3</v>
      </c>
      <c r="F28" s="4">
        <f t="shared" si="0"/>
        <v>749.72129580433375</v>
      </c>
    </row>
    <row r="29" spans="1:7">
      <c r="A29" s="7">
        <v>43240</v>
      </c>
      <c r="B29" s="1">
        <v>0.33333333333333331</v>
      </c>
      <c r="C29" s="2">
        <v>8992.7000000000007</v>
      </c>
      <c r="D29" s="2">
        <v>9.1999999999999993</v>
      </c>
      <c r="E29" s="3">
        <f t="shared" si="1"/>
        <v>-1.3631698352540196E-3</v>
      </c>
      <c r="F29" s="4">
        <f t="shared" si="0"/>
        <v>749.86095667680411</v>
      </c>
    </row>
    <row r="30" spans="1:7">
      <c r="A30" s="7">
        <v>43250</v>
      </c>
      <c r="B30" s="1">
        <v>0.33333333333333331</v>
      </c>
      <c r="C30" s="2">
        <v>8983.5</v>
      </c>
      <c r="D30" s="2">
        <v>9.1</v>
      </c>
      <c r="E30" s="3">
        <f t="shared" si="1"/>
        <v>-8.8290417290379231E-4</v>
      </c>
      <c r="F30" s="4">
        <f t="shared" si="0"/>
        <v>749.9099437743638</v>
      </c>
    </row>
    <row r="31" spans="1:7">
      <c r="A31" s="7">
        <v>43261</v>
      </c>
      <c r="B31" s="1">
        <v>0.33333333333333331</v>
      </c>
      <c r="C31" s="2">
        <v>8991.7999999999993</v>
      </c>
      <c r="D31" s="2">
        <v>8.9</v>
      </c>
      <c r="E31" s="3">
        <f t="shared" si="1"/>
        <v>-1.5668706612076942E-3</v>
      </c>
      <c r="F31" s="4">
        <f t="shared" si="0"/>
        <v>749.84017919255677</v>
      </c>
    </row>
    <row r="32" spans="1:7">
      <c r="A32" s="7">
        <v>43271</v>
      </c>
      <c r="B32" s="1">
        <v>0.33333333333333331</v>
      </c>
      <c r="C32" s="2">
        <v>8991.6</v>
      </c>
      <c r="D32" s="2">
        <v>8.6</v>
      </c>
      <c r="E32" s="3">
        <f t="shared" si="1"/>
        <v>-1.8136818431396286E-3</v>
      </c>
      <c r="F32" s="4">
        <f t="shared" si="0"/>
        <v>749.81500445199981</v>
      </c>
    </row>
    <row r="33" spans="1:6">
      <c r="A33" s="7">
        <v>43281</v>
      </c>
      <c r="B33" s="1">
        <v>0.33333333333333331</v>
      </c>
      <c r="C33" s="2">
        <v>8989.7000000000007</v>
      </c>
      <c r="D33" s="2">
        <v>8.9</v>
      </c>
      <c r="E33" s="3">
        <f t="shared" si="1"/>
        <v>-1.4375353240509391E-3</v>
      </c>
      <c r="F33" s="4">
        <f t="shared" si="0"/>
        <v>749.85337139694684</v>
      </c>
    </row>
    <row r="34" spans="1:6">
      <c r="A34" s="7">
        <v>43291</v>
      </c>
      <c r="B34" s="1">
        <v>0.33333333333333331</v>
      </c>
      <c r="C34" s="2">
        <v>8979.4</v>
      </c>
      <c r="D34" s="2">
        <v>9.1</v>
      </c>
      <c r="E34" s="3">
        <f t="shared" si="1"/>
        <v>-6.3034554674243348E-4</v>
      </c>
      <c r="F34" s="4">
        <f t="shared" si="0"/>
        <v>749.93570475423223</v>
      </c>
    </row>
    <row r="35" spans="1:6">
      <c r="A35" s="7">
        <v>43301</v>
      </c>
      <c r="B35" s="1">
        <v>0.33333333333333331</v>
      </c>
      <c r="C35" s="2">
        <v>9002.6</v>
      </c>
      <c r="D35" s="2">
        <v>9.8000000000000007</v>
      </c>
      <c r="E35" s="3">
        <f t="shared" si="1"/>
        <v>-1.4545525656769719E-3</v>
      </c>
      <c r="F35" s="4">
        <f t="shared" si="0"/>
        <v>749.85163563830099</v>
      </c>
    </row>
    <row r="36" spans="1:6">
      <c r="A36" s="7">
        <v>43311</v>
      </c>
      <c r="B36" s="1">
        <v>0.33333333333333331</v>
      </c>
      <c r="C36" s="2">
        <v>9000.2999999999993</v>
      </c>
      <c r="D36" s="2">
        <v>10.199999999999999</v>
      </c>
      <c r="E36" s="3">
        <f t="shared" si="1"/>
        <v>-9.6742496861477317E-4</v>
      </c>
      <c r="F36" s="4">
        <f t="shared" si="0"/>
        <v>749.90132265320131</v>
      </c>
    </row>
    <row r="37" spans="1:6">
      <c r="A37" s="7">
        <v>43322</v>
      </c>
      <c r="B37" s="1">
        <v>0.33333333333333331</v>
      </c>
      <c r="C37" s="2">
        <v>9011.2000000000007</v>
      </c>
      <c r="D37" s="2">
        <v>11.4</v>
      </c>
      <c r="E37" s="3">
        <f t="shared" si="1"/>
        <v>-6.0202197687702838E-4</v>
      </c>
      <c r="F37" s="4">
        <f t="shared" si="0"/>
        <v>749.93859375835859</v>
      </c>
    </row>
    <row r="38" spans="1:6">
      <c r="A38" s="7">
        <v>43332</v>
      </c>
      <c r="B38" s="1">
        <v>0.33333333333333331</v>
      </c>
      <c r="C38" s="2">
        <v>9019.1</v>
      </c>
      <c r="D38" s="2">
        <v>11.6</v>
      </c>
      <c r="E38" s="3">
        <f t="shared" ref="E38:E53" si="2">($B$2*C38^2+$B$3*C38+$B$4)-$B$5*D38-$E$7</f>
        <v>-9.1558032195524289E-4</v>
      </c>
      <c r="F38" s="4">
        <f t="shared" ref="F38:F53" si="3">$D$1+102*E38</f>
        <v>749.90661080716052</v>
      </c>
    </row>
    <row r="39" spans="1:6">
      <c r="A39" s="7">
        <v>43342</v>
      </c>
      <c r="B39" s="1">
        <v>0.33333333333333331</v>
      </c>
      <c r="C39" s="2">
        <v>9027.2000000000007</v>
      </c>
      <c r="D39" s="2">
        <v>11.9</v>
      </c>
      <c r="E39" s="3">
        <f t="shared" si="2"/>
        <v>-1.1549946356033923E-3</v>
      </c>
      <c r="F39" s="4">
        <f t="shared" si="3"/>
        <v>749.88219054716842</v>
      </c>
    </row>
    <row r="40" spans="1:6">
      <c r="A40" s="7">
        <v>43353</v>
      </c>
      <c r="B40" s="1">
        <v>0.33333333333333331</v>
      </c>
      <c r="C40" s="2">
        <v>9032.2999999999993</v>
      </c>
      <c r="D40" s="2">
        <v>12.1</v>
      </c>
      <c r="E40" s="3">
        <f t="shared" si="2"/>
        <v>-1.2960983319939522E-3</v>
      </c>
      <c r="F40" s="4">
        <f t="shared" si="3"/>
        <v>749.86779797013662</v>
      </c>
    </row>
    <row r="41" spans="1:6">
      <c r="A41" s="7">
        <v>43363</v>
      </c>
      <c r="B41" s="1">
        <v>0.33333333333333331</v>
      </c>
      <c r="C41" s="2">
        <v>9017.2000000000007</v>
      </c>
      <c r="D41" s="2">
        <v>12.5</v>
      </c>
      <c r="E41" s="3">
        <f t="shared" si="2"/>
        <v>-2.1240702539341433E-5</v>
      </c>
      <c r="F41" s="4">
        <f t="shared" si="3"/>
        <v>749.997833448341</v>
      </c>
    </row>
    <row r="42" spans="1:6">
      <c r="A42" s="7">
        <v>43373</v>
      </c>
      <c r="B42" s="1">
        <v>0.33333333333333331</v>
      </c>
      <c r="C42" s="2">
        <v>9029.6</v>
      </c>
      <c r="D42" s="2">
        <v>12</v>
      </c>
      <c r="E42" s="3">
        <f t="shared" si="2"/>
        <v>-1.2163193969332679E-3</v>
      </c>
      <c r="F42" s="4">
        <f t="shared" si="3"/>
        <v>749.87593542151285</v>
      </c>
    </row>
    <row r="43" spans="1:6">
      <c r="A43" s="7">
        <v>43383</v>
      </c>
      <c r="B43" s="1">
        <v>0.33333333333333331</v>
      </c>
      <c r="C43" s="2">
        <v>9031.4</v>
      </c>
      <c r="D43" s="2">
        <v>11.8</v>
      </c>
      <c r="E43" s="3">
        <f t="shared" si="2"/>
        <v>-1.4998428806720678E-3</v>
      </c>
      <c r="F43" s="4">
        <f t="shared" si="3"/>
        <v>749.84701602617145</v>
      </c>
    </row>
    <row r="44" spans="1:6">
      <c r="A44" s="7">
        <v>43393</v>
      </c>
      <c r="B44" s="1">
        <v>0.33333333333333331</v>
      </c>
      <c r="C44" s="2">
        <v>9034.5</v>
      </c>
      <c r="D44" s="2">
        <v>11.4</v>
      </c>
      <c r="E44" s="3">
        <f t="shared" si="2"/>
        <v>-2.0361107852117609E-3</v>
      </c>
      <c r="F44" s="4">
        <f t="shared" si="3"/>
        <v>749.79231669990838</v>
      </c>
    </row>
    <row r="45" spans="1:6">
      <c r="A45" s="7">
        <v>43605</v>
      </c>
      <c r="B45" s="1">
        <v>0.33333333333333331</v>
      </c>
      <c r="C45" s="2">
        <v>9037.2000000000007</v>
      </c>
      <c r="D45" s="2">
        <v>11</v>
      </c>
      <c r="E45" s="3">
        <f t="shared" si="2"/>
        <v>-2.5477544898674272E-3</v>
      </c>
      <c r="F45" s="4">
        <f t="shared" si="3"/>
        <v>749.74012904203357</v>
      </c>
    </row>
    <row r="46" spans="1:6">
      <c r="A46" s="7">
        <v>43615</v>
      </c>
      <c r="B46" s="1">
        <v>0.33333333333333331</v>
      </c>
      <c r="C46" s="2">
        <v>9039.2000000000007</v>
      </c>
      <c r="D46" s="2">
        <v>11.2</v>
      </c>
      <c r="E46" s="3">
        <f t="shared" si="2"/>
        <v>-2.4980621792640954E-3</v>
      </c>
      <c r="F46" s="4">
        <f t="shared" si="3"/>
        <v>749.74519765771504</v>
      </c>
    </row>
    <row r="47" spans="1:6">
      <c r="A47" s="7">
        <v>43626</v>
      </c>
      <c r="B47" s="1">
        <v>0.33333333333333331</v>
      </c>
      <c r="C47" s="2">
        <v>9040.7000000000007</v>
      </c>
      <c r="D47" s="2">
        <v>11.6</v>
      </c>
      <c r="E47" s="3">
        <f t="shared" si="2"/>
        <v>-2.2448492259933041E-3</v>
      </c>
      <c r="F47" s="4">
        <f t="shared" si="3"/>
        <v>749.77102537894871</v>
      </c>
    </row>
    <row r="48" spans="1:6">
      <c r="A48" s="7">
        <v>43636</v>
      </c>
      <c r="B48" s="1">
        <v>0.33333333333333331</v>
      </c>
      <c r="C48" s="2">
        <v>9041.4</v>
      </c>
      <c r="D48" s="2">
        <v>11.8</v>
      </c>
      <c r="E48" s="3">
        <f t="shared" si="2"/>
        <v>-2.1151654098399177E-3</v>
      </c>
      <c r="F48" s="4">
        <f t="shared" si="3"/>
        <v>749.78425312819638</v>
      </c>
    </row>
    <row r="49" spans="1:6">
      <c r="A49" s="7">
        <v>43646</v>
      </c>
      <c r="B49" s="1">
        <v>0.33333333333333331</v>
      </c>
      <c r="C49" s="2">
        <v>9012.7000000000007</v>
      </c>
      <c r="D49" s="2">
        <v>11.7</v>
      </c>
      <c r="E49" s="3">
        <f t="shared" si="2"/>
        <v>-4.3523674870209542E-4</v>
      </c>
      <c r="F49" s="4">
        <f t="shared" si="3"/>
        <v>749.95560585163241</v>
      </c>
    </row>
    <row r="50" spans="1:6">
      <c r="A50" s="7">
        <v>43656</v>
      </c>
      <c r="B50" s="1">
        <v>0.33333333333333331</v>
      </c>
      <c r="C50" s="2">
        <v>9008.4</v>
      </c>
      <c r="D50" s="2">
        <v>11.5</v>
      </c>
      <c r="E50" s="3">
        <f t="shared" si="2"/>
        <v>-3.4326409753961465E-4</v>
      </c>
      <c r="F50" s="4">
        <f t="shared" si="3"/>
        <v>749.96498706205091</v>
      </c>
    </row>
    <row r="51" spans="1:6">
      <c r="A51" s="7">
        <v>43666</v>
      </c>
      <c r="B51" s="1">
        <v>0.33333333333333331</v>
      </c>
      <c r="C51" s="2">
        <v>8967.4</v>
      </c>
      <c r="D51" s="2">
        <v>11.3</v>
      </c>
      <c r="E51" s="3">
        <f t="shared" si="2"/>
        <v>2.0092453399871597E-3</v>
      </c>
      <c r="F51" s="4">
        <f t="shared" si="3"/>
        <v>750.20494302467864</v>
      </c>
    </row>
    <row r="52" spans="1:6">
      <c r="A52" s="7">
        <v>43676</v>
      </c>
      <c r="B52" s="1">
        <v>0.33333333333333331</v>
      </c>
      <c r="C52" s="2">
        <v>8975.6</v>
      </c>
      <c r="D52" s="2">
        <v>11.4</v>
      </c>
      <c r="E52" s="3">
        <f t="shared" si="2"/>
        <v>1.5904041940315063E-3</v>
      </c>
      <c r="F52" s="4">
        <f t="shared" si="3"/>
        <v>750.16222122779118</v>
      </c>
    </row>
    <row r="53" spans="1:6">
      <c r="A53" s="7">
        <v>43687</v>
      </c>
      <c r="B53" s="1">
        <v>0.33333333333333331</v>
      </c>
      <c r="C53" s="2">
        <v>8970.2999999999993</v>
      </c>
      <c r="D53" s="2">
        <v>10.8</v>
      </c>
      <c r="E53" s="3">
        <f t="shared" si="2"/>
        <v>1.3986804848931493E-3</v>
      </c>
      <c r="F53" s="4">
        <f t="shared" si="3"/>
        <v>750.14266540945914</v>
      </c>
    </row>
    <row r="54" spans="1:6">
      <c r="A54" s="7">
        <v>43697</v>
      </c>
      <c r="B54" s="1">
        <v>0.33333333333333331</v>
      </c>
      <c r="C54" s="2">
        <v>8952.6</v>
      </c>
      <c r="D54" s="2">
        <v>10.9</v>
      </c>
    </row>
    <row r="55" spans="1:6">
      <c r="A55" s="7">
        <v>43707</v>
      </c>
      <c r="B55" s="1">
        <v>0.33333333333333331</v>
      </c>
      <c r="C55" s="2">
        <v>9018.4</v>
      </c>
      <c r="D55" s="2">
        <v>11.8</v>
      </c>
    </row>
  </sheetData>
  <phoneticPr fontId="5" type="noConversion"/>
  <pageMargins left="0.69930555555555596" right="0.69930555555555596" top="0.75" bottom="0.75" header="0.3" footer="0.3"/>
  <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6"/>
  <sheetViews>
    <sheetView topLeftCell="A30" workbookViewId="0">
      <selection activeCell="A50" sqref="A50:B56"/>
    </sheetView>
  </sheetViews>
  <sheetFormatPr defaultColWidth="9" defaultRowHeight="13.5"/>
  <cols>
    <col min="1" max="1" width="11.625" bestFit="1" customWidth="1"/>
    <col min="2" max="2" width="13.875" customWidth="1"/>
  </cols>
  <sheetData>
    <row r="1" spans="1:7">
      <c r="A1" t="s">
        <v>0</v>
      </c>
      <c r="B1">
        <v>50390</v>
      </c>
      <c r="C1" t="s">
        <v>1</v>
      </c>
      <c r="D1">
        <v>744</v>
      </c>
    </row>
    <row r="2" spans="1:7">
      <c r="A2" t="s">
        <v>2</v>
      </c>
      <c r="B2" s="10">
        <v>4.9725300000000004E-10</v>
      </c>
    </row>
    <row r="3" spans="1:7">
      <c r="A3" t="s">
        <v>3</v>
      </c>
      <c r="B3">
        <v>-6.6441999999999998E-5</v>
      </c>
    </row>
    <row r="4" spans="1:7">
      <c r="A4" t="s">
        <v>4</v>
      </c>
      <c r="B4">
        <v>0.50369131</v>
      </c>
    </row>
    <row r="5" spans="1:7">
      <c r="A5" t="s">
        <v>5</v>
      </c>
      <c r="B5">
        <v>-8.1631E-4</v>
      </c>
    </row>
    <row r="6" spans="1:7">
      <c r="A6" t="s">
        <v>6</v>
      </c>
      <c r="B6" t="s">
        <v>7</v>
      </c>
      <c r="C6" t="s">
        <v>8</v>
      </c>
      <c r="D6" t="s">
        <v>9</v>
      </c>
      <c r="E6" t="s">
        <v>10</v>
      </c>
      <c r="F6" t="s">
        <v>11</v>
      </c>
      <c r="G6" t="s">
        <v>12</v>
      </c>
    </row>
    <row r="7" spans="1:7">
      <c r="A7" s="7">
        <v>42872</v>
      </c>
      <c r="B7" s="1">
        <v>0.25</v>
      </c>
      <c r="C7" s="2">
        <v>8068.9</v>
      </c>
      <c r="D7" s="2">
        <v>15.2</v>
      </c>
      <c r="E7" s="3">
        <f>($B$2*C7^2+$B$3*C7+$B$4)-$B$5*D7</f>
        <v>1.2360092471614161E-2</v>
      </c>
      <c r="G7" t="s">
        <v>13</v>
      </c>
    </row>
    <row r="8" spans="1:7">
      <c r="A8" s="7">
        <v>42872</v>
      </c>
      <c r="B8" s="1">
        <v>0.33333333333333331</v>
      </c>
      <c r="C8" s="2">
        <v>8115.1</v>
      </c>
      <c r="D8" s="2">
        <v>17.2</v>
      </c>
      <c r="E8" s="3">
        <f>($B$2*C8^2+$B$3*C8+$B$4)-$B$5*D8-$E$7</f>
        <v>-1.0652039340976766E-3</v>
      </c>
      <c r="F8" s="4">
        <f>$D$1+102*E8</f>
        <v>743.89134919872208</v>
      </c>
      <c r="G8" t="s">
        <v>14</v>
      </c>
    </row>
    <row r="9" spans="1:7">
      <c r="A9" s="7">
        <v>42873</v>
      </c>
      <c r="B9" s="1">
        <v>0.33333333333333331</v>
      </c>
      <c r="C9" s="2">
        <v>8153.6</v>
      </c>
      <c r="D9" s="2">
        <v>19.600000000000001</v>
      </c>
      <c r="E9" s="3">
        <f>($B$2*C9^2+$B$3*C9+$B$4)-$B$5*D9-$E$7</f>
        <v>-1.3526250286753326E-3</v>
      </c>
      <c r="F9" s="4">
        <f t="shared" ref="F9:F38" si="0">$D$1+102*E9</f>
        <v>743.86203224707515</v>
      </c>
    </row>
    <row r="10" spans="1:7">
      <c r="A10" s="7">
        <v>42874</v>
      </c>
      <c r="B10" s="1">
        <v>0.33333333333333331</v>
      </c>
      <c r="C10" s="2">
        <v>8162.4</v>
      </c>
      <c r="D10" s="2">
        <v>21.3</v>
      </c>
      <c r="E10" s="3">
        <f t="shared" ref="E10:E29" si="1">($B$2*C10^2+$B$3*C10+$B$4)-$B$5*D10-$E$7</f>
        <v>-4.7819164513280069E-4</v>
      </c>
      <c r="F10" s="4">
        <f t="shared" si="0"/>
        <v>743.95122445219647</v>
      </c>
    </row>
    <row r="11" spans="1:7">
      <c r="A11" s="7">
        <v>42875</v>
      </c>
      <c r="B11" s="1">
        <v>0.33333333333333331</v>
      </c>
      <c r="C11" s="2">
        <v>8165.5</v>
      </c>
      <c r="D11" s="2">
        <v>23.7</v>
      </c>
      <c r="E11" s="3">
        <f t="shared" si="1"/>
        <v>1.3001513563691558E-3</v>
      </c>
      <c r="F11" s="4">
        <f t="shared" si="0"/>
        <v>744.1326154383496</v>
      </c>
    </row>
    <row r="12" spans="1:7">
      <c r="A12" s="7">
        <v>42876</v>
      </c>
      <c r="B12" s="1">
        <v>0.33333333333333331</v>
      </c>
      <c r="C12" s="2">
        <v>8161.9</v>
      </c>
      <c r="D12" s="2">
        <v>24.1</v>
      </c>
      <c r="E12" s="3">
        <f t="shared" si="1"/>
        <v>1.8366387012932264E-3</v>
      </c>
      <c r="F12" s="4">
        <f t="shared" si="0"/>
        <v>744.18733714753193</v>
      </c>
    </row>
    <row r="13" spans="1:7">
      <c r="A13" s="7">
        <v>42877</v>
      </c>
      <c r="B13" s="1">
        <v>0.33333333333333331</v>
      </c>
      <c r="C13" s="2">
        <v>8187.5</v>
      </c>
      <c r="D13" s="2">
        <v>24.5</v>
      </c>
      <c r="E13" s="3">
        <f t="shared" si="1"/>
        <v>6.7037007916713118E-4</v>
      </c>
      <c r="F13" s="4">
        <f t="shared" si="0"/>
        <v>744.06837774807502</v>
      </c>
    </row>
    <row r="14" spans="1:7">
      <c r="A14" s="7">
        <v>42878</v>
      </c>
      <c r="B14" s="1">
        <v>0.33333333333333331</v>
      </c>
      <c r="C14" s="2">
        <v>8191.9</v>
      </c>
      <c r="D14" s="2">
        <v>24.6</v>
      </c>
      <c r="E14" s="3">
        <f t="shared" si="1"/>
        <v>4.9549298463520686E-4</v>
      </c>
      <c r="F14" s="4">
        <f t="shared" si="0"/>
        <v>744.05054028443283</v>
      </c>
    </row>
    <row r="15" spans="1:7">
      <c r="A15" s="7">
        <v>42885</v>
      </c>
      <c r="B15" s="1">
        <v>0.33333333333333331</v>
      </c>
      <c r="C15" s="2">
        <v>8196.2000000000007</v>
      </c>
      <c r="D15" s="2">
        <v>24</v>
      </c>
      <c r="E15" s="3">
        <f t="shared" si="1"/>
        <v>-2.4495277824087419E-4</v>
      </c>
      <c r="F15" s="4">
        <f t="shared" si="0"/>
        <v>743.97501481661948</v>
      </c>
    </row>
    <row r="16" spans="1:7">
      <c r="A16" s="7">
        <v>42896</v>
      </c>
      <c r="B16" s="1">
        <v>0.33333333333333331</v>
      </c>
      <c r="C16" s="2">
        <v>8158.6</v>
      </c>
      <c r="D16" s="2">
        <v>22.1</v>
      </c>
      <c r="E16" s="3">
        <f t="shared" si="1"/>
        <v>3.9649642325774101E-4</v>
      </c>
      <c r="F16" s="4">
        <f t="shared" si="0"/>
        <v>744.04044263517233</v>
      </c>
    </row>
    <row r="17" spans="1:7">
      <c r="A17" s="7">
        <v>42906</v>
      </c>
      <c r="B17" s="1">
        <v>0.33333333333333331</v>
      </c>
      <c r="C17" s="2">
        <v>8140.5</v>
      </c>
      <c r="D17" s="2">
        <v>20.7</v>
      </c>
      <c r="E17" s="3">
        <f t="shared" si="1"/>
        <v>3.0956617091902963E-4</v>
      </c>
      <c r="F17" s="4">
        <f t="shared" si="0"/>
        <v>744.03157574943373</v>
      </c>
    </row>
    <row r="18" spans="1:7">
      <c r="A18" s="7">
        <v>42916</v>
      </c>
      <c r="B18" s="1">
        <v>0.33333333333333331</v>
      </c>
      <c r="C18" s="2">
        <v>8137.2</v>
      </c>
      <c r="D18" s="2">
        <v>19.600000000000001</v>
      </c>
      <c r="E18" s="3">
        <f t="shared" si="1"/>
        <v>-3.9582687510258605E-4</v>
      </c>
      <c r="F18" s="4">
        <f t="shared" si="0"/>
        <v>743.95962565873958</v>
      </c>
    </row>
    <row r="19" spans="1:7">
      <c r="A19" s="7">
        <v>42926</v>
      </c>
      <c r="B19" s="1">
        <v>0.33333333333333331</v>
      </c>
      <c r="C19" s="2">
        <v>8154.3</v>
      </c>
      <c r="D19" s="2">
        <v>19.2</v>
      </c>
      <c r="E19" s="3">
        <f t="shared" si="1"/>
        <v>-1.7199820221361385E-3</v>
      </c>
      <c r="F19" s="4">
        <f t="shared" si="0"/>
        <v>743.82456183374211</v>
      </c>
      <c r="G19" s="2"/>
    </row>
    <row r="20" spans="1:7">
      <c r="A20" s="7">
        <v>42936</v>
      </c>
      <c r="B20" s="1">
        <v>0.33333333333333331</v>
      </c>
      <c r="C20" s="2">
        <v>8131.3</v>
      </c>
      <c r="D20" s="2">
        <v>18.899999999999999</v>
      </c>
      <c r="E20" s="3">
        <f t="shared" si="1"/>
        <v>-6.2296448164265474E-4</v>
      </c>
      <c r="F20" s="4">
        <f t="shared" si="0"/>
        <v>743.93645762287247</v>
      </c>
      <c r="G20" s="2"/>
    </row>
    <row r="21" spans="1:7">
      <c r="A21" s="7">
        <v>42946</v>
      </c>
      <c r="B21" s="1">
        <v>0.33333333333333331</v>
      </c>
      <c r="C21" s="2">
        <v>8134.5</v>
      </c>
      <c r="D21" s="2">
        <v>18.7</v>
      </c>
      <c r="E21" s="3">
        <f t="shared" si="1"/>
        <v>-9.7295858453098558E-4</v>
      </c>
      <c r="F21" s="4">
        <f t="shared" si="0"/>
        <v>743.9007582243778</v>
      </c>
      <c r="G21" s="2"/>
    </row>
    <row r="22" spans="1:7">
      <c r="A22" s="7">
        <v>42957</v>
      </c>
      <c r="B22" s="1">
        <v>0.33333333333333331</v>
      </c>
      <c r="C22" s="2">
        <v>8109</v>
      </c>
      <c r="D22" s="2">
        <v>18.5</v>
      </c>
      <c r="E22" s="3">
        <f t="shared" si="1"/>
        <v>3.520836232788916E-4</v>
      </c>
      <c r="F22" s="4">
        <f t="shared" si="0"/>
        <v>744.03591252957449</v>
      </c>
    </row>
    <row r="23" spans="1:7">
      <c r="A23" s="7">
        <v>42967</v>
      </c>
      <c r="B23" s="1">
        <v>0.33333333333333331</v>
      </c>
      <c r="C23" s="2">
        <v>8122.7</v>
      </c>
      <c r="D23" s="2">
        <v>18.600000000000001</v>
      </c>
      <c r="E23" s="3">
        <f t="shared" si="1"/>
        <v>-3.6596449389570893E-4</v>
      </c>
      <c r="F23" s="4">
        <f t="shared" si="0"/>
        <v>743.96267162162269</v>
      </c>
    </row>
    <row r="24" spans="1:7">
      <c r="A24" s="6">
        <v>42977</v>
      </c>
      <c r="B24" s="1">
        <v>0.33333333333333331</v>
      </c>
      <c r="C24" s="2">
        <v>8103.6</v>
      </c>
      <c r="D24" s="2">
        <v>18.899999999999999</v>
      </c>
      <c r="E24" s="3">
        <f t="shared" si="1"/>
        <v>9.9386089774468854E-4</v>
      </c>
      <c r="F24" s="4">
        <f t="shared" si="0"/>
        <v>744.10137381156994</v>
      </c>
    </row>
    <row r="25" spans="1:7">
      <c r="A25" s="7">
        <v>42988</v>
      </c>
      <c r="B25" s="9">
        <v>0.33333333333333331</v>
      </c>
      <c r="C25" s="2">
        <v>8098.7</v>
      </c>
      <c r="D25" s="2">
        <v>18.399999999999999</v>
      </c>
      <c r="E25" s="3">
        <f t="shared" si="1"/>
        <v>8.7179415056341802E-4</v>
      </c>
      <c r="F25" s="4">
        <f t="shared" si="0"/>
        <v>744.08892300335742</v>
      </c>
    </row>
    <row r="26" spans="1:7">
      <c r="A26" s="7">
        <v>42998</v>
      </c>
      <c r="B26" s="9">
        <v>0.33333333333333331</v>
      </c>
      <c r="C26" s="2">
        <v>8132.1</v>
      </c>
      <c r="D26" s="2">
        <v>18.600000000000001</v>
      </c>
      <c r="E26" s="3">
        <f t="shared" si="1"/>
        <v>-9.1454146209047835E-4</v>
      </c>
      <c r="F26" s="4">
        <f t="shared" si="0"/>
        <v>743.90671677086675</v>
      </c>
    </row>
    <row r="27" spans="1:7">
      <c r="A27" s="7">
        <v>43008</v>
      </c>
      <c r="B27" s="9">
        <v>0.33333333333333331</v>
      </c>
      <c r="C27" s="2">
        <v>8145.3</v>
      </c>
      <c r="D27" s="2">
        <v>18.5</v>
      </c>
      <c r="E27" s="3">
        <f t="shared" si="1"/>
        <v>-1.7663662471254348E-3</v>
      </c>
      <c r="F27" s="4">
        <f t="shared" si="0"/>
        <v>743.81983064279325</v>
      </c>
    </row>
    <row r="28" spans="1:7">
      <c r="A28" s="7">
        <v>43018</v>
      </c>
      <c r="B28" s="9">
        <v>0.33333333333333331</v>
      </c>
      <c r="C28" s="2">
        <v>8115.3</v>
      </c>
      <c r="D28" s="2">
        <v>18.100000000000001</v>
      </c>
      <c r="E28" s="3">
        <f t="shared" si="1"/>
        <v>-3.4219921107946256E-4</v>
      </c>
      <c r="F28" s="4">
        <f t="shared" si="0"/>
        <v>743.96509568046986</v>
      </c>
    </row>
    <row r="29" spans="1:7">
      <c r="A29" s="7">
        <v>43230</v>
      </c>
      <c r="B29" s="1">
        <v>0.33333333333333331</v>
      </c>
      <c r="C29" s="2">
        <v>8065.1</v>
      </c>
      <c r="D29" s="2">
        <v>8.4</v>
      </c>
      <c r="E29" s="3">
        <f t="shared" si="1"/>
        <v>-5.3289145836275878E-3</v>
      </c>
      <c r="F29" s="4">
        <f t="shared" si="0"/>
        <v>743.45645071246997</v>
      </c>
    </row>
    <row r="30" spans="1:7">
      <c r="A30" s="7">
        <v>43240</v>
      </c>
      <c r="B30" s="1">
        <v>0.33333333333333331</v>
      </c>
      <c r="C30" s="2">
        <v>8062.3</v>
      </c>
      <c r="D30" s="2">
        <v>13.6</v>
      </c>
      <c r="E30" s="3">
        <f t="shared" ref="E30:E38" si="2">($B$2*C30^2+$B$3*C30+$B$4)-$B$5*D30-$E$7</f>
        <v>-9.2051929811778205E-4</v>
      </c>
      <c r="F30" s="4">
        <f t="shared" si="0"/>
        <v>743.906107031592</v>
      </c>
    </row>
    <row r="31" spans="1:7">
      <c r="A31" s="7">
        <v>43250</v>
      </c>
      <c r="B31" s="1">
        <v>0.33333333333333331</v>
      </c>
      <c r="C31" s="2">
        <v>8052.1</v>
      </c>
      <c r="D31" s="2">
        <v>13.6</v>
      </c>
      <c r="E31" s="3">
        <f t="shared" si="2"/>
        <v>-3.2454282229834458E-4</v>
      </c>
      <c r="F31" s="4">
        <f t="shared" si="0"/>
        <v>743.96689663212555</v>
      </c>
    </row>
    <row r="32" spans="1:7">
      <c r="A32" s="7">
        <v>43261</v>
      </c>
      <c r="B32" s="1">
        <v>0.33333333333333331</v>
      </c>
      <c r="C32" s="2">
        <v>8059.6</v>
      </c>
      <c r="D32" s="2">
        <v>13.2</v>
      </c>
      <c r="E32" s="3">
        <f t="shared" si="2"/>
        <v>-1.0892948885976861E-3</v>
      </c>
      <c r="F32" s="4">
        <f t="shared" si="0"/>
        <v>743.88889192136298</v>
      </c>
    </row>
    <row r="33" spans="1:6">
      <c r="A33" s="7">
        <v>43271</v>
      </c>
      <c r="B33" s="1">
        <v>0.33333333333333331</v>
      </c>
      <c r="C33" s="2">
        <v>8059.8</v>
      </c>
      <c r="D33" s="2">
        <v>13.1</v>
      </c>
      <c r="E33" s="3">
        <f t="shared" si="2"/>
        <v>-1.1826112045959514E-3</v>
      </c>
      <c r="F33" s="4">
        <f t="shared" si="0"/>
        <v>743.87937365713117</v>
      </c>
    </row>
    <row r="34" spans="1:6">
      <c r="A34" s="7">
        <v>43281</v>
      </c>
      <c r="B34" s="1">
        <v>0.33333333333333331</v>
      </c>
      <c r="C34" s="2">
        <v>8058.5</v>
      </c>
      <c r="D34" s="2">
        <v>12.8</v>
      </c>
      <c r="E34" s="3">
        <f t="shared" si="2"/>
        <v>-1.3515489395349613E-3</v>
      </c>
      <c r="F34" s="4">
        <f t="shared" si="0"/>
        <v>743.86214200816744</v>
      </c>
    </row>
    <row r="35" spans="1:6">
      <c r="A35" s="7">
        <v>43291</v>
      </c>
      <c r="B35" s="1">
        <v>0.33333333333333331</v>
      </c>
      <c r="C35" s="2">
        <v>8044.3</v>
      </c>
      <c r="D35" s="2">
        <v>12.7</v>
      </c>
      <c r="E35" s="3">
        <f t="shared" si="2"/>
        <v>-6.0340529117420237E-4</v>
      </c>
      <c r="F35" s="4">
        <f t="shared" si="0"/>
        <v>743.93845266030019</v>
      </c>
    </row>
    <row r="36" spans="1:6">
      <c r="A36" s="7">
        <v>43301</v>
      </c>
      <c r="B36" s="1">
        <v>0.33333333333333331</v>
      </c>
      <c r="C36" s="2">
        <v>8053.4</v>
      </c>
      <c r="D36" s="2">
        <v>12.4</v>
      </c>
      <c r="E36" s="3">
        <f t="shared" si="2"/>
        <v>-1.3800783616494759E-3</v>
      </c>
      <c r="F36" s="4">
        <f t="shared" si="0"/>
        <v>743.8592320071117</v>
      </c>
    </row>
    <row r="37" spans="1:6">
      <c r="A37" s="7">
        <v>43311</v>
      </c>
      <c r="B37" s="1">
        <v>0.33333333333333331</v>
      </c>
      <c r="C37" s="2">
        <v>8038.3</v>
      </c>
      <c r="D37" s="2">
        <v>12.1</v>
      </c>
      <c r="E37" s="3">
        <f t="shared" si="2"/>
        <v>-7.4252201776099647E-4</v>
      </c>
      <c r="F37" s="4">
        <f t="shared" si="0"/>
        <v>743.92426275418836</v>
      </c>
    </row>
    <row r="38" spans="1:6">
      <c r="A38" s="7">
        <v>43322</v>
      </c>
      <c r="B38" s="1">
        <v>0.33333333333333331</v>
      </c>
      <c r="C38" s="2">
        <v>8033.8</v>
      </c>
      <c r="D38" s="2">
        <v>11.7</v>
      </c>
      <c r="E38" s="3">
        <f t="shared" si="2"/>
        <v>-8.0602056749675376E-4</v>
      </c>
      <c r="F38" s="4">
        <f t="shared" si="0"/>
        <v>743.91778590211538</v>
      </c>
    </row>
    <row r="39" spans="1:6">
      <c r="A39" s="7">
        <v>43332</v>
      </c>
      <c r="B39" s="1">
        <v>0.33333333333333331</v>
      </c>
      <c r="C39" s="2">
        <v>8039.3</v>
      </c>
      <c r="D39" s="2">
        <v>11.7</v>
      </c>
      <c r="E39" s="3">
        <f t="shared" ref="E39:E56" si="3">($B$2*C39^2+$B$3*C39+$B$4)-$B$5*D39-$E$7</f>
        <v>-1.1274933829282432E-3</v>
      </c>
      <c r="F39" s="4">
        <f t="shared" ref="F39:F56" si="4">$D$1+102*E39</f>
        <v>743.88499567494136</v>
      </c>
    </row>
    <row r="40" spans="1:6">
      <c r="A40" s="7">
        <v>43342</v>
      </c>
      <c r="B40" s="1">
        <v>0.33333333333333331</v>
      </c>
      <c r="C40" s="2">
        <v>8039.8</v>
      </c>
      <c r="D40" s="2">
        <v>11.5</v>
      </c>
      <c r="E40" s="3">
        <f t="shared" si="3"/>
        <v>-1.3199786925719645E-3</v>
      </c>
      <c r="F40" s="4">
        <f t="shared" si="4"/>
        <v>743.86536217335765</v>
      </c>
    </row>
    <row r="41" spans="1:6">
      <c r="A41" s="7">
        <v>43353</v>
      </c>
      <c r="B41" s="1">
        <v>0.33333333333333331</v>
      </c>
      <c r="C41" s="2">
        <v>8041</v>
      </c>
      <c r="D41" s="2">
        <v>11.4</v>
      </c>
      <c r="E41" s="3">
        <f t="shared" si="3"/>
        <v>-1.471744621321153E-3</v>
      </c>
      <c r="F41" s="4">
        <f t="shared" si="4"/>
        <v>743.8498820486252</v>
      </c>
    </row>
    <row r="42" spans="1:6">
      <c r="A42" s="7">
        <v>43363</v>
      </c>
      <c r="B42" s="1">
        <v>0.33333333333333331</v>
      </c>
      <c r="C42" s="2">
        <v>8017.8</v>
      </c>
      <c r="D42" s="2">
        <v>11.3</v>
      </c>
      <c r="E42" s="3">
        <f t="shared" si="3"/>
        <v>-1.9717986757358461E-4</v>
      </c>
      <c r="F42" s="4">
        <f t="shared" si="4"/>
        <v>743.97988765350749</v>
      </c>
    </row>
    <row r="43" spans="1:6">
      <c r="A43" s="7">
        <v>43373</v>
      </c>
      <c r="B43" s="1">
        <v>0.33333333333333331</v>
      </c>
      <c r="C43" s="2">
        <v>8038.7</v>
      </c>
      <c r="D43" s="2">
        <v>11.2</v>
      </c>
      <c r="E43" s="3">
        <f t="shared" si="3"/>
        <v>-1.5005800831684995E-3</v>
      </c>
      <c r="F43" s="4">
        <f t="shared" si="4"/>
        <v>743.8469408315168</v>
      </c>
    </row>
    <row r="44" spans="1:6">
      <c r="A44" s="7">
        <v>43383</v>
      </c>
      <c r="B44" s="1">
        <v>0.33333333333333331</v>
      </c>
      <c r="C44" s="2">
        <v>8041.4</v>
      </c>
      <c r="D44" s="2">
        <v>10.8</v>
      </c>
      <c r="E44" s="3">
        <f t="shared" si="3"/>
        <v>-1.9849086126622634E-3</v>
      </c>
      <c r="F44" s="4">
        <f t="shared" si="4"/>
        <v>743.79753932150845</v>
      </c>
    </row>
    <row r="45" spans="1:6">
      <c r="A45" s="7">
        <v>43393</v>
      </c>
      <c r="B45" s="1">
        <v>0.33333333333333331</v>
      </c>
      <c r="C45" s="2">
        <v>8042.7</v>
      </c>
      <c r="D45" s="2">
        <v>10.5</v>
      </c>
      <c r="E45" s="3">
        <f t="shared" si="3"/>
        <v>-2.3057789855917901E-3</v>
      </c>
      <c r="F45" s="4">
        <f t="shared" si="4"/>
        <v>743.76481054346959</v>
      </c>
    </row>
    <row r="46" spans="1:6">
      <c r="A46" s="7">
        <v>43605</v>
      </c>
      <c r="B46" s="1">
        <v>0.33333333333333331</v>
      </c>
      <c r="C46" s="2">
        <v>8043.2</v>
      </c>
      <c r="D46" s="2">
        <v>10</v>
      </c>
      <c r="E46" s="3">
        <f t="shared" si="3"/>
        <v>-2.7431556045754563E-3</v>
      </c>
      <c r="F46" s="4">
        <f t="shared" si="4"/>
        <v>743.72019812833332</v>
      </c>
    </row>
    <row r="47" spans="1:6">
      <c r="A47" s="7">
        <v>43615</v>
      </c>
      <c r="B47" s="1">
        <v>0.33333333333333331</v>
      </c>
      <c r="C47" s="2">
        <v>8045.7</v>
      </c>
      <c r="D47" s="2">
        <v>10.199999999999999</v>
      </c>
      <c r="E47" s="3">
        <f t="shared" si="3"/>
        <v>-2.7259979700962177E-3</v>
      </c>
      <c r="F47" s="4">
        <f t="shared" si="4"/>
        <v>743.72194820705022</v>
      </c>
    </row>
    <row r="48" spans="1:6">
      <c r="A48" s="7">
        <v>43626</v>
      </c>
      <c r="B48" s="1">
        <v>0.33333333333333331</v>
      </c>
      <c r="C48" s="2">
        <v>8046.9</v>
      </c>
      <c r="D48" s="2">
        <v>10.4</v>
      </c>
      <c r="E48" s="3">
        <f t="shared" si="3"/>
        <v>-2.6328638577428152E-3</v>
      </c>
      <c r="F48" s="4">
        <f t="shared" si="4"/>
        <v>743.73144788651018</v>
      </c>
    </row>
    <row r="49" spans="1:6">
      <c r="A49" s="7">
        <v>43636</v>
      </c>
      <c r="B49" s="1">
        <v>0.33333333333333331</v>
      </c>
      <c r="C49" s="2">
        <v>8050.3</v>
      </c>
      <c r="D49" s="2">
        <v>10.5</v>
      </c>
      <c r="E49" s="3">
        <f t="shared" si="3"/>
        <v>-2.7499207623713287E-3</v>
      </c>
      <c r="F49" s="4">
        <f t="shared" si="4"/>
        <v>743.71950808223812</v>
      </c>
    </row>
    <row r="50" spans="1:6">
      <c r="A50" s="7">
        <v>43646</v>
      </c>
      <c r="B50" s="1">
        <v>0.33333333333333331</v>
      </c>
      <c r="C50" s="2">
        <v>8047.6</v>
      </c>
      <c r="D50" s="2">
        <v>10.7</v>
      </c>
      <c r="E50" s="3">
        <f t="shared" si="3"/>
        <v>-2.428878130856937E-3</v>
      </c>
      <c r="F50" s="4">
        <f t="shared" si="4"/>
        <v>743.75225443065256</v>
      </c>
    </row>
    <row r="51" spans="1:6">
      <c r="A51" s="7">
        <v>43656</v>
      </c>
      <c r="B51" s="1">
        <v>0.33333333333333331</v>
      </c>
      <c r="C51" s="2">
        <v>8045.3</v>
      </c>
      <c r="D51" s="2">
        <v>10.7</v>
      </c>
      <c r="E51" s="3">
        <f t="shared" si="3"/>
        <v>-2.294466689305474E-3</v>
      </c>
      <c r="F51" s="4">
        <f t="shared" si="4"/>
        <v>743.76596439769082</v>
      </c>
    </row>
    <row r="52" spans="1:6">
      <c r="A52" s="7">
        <v>43666</v>
      </c>
      <c r="B52" s="1">
        <v>0.33333333333333331</v>
      </c>
      <c r="C52" s="2">
        <v>8040.1</v>
      </c>
      <c r="D52" s="2">
        <v>10.9</v>
      </c>
      <c r="E52" s="3">
        <f t="shared" si="3"/>
        <v>-1.8272985590176167E-3</v>
      </c>
      <c r="F52" s="4">
        <f t="shared" si="4"/>
        <v>743.81361554698026</v>
      </c>
    </row>
    <row r="53" spans="1:6">
      <c r="A53" s="7">
        <v>43676</v>
      </c>
      <c r="B53" s="1">
        <v>0.33333333333333331</v>
      </c>
      <c r="C53" s="2">
        <v>8017.6</v>
      </c>
      <c r="D53" s="2">
        <v>11.2</v>
      </c>
      <c r="E53" s="3">
        <f t="shared" si="3"/>
        <v>-2.6711719772492919E-4</v>
      </c>
      <c r="F53" s="4">
        <f t="shared" si="4"/>
        <v>743.97275404583206</v>
      </c>
    </row>
    <row r="54" spans="1:6">
      <c r="A54" s="7">
        <v>43687</v>
      </c>
      <c r="B54" s="1">
        <v>0.33333333333333331</v>
      </c>
      <c r="C54" s="2">
        <v>8019.3</v>
      </c>
      <c r="D54" s="2">
        <v>11.4</v>
      </c>
      <c r="E54" s="3">
        <f t="shared" si="3"/>
        <v>-2.0325012344412675E-4</v>
      </c>
      <c r="F54" s="4">
        <f t="shared" si="4"/>
        <v>743.97926848740872</v>
      </c>
    </row>
    <row r="55" spans="1:6">
      <c r="A55" s="7">
        <v>43697</v>
      </c>
      <c r="B55" s="1">
        <v>0.33333333333333331</v>
      </c>
      <c r="C55" s="2">
        <v>8010.8</v>
      </c>
      <c r="D55" s="2">
        <v>11.6</v>
      </c>
      <c r="E55" s="3">
        <f t="shared" si="3"/>
        <v>4.5701524637570962E-4</v>
      </c>
      <c r="F55" s="4">
        <f t="shared" si="4"/>
        <v>744.0466155551303</v>
      </c>
    </row>
    <row r="56" spans="1:6">
      <c r="A56" s="7">
        <v>43707</v>
      </c>
      <c r="B56" s="1">
        <v>0.33333333333333331</v>
      </c>
      <c r="C56" s="2">
        <v>7991.3</v>
      </c>
      <c r="D56" s="2">
        <v>8.1999999999999993</v>
      </c>
      <c r="E56" s="3">
        <f t="shared" si="3"/>
        <v>-1.1779830521345507E-3</v>
      </c>
      <c r="F56" s="4">
        <f t="shared" si="4"/>
        <v>743.87984572868231</v>
      </c>
    </row>
  </sheetData>
  <phoneticPr fontId="4" type="noConversion"/>
  <pageMargins left="0.69930555555555596" right="0.69930555555555596" top="0.75" bottom="0.75" header="0.3" footer="0.3"/>
  <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9"/>
  <sheetViews>
    <sheetView topLeftCell="A34" workbookViewId="0">
      <selection activeCell="A53" sqref="A53:B59"/>
    </sheetView>
  </sheetViews>
  <sheetFormatPr defaultColWidth="9" defaultRowHeight="13.5"/>
  <cols>
    <col min="1" max="1" width="11.625" bestFit="1" customWidth="1"/>
    <col min="2" max="2" width="13.875" customWidth="1"/>
  </cols>
  <sheetData>
    <row r="1" spans="1:7">
      <c r="A1" t="s">
        <v>0</v>
      </c>
      <c r="B1">
        <v>50407</v>
      </c>
      <c r="C1" t="s">
        <v>1</v>
      </c>
      <c r="D1">
        <v>738</v>
      </c>
    </row>
    <row r="2" spans="1:7">
      <c r="A2" t="s">
        <v>2</v>
      </c>
      <c r="B2" s="10">
        <v>2.4631100000000002E-11</v>
      </c>
    </row>
    <row r="3" spans="1:7">
      <c r="A3" t="s">
        <v>3</v>
      </c>
      <c r="B3">
        <v>-5.6700999999999998E-5</v>
      </c>
    </row>
    <row r="4" spans="1:7">
      <c r="A4" t="s">
        <v>4</v>
      </c>
      <c r="B4">
        <v>0.43862690999999998</v>
      </c>
    </row>
    <row r="5" spans="1:7">
      <c r="A5" t="s">
        <v>5</v>
      </c>
      <c r="B5">
        <v>-7.9604700000000003E-4</v>
      </c>
    </row>
    <row r="6" spans="1:7">
      <c r="A6" t="s">
        <v>6</v>
      </c>
      <c r="B6" t="s">
        <v>7</v>
      </c>
      <c r="C6" t="s">
        <v>8</v>
      </c>
      <c r="D6" t="s">
        <v>9</v>
      </c>
      <c r="E6" t="s">
        <v>10</v>
      </c>
      <c r="F6" t="s">
        <v>11</v>
      </c>
      <c r="G6" t="s">
        <v>12</v>
      </c>
    </row>
    <row r="7" spans="1:7">
      <c r="A7" s="7">
        <v>42852</v>
      </c>
      <c r="B7" s="1">
        <v>0.33333333333333331</v>
      </c>
      <c r="C7" s="2">
        <v>7680.2</v>
      </c>
      <c r="D7" s="2">
        <v>8.1</v>
      </c>
      <c r="E7" s="3">
        <f>($B$2*C7^2+$B$3*C7+$B$4)-$B$5*D7</f>
        <v>1.1052747560364484E-2</v>
      </c>
      <c r="G7" t="s">
        <v>13</v>
      </c>
    </row>
    <row r="8" spans="1:7">
      <c r="A8" s="7">
        <v>42852</v>
      </c>
      <c r="B8" s="1">
        <v>0.33333333333333331</v>
      </c>
      <c r="C8" s="2">
        <v>7863.4</v>
      </c>
      <c r="D8" s="2">
        <v>22.9</v>
      </c>
      <c r="E8" s="3">
        <f>($B$2*C8^2+$B$3*C8+$B$4)-$B$5*D8-$E$7</f>
        <v>1.4640116129638076E-3</v>
      </c>
      <c r="F8" s="4">
        <f>$D$1+102*E8</f>
        <v>738.14932918452234</v>
      </c>
      <c r="G8" t="s">
        <v>14</v>
      </c>
    </row>
    <row r="9" spans="1:7">
      <c r="A9" s="7">
        <v>42853</v>
      </c>
      <c r="B9" s="1">
        <v>0.33333333333333331</v>
      </c>
      <c r="C9" s="2">
        <v>7857</v>
      </c>
      <c r="D9" s="2">
        <v>22.5</v>
      </c>
      <c r="E9" s="3">
        <f t="shared" ref="E9:E41" si="0">($B$2*C9^2+$B$3*C9+$B$4)-$B$5*D9-$E$7</f>
        <v>1.5060010641993766E-3</v>
      </c>
      <c r="F9" s="4">
        <f t="shared" ref="F9:F41" si="1">$D$1+102*E9</f>
        <v>738.15361210854837</v>
      </c>
    </row>
    <row r="10" spans="1:7">
      <c r="A10" s="7">
        <v>42854</v>
      </c>
      <c r="B10" s="1">
        <v>0.33333333333333331</v>
      </c>
      <c r="C10" s="2">
        <v>7850.1</v>
      </c>
      <c r="D10" s="2">
        <v>22.2</v>
      </c>
      <c r="E10" s="3">
        <f t="shared" si="0"/>
        <v>1.6557543704587962E-3</v>
      </c>
      <c r="F10" s="4">
        <f t="shared" si="1"/>
        <v>738.16888694578677</v>
      </c>
    </row>
    <row r="11" spans="1:7">
      <c r="A11" s="7">
        <v>42855</v>
      </c>
      <c r="B11" s="1">
        <v>0.33333333333333331</v>
      </c>
      <c r="C11" s="2">
        <v>7845.3</v>
      </c>
      <c r="D11" s="2">
        <v>22.1</v>
      </c>
      <c r="E11" s="3">
        <f t="shared" si="0"/>
        <v>1.8464588146175093E-3</v>
      </c>
      <c r="F11" s="4">
        <f t="shared" si="1"/>
        <v>738.18833879909096</v>
      </c>
    </row>
    <row r="12" spans="1:7">
      <c r="A12" s="7">
        <v>42856</v>
      </c>
      <c r="B12" s="1">
        <v>0.33333333333333331</v>
      </c>
      <c r="C12" s="2">
        <v>7834.2</v>
      </c>
      <c r="D12" s="2">
        <v>21.5</v>
      </c>
      <c r="E12" s="3">
        <f t="shared" si="0"/>
        <v>1.9939248576273331E-3</v>
      </c>
      <c r="F12" s="4">
        <f t="shared" si="1"/>
        <v>738.20338033547796</v>
      </c>
    </row>
    <row r="13" spans="1:7">
      <c r="A13" s="7">
        <v>42857</v>
      </c>
      <c r="B13" s="1">
        <v>0.33333333333333331</v>
      </c>
      <c r="C13" s="2">
        <v>7827.5</v>
      </c>
      <c r="D13" s="2">
        <v>20.9</v>
      </c>
      <c r="E13" s="3">
        <f t="shared" si="0"/>
        <v>1.8936087328048825E-3</v>
      </c>
      <c r="F13" s="4">
        <f t="shared" si="1"/>
        <v>738.19314809074615</v>
      </c>
    </row>
    <row r="14" spans="1:7">
      <c r="A14" s="7">
        <v>42858</v>
      </c>
      <c r="B14" s="1">
        <v>0.33333333333333331</v>
      </c>
      <c r="C14" s="2">
        <v>7821.5</v>
      </c>
      <c r="D14" s="2">
        <v>20.2</v>
      </c>
      <c r="E14" s="3">
        <f t="shared" si="0"/>
        <v>1.6742691203014987E-3</v>
      </c>
      <c r="F14" s="4">
        <f t="shared" si="1"/>
        <v>738.17077545027075</v>
      </c>
    </row>
    <row r="15" spans="1:7">
      <c r="A15" s="7">
        <v>42859</v>
      </c>
      <c r="B15" s="1">
        <v>0.33333333333333331</v>
      </c>
      <c r="C15" s="2">
        <v>7817</v>
      </c>
      <c r="D15" s="2">
        <v>19.899999999999999</v>
      </c>
      <c r="E15" s="3">
        <f t="shared" si="0"/>
        <v>1.6888761497434301E-3</v>
      </c>
      <c r="F15" s="4">
        <f t="shared" si="1"/>
        <v>738.17226536727378</v>
      </c>
    </row>
    <row r="16" spans="1:7">
      <c r="A16" s="7">
        <v>42865</v>
      </c>
      <c r="B16" s="1">
        <v>0.33333333333333331</v>
      </c>
      <c r="C16" s="2">
        <v>7795.4</v>
      </c>
      <c r="D16" s="2">
        <v>18.5</v>
      </c>
      <c r="E16" s="3">
        <f t="shared" si="0"/>
        <v>1.7908456570936478E-3</v>
      </c>
      <c r="F16" s="4">
        <f t="shared" si="1"/>
        <v>738.18266625702358</v>
      </c>
    </row>
    <row r="17" spans="1:7">
      <c r="A17" s="7">
        <v>42875</v>
      </c>
      <c r="B17" s="1">
        <v>0.33333333333333331</v>
      </c>
      <c r="C17" s="2">
        <v>7702.3</v>
      </c>
      <c r="D17" s="2">
        <v>14.3</v>
      </c>
      <c r="E17" s="3">
        <f t="shared" si="0"/>
        <v>3.6907727224960267E-3</v>
      </c>
      <c r="F17" s="4">
        <f t="shared" si="1"/>
        <v>738.37645881769458</v>
      </c>
    </row>
    <row r="18" spans="1:7">
      <c r="A18" s="7">
        <v>42885</v>
      </c>
      <c r="B18" s="1">
        <v>0.33333333333333331</v>
      </c>
      <c r="C18" s="2">
        <v>7735.7</v>
      </c>
      <c r="D18" s="2">
        <v>12.9</v>
      </c>
      <c r="E18" s="3">
        <f t="shared" si="0"/>
        <v>6.9519403688414645E-4</v>
      </c>
      <c r="F18" s="4">
        <f t="shared" si="1"/>
        <v>738.07090979176223</v>
      </c>
    </row>
    <row r="19" spans="1:7">
      <c r="A19" s="7">
        <v>42896</v>
      </c>
      <c r="B19" s="1">
        <v>0.33333333333333331</v>
      </c>
      <c r="C19" s="2">
        <v>7726.9</v>
      </c>
      <c r="D19" s="2">
        <v>12.7</v>
      </c>
      <c r="E19" s="3">
        <f t="shared" si="0"/>
        <v>1.0316018614318079E-3</v>
      </c>
      <c r="F19" s="4">
        <f t="shared" si="1"/>
        <v>738.10522338986607</v>
      </c>
      <c r="G19" s="2"/>
    </row>
    <row r="20" spans="1:7">
      <c r="A20" s="7">
        <v>42906</v>
      </c>
      <c r="B20" s="1">
        <v>0.33333333333333331</v>
      </c>
      <c r="C20" s="2">
        <v>7710</v>
      </c>
      <c r="D20" s="2">
        <v>12</v>
      </c>
      <c r="E20" s="3">
        <f t="shared" si="0"/>
        <v>1.4261900111455037E-3</v>
      </c>
      <c r="F20" s="4">
        <f t="shared" si="1"/>
        <v>738.14547138113687</v>
      </c>
      <c r="G20" s="2"/>
    </row>
    <row r="21" spans="1:7">
      <c r="A21" s="7">
        <v>42916</v>
      </c>
      <c r="B21" s="1">
        <v>0.33333333333333331</v>
      </c>
      <c r="C21" s="2">
        <v>7698.6</v>
      </c>
      <c r="D21" s="2">
        <v>11.9</v>
      </c>
      <c r="E21" s="3">
        <f t="shared" si="0"/>
        <v>1.9886500603964411E-3</v>
      </c>
      <c r="F21" s="4">
        <f t="shared" si="1"/>
        <v>738.20284230616039</v>
      </c>
      <c r="G21" s="2"/>
    </row>
    <row r="22" spans="1:7">
      <c r="A22" s="7">
        <v>42926</v>
      </c>
      <c r="B22" s="1">
        <v>0.33333333333333331</v>
      </c>
      <c r="C22" s="2">
        <v>7724.7</v>
      </c>
      <c r="D22" s="2">
        <v>11.5</v>
      </c>
      <c r="E22" s="3">
        <f t="shared" si="0"/>
        <v>2.0025036364128973E-4</v>
      </c>
      <c r="F22" s="4">
        <f t="shared" si="1"/>
        <v>738.02042553709146</v>
      </c>
    </row>
    <row r="23" spans="1:7">
      <c r="A23" s="7">
        <v>42936</v>
      </c>
      <c r="B23" s="1">
        <v>0.33333333333333331</v>
      </c>
      <c r="C23" s="2">
        <v>7714.7</v>
      </c>
      <c r="D23" s="2">
        <v>11.3</v>
      </c>
      <c r="E23" s="3">
        <f t="shared" si="0"/>
        <v>6.0424806958793952E-4</v>
      </c>
      <c r="F23" s="4">
        <f t="shared" si="1"/>
        <v>738.06163330309801</v>
      </c>
    </row>
    <row r="24" spans="1:7">
      <c r="A24" s="6">
        <v>42946</v>
      </c>
      <c r="B24" s="1">
        <v>0.33333333333333331</v>
      </c>
      <c r="C24" s="2">
        <v>7715.2</v>
      </c>
      <c r="D24" s="2">
        <v>11.1</v>
      </c>
      <c r="E24" s="3">
        <f t="shared" si="0"/>
        <v>4.1687819729290324E-4</v>
      </c>
      <c r="F24" s="4">
        <f t="shared" si="1"/>
        <v>738.04252157612393</v>
      </c>
    </row>
    <row r="25" spans="1:7">
      <c r="A25" s="7">
        <v>42957</v>
      </c>
      <c r="B25" s="9">
        <v>0.33333333333333331</v>
      </c>
      <c r="C25" s="2">
        <v>7704.8</v>
      </c>
      <c r="D25" s="2">
        <v>10.9</v>
      </c>
      <c r="E25" s="3">
        <f t="shared" si="0"/>
        <v>8.4340915704802025E-4</v>
      </c>
      <c r="F25" s="4">
        <f t="shared" si="1"/>
        <v>738.0860277340189</v>
      </c>
    </row>
    <row r="26" spans="1:7">
      <c r="A26" s="7">
        <v>42967</v>
      </c>
      <c r="B26" s="9">
        <v>0.33333333333333331</v>
      </c>
      <c r="C26" s="2">
        <v>7713.3</v>
      </c>
      <c r="D26" s="2">
        <v>11.2</v>
      </c>
      <c r="E26" s="3">
        <f t="shared" si="0"/>
        <v>6.0349275753277323E-4</v>
      </c>
      <c r="F26" s="4">
        <f t="shared" si="1"/>
        <v>738.06155626126838</v>
      </c>
    </row>
    <row r="27" spans="1:7">
      <c r="A27" s="7">
        <v>42977</v>
      </c>
      <c r="B27" s="9">
        <v>0.33333333333333331</v>
      </c>
      <c r="C27" s="2">
        <v>7697.6</v>
      </c>
      <c r="D27" s="2">
        <v>11.5</v>
      </c>
      <c r="E27" s="3">
        <f t="shared" si="0"/>
        <v>1.7265530350546385E-3</v>
      </c>
      <c r="F27" s="4">
        <f t="shared" si="1"/>
        <v>738.17610840957559</v>
      </c>
    </row>
    <row r="28" spans="1:7">
      <c r="A28" s="7">
        <v>42988</v>
      </c>
      <c r="B28" s="9">
        <v>0.33333333333333331</v>
      </c>
      <c r="C28" s="2">
        <v>7691.9</v>
      </c>
      <c r="D28" s="2">
        <v>10.8</v>
      </c>
      <c r="E28" s="3">
        <f t="shared" si="0"/>
        <v>1.4903551912680314E-3</v>
      </c>
      <c r="F28" s="4">
        <f t="shared" si="1"/>
        <v>738.15201622950929</v>
      </c>
    </row>
    <row r="29" spans="1:7">
      <c r="A29" s="7">
        <v>42998</v>
      </c>
      <c r="B29" s="1">
        <v>0.33333333333333331</v>
      </c>
      <c r="C29" s="2">
        <v>7707.6</v>
      </c>
      <c r="D29" s="2">
        <v>10.8</v>
      </c>
      <c r="E29" s="3">
        <f t="shared" si="0"/>
        <v>6.0610460527186008E-4</v>
      </c>
      <c r="F29" s="4">
        <f t="shared" si="1"/>
        <v>738.06182266973769</v>
      </c>
    </row>
    <row r="30" spans="1:7">
      <c r="A30" s="7">
        <v>43008</v>
      </c>
      <c r="B30" s="1">
        <v>0.33333333333333331</v>
      </c>
      <c r="C30" s="2">
        <v>7705.4</v>
      </c>
      <c r="D30" s="2">
        <v>10.9</v>
      </c>
      <c r="E30" s="3">
        <f t="shared" si="0"/>
        <v>8.0961629915439828E-4</v>
      </c>
      <c r="F30" s="4">
        <f t="shared" si="1"/>
        <v>738.08258086251374</v>
      </c>
    </row>
    <row r="31" spans="1:7">
      <c r="A31" s="7">
        <v>43018</v>
      </c>
      <c r="B31" s="1">
        <v>0.33333333333333331</v>
      </c>
      <c r="C31" s="2">
        <v>7710.3</v>
      </c>
      <c r="D31" s="2">
        <v>9.1999999999999993</v>
      </c>
      <c r="E31" s="3">
        <f t="shared" si="0"/>
        <v>-8.1963794316911899E-4</v>
      </c>
      <c r="F31" s="4">
        <f t="shared" si="1"/>
        <v>737.91639692979675</v>
      </c>
    </row>
    <row r="32" spans="1:7">
      <c r="A32" s="7">
        <v>43230</v>
      </c>
      <c r="B32" s="1">
        <v>0.33333333333333331</v>
      </c>
      <c r="C32" s="2">
        <v>7706.3</v>
      </c>
      <c r="D32" s="2">
        <v>11.1</v>
      </c>
      <c r="E32" s="3">
        <f t="shared" si="0"/>
        <v>9.1813644556586541E-4</v>
      </c>
      <c r="F32" s="4">
        <f t="shared" si="1"/>
        <v>738.09364991744769</v>
      </c>
    </row>
    <row r="33" spans="1:6">
      <c r="A33" s="7">
        <v>43240</v>
      </c>
      <c r="B33" s="1">
        <v>0.33333333333333331</v>
      </c>
      <c r="C33" s="2">
        <v>7704.3</v>
      </c>
      <c r="D33" s="2">
        <v>10.8</v>
      </c>
      <c r="E33" s="3">
        <f t="shared" si="0"/>
        <v>7.9196518550653586E-4</v>
      </c>
      <c r="F33" s="4">
        <f t="shared" si="1"/>
        <v>738.0807804489217</v>
      </c>
    </row>
    <row r="34" spans="1:6">
      <c r="A34" s="7">
        <v>43250</v>
      </c>
      <c r="B34" s="1">
        <v>0.33333333333333331</v>
      </c>
      <c r="C34" s="2">
        <v>7696.4</v>
      </c>
      <c r="D34" s="2">
        <v>10.9</v>
      </c>
      <c r="E34" s="3">
        <f t="shared" si="0"/>
        <v>1.3165110296705813E-3</v>
      </c>
      <c r="F34" s="4">
        <f t="shared" si="1"/>
        <v>738.1342841250264</v>
      </c>
    </row>
    <row r="35" spans="1:6">
      <c r="A35" s="7">
        <v>43261</v>
      </c>
      <c r="B35" s="1">
        <v>0.33333333333333331</v>
      </c>
      <c r="C35" s="2">
        <v>7676.3</v>
      </c>
      <c r="D35" s="2">
        <v>10.7</v>
      </c>
      <c r="E35" s="3">
        <f t="shared" si="0"/>
        <v>2.2893809348000661E-3</v>
      </c>
      <c r="F35" s="4">
        <f t="shared" si="1"/>
        <v>738.23351685534965</v>
      </c>
    </row>
    <row r="36" spans="1:6">
      <c r="A36" s="7">
        <v>43271</v>
      </c>
      <c r="B36" s="1">
        <v>0.33333333333333331</v>
      </c>
      <c r="C36" s="2">
        <v>7490.4</v>
      </c>
      <c r="D36" s="2">
        <v>10.7</v>
      </c>
      <c r="E36" s="3">
        <f t="shared" si="0"/>
        <v>1.2760649706237736E-2</v>
      </c>
      <c r="F36" s="4">
        <f t="shared" si="1"/>
        <v>739.3015862700363</v>
      </c>
    </row>
    <row r="37" spans="1:6">
      <c r="A37" s="7">
        <v>43281</v>
      </c>
      <c r="B37" s="1">
        <v>0.33333333333333331</v>
      </c>
      <c r="C37" s="2">
        <v>7530.8</v>
      </c>
      <c r="D37" s="2">
        <v>11</v>
      </c>
      <c r="E37" s="3">
        <f t="shared" si="0"/>
        <v>1.0723690948882205E-2</v>
      </c>
      <c r="F37" s="4">
        <f t="shared" si="1"/>
        <v>739.09381647678595</v>
      </c>
    </row>
    <row r="38" spans="1:6">
      <c r="A38" s="7">
        <v>43291</v>
      </c>
      <c r="B38" s="1">
        <v>0.33333333333333331</v>
      </c>
      <c r="C38" s="2">
        <v>7584.5</v>
      </c>
      <c r="D38" s="2">
        <v>10.9</v>
      </c>
      <c r="E38" s="3">
        <f t="shared" si="0"/>
        <v>7.6192354060972845E-3</v>
      </c>
      <c r="F38" s="4">
        <f t="shared" si="1"/>
        <v>738.77716201142198</v>
      </c>
    </row>
    <row r="39" spans="1:6">
      <c r="A39" s="7">
        <v>43301</v>
      </c>
      <c r="B39" s="1">
        <v>0.33333333333333331</v>
      </c>
      <c r="C39" s="2">
        <v>7633.5</v>
      </c>
      <c r="D39" s="2">
        <v>10.6</v>
      </c>
      <c r="E39" s="3">
        <f t="shared" si="0"/>
        <v>4.6204392740074613E-3</v>
      </c>
      <c r="F39" s="4">
        <f t="shared" si="1"/>
        <v>738.47128480594881</v>
      </c>
    </row>
    <row r="40" spans="1:6">
      <c r="A40" s="7">
        <v>43311</v>
      </c>
      <c r="B40" s="1">
        <v>0.33333333333333331</v>
      </c>
      <c r="C40" s="2">
        <v>7629.5</v>
      </c>
      <c r="D40" s="2">
        <v>10.4</v>
      </c>
      <c r="E40" s="3">
        <f t="shared" si="0"/>
        <v>4.6865300960902984E-3</v>
      </c>
      <c r="F40" s="4">
        <f t="shared" si="1"/>
        <v>738.47802606980122</v>
      </c>
    </row>
    <row r="41" spans="1:6">
      <c r="A41" s="7">
        <v>43322</v>
      </c>
      <c r="B41" s="1">
        <v>0.33333333333333331</v>
      </c>
      <c r="C41" s="2">
        <v>7591.5</v>
      </c>
      <c r="D41" s="2">
        <v>10.3</v>
      </c>
      <c r="E41" s="3">
        <f t="shared" si="0"/>
        <v>6.7473168171124798E-3</v>
      </c>
      <c r="F41" s="4">
        <f t="shared" si="1"/>
        <v>738.68822631534545</v>
      </c>
    </row>
    <row r="42" spans="1:6">
      <c r="A42" s="7">
        <v>43332</v>
      </c>
      <c r="B42" s="1">
        <v>0.33333333333333331</v>
      </c>
      <c r="C42" s="2">
        <v>7618.4</v>
      </c>
      <c r="D42" s="2">
        <v>10.3</v>
      </c>
      <c r="E42" s="3">
        <f t="shared" ref="E42:E59" si="2">($B$2*C42^2+$B$3*C42+$B$4)-$B$5*D42-$E$7</f>
        <v>5.2321376407887688E-3</v>
      </c>
      <c r="F42" s="4">
        <f t="shared" ref="F42:F59" si="3">$D$1+102*E42</f>
        <v>738.53367803936044</v>
      </c>
    </row>
    <row r="43" spans="1:6">
      <c r="A43" s="7">
        <v>43342</v>
      </c>
      <c r="B43" s="1">
        <v>0.33333333333333331</v>
      </c>
      <c r="C43" s="2">
        <v>7592.3</v>
      </c>
      <c r="D43" s="2">
        <v>9.9</v>
      </c>
      <c r="E43" s="3">
        <f t="shared" si="2"/>
        <v>6.3838364120694501E-3</v>
      </c>
      <c r="F43" s="4">
        <f t="shared" si="3"/>
        <v>738.65115131403104</v>
      </c>
    </row>
    <row r="44" spans="1:6">
      <c r="A44" s="7">
        <v>43353</v>
      </c>
      <c r="B44" s="1">
        <v>0.33333333333333331</v>
      </c>
      <c r="C44" s="2">
        <v>7506.2</v>
      </c>
      <c r="D44" s="2">
        <v>9.6999999999999993</v>
      </c>
      <c r="E44" s="3">
        <f t="shared" si="2"/>
        <v>1.1074563153755055E-2</v>
      </c>
      <c r="F44" s="4">
        <f t="shared" si="3"/>
        <v>739.129605441683</v>
      </c>
    </row>
    <row r="45" spans="1:6">
      <c r="A45" s="7">
        <v>43363</v>
      </c>
      <c r="B45" s="1">
        <v>0.33333333333333331</v>
      </c>
      <c r="C45" s="2">
        <v>7536.2</v>
      </c>
      <c r="D45" s="2">
        <v>10</v>
      </c>
      <c r="E45" s="3">
        <f t="shared" si="2"/>
        <v>9.6234625795141564E-3</v>
      </c>
      <c r="F45" s="4">
        <f t="shared" si="3"/>
        <v>738.98159318311048</v>
      </c>
    </row>
    <row r="46" spans="1:6">
      <c r="A46" s="7">
        <v>43373</v>
      </c>
      <c r="B46" s="1">
        <v>0.33333333333333331</v>
      </c>
      <c r="C46" s="2">
        <v>7542.7</v>
      </c>
      <c r="D46" s="2">
        <v>9.5</v>
      </c>
      <c r="E46" s="3">
        <f t="shared" si="2"/>
        <v>8.8592967438238888E-3</v>
      </c>
      <c r="F46" s="4">
        <f t="shared" si="3"/>
        <v>738.90364826787004</v>
      </c>
    </row>
    <row r="47" spans="1:6">
      <c r="A47" s="7">
        <v>43383</v>
      </c>
      <c r="B47" s="1">
        <v>0.33333333333333331</v>
      </c>
      <c r="C47" s="2">
        <v>7547.6</v>
      </c>
      <c r="D47" s="2">
        <v>9.3000000000000007</v>
      </c>
      <c r="E47" s="3">
        <f t="shared" si="2"/>
        <v>8.4240737281966547E-3</v>
      </c>
      <c r="F47" s="4">
        <f t="shared" si="3"/>
        <v>738.85925552027606</v>
      </c>
    </row>
    <row r="48" spans="1:6">
      <c r="A48" s="7">
        <v>43393</v>
      </c>
      <c r="B48" s="1">
        <v>0.33333333333333331</v>
      </c>
      <c r="C48" s="2">
        <v>7551.3</v>
      </c>
      <c r="D48" s="2">
        <v>9</v>
      </c>
      <c r="E48" s="3">
        <f t="shared" si="2"/>
        <v>7.9768419675050242E-3</v>
      </c>
      <c r="F48" s="4">
        <f t="shared" si="3"/>
        <v>738.81363788068552</v>
      </c>
    </row>
    <row r="49" spans="1:6">
      <c r="A49" s="7">
        <v>43605</v>
      </c>
      <c r="B49" s="1">
        <v>0.33333333333333331</v>
      </c>
      <c r="C49" s="2">
        <v>7597.4</v>
      </c>
      <c r="D49" s="2">
        <v>8.3000000000000007</v>
      </c>
      <c r="E49" s="3">
        <f t="shared" si="2"/>
        <v>4.8228942210697696E-3</v>
      </c>
      <c r="F49" s="4">
        <f t="shared" si="3"/>
        <v>738.49193521054917</v>
      </c>
    </row>
    <row r="50" spans="1:6">
      <c r="A50" s="7">
        <v>43615</v>
      </c>
      <c r="B50" s="1">
        <v>0.33333333333333331</v>
      </c>
      <c r="C50" s="2">
        <v>7599.2</v>
      </c>
      <c r="D50" s="2">
        <v>8.6999999999999993</v>
      </c>
      <c r="E50" s="3">
        <f t="shared" si="2"/>
        <v>5.0399249772234162E-3</v>
      </c>
      <c r="F50" s="4">
        <f t="shared" si="3"/>
        <v>738.5140723476768</v>
      </c>
    </row>
    <row r="51" spans="1:6">
      <c r="A51" s="7">
        <v>43626</v>
      </c>
      <c r="B51" s="1">
        <v>0.33333333333333331</v>
      </c>
      <c r="C51" s="2">
        <v>7602.4</v>
      </c>
      <c r="D51" s="2">
        <v>8.9</v>
      </c>
      <c r="E51" s="3">
        <f t="shared" si="2"/>
        <v>5.0188893600386416E-3</v>
      </c>
      <c r="F51" s="4">
        <f t="shared" si="3"/>
        <v>738.51192671472393</v>
      </c>
    </row>
    <row r="52" spans="1:6">
      <c r="A52" s="7">
        <v>43636</v>
      </c>
      <c r="B52" s="1">
        <v>0.33333333333333331</v>
      </c>
      <c r="C52" s="2">
        <v>7608.6</v>
      </c>
      <c r="D52" s="2">
        <v>9.1999999999999993</v>
      </c>
      <c r="E52" s="3">
        <f t="shared" si="2"/>
        <v>4.9084801747436759E-3</v>
      </c>
      <c r="F52" s="4">
        <f t="shared" si="3"/>
        <v>738.50066497782382</v>
      </c>
    </row>
    <row r="53" spans="1:6">
      <c r="A53" s="7">
        <v>43646</v>
      </c>
      <c r="B53" s="1">
        <v>0.33333333333333331</v>
      </c>
      <c r="C53" s="2">
        <v>7605.3</v>
      </c>
      <c r="D53" s="2">
        <v>9</v>
      </c>
      <c r="E53" s="3">
        <f t="shared" si="2"/>
        <v>4.935147448939128E-3</v>
      </c>
      <c r="F53" s="4">
        <f t="shared" si="3"/>
        <v>738.50338503979174</v>
      </c>
    </row>
    <row r="54" spans="1:6">
      <c r="A54" s="7">
        <v>43656</v>
      </c>
      <c r="B54" s="1">
        <v>0.33333333333333331</v>
      </c>
      <c r="C54" s="2">
        <v>7589.2</v>
      </c>
      <c r="D54" s="2">
        <v>8.6999999999999993</v>
      </c>
      <c r="E54" s="3">
        <f t="shared" si="2"/>
        <v>5.6031939072309928E-3</v>
      </c>
      <c r="F54" s="4">
        <f t="shared" si="3"/>
        <v>738.57152577853753</v>
      </c>
    </row>
    <row r="55" spans="1:6">
      <c r="A55" s="7">
        <v>43666</v>
      </c>
      <c r="B55" s="1">
        <v>0.33333333333333331</v>
      </c>
      <c r="C55" s="2">
        <v>7585.3</v>
      </c>
      <c r="D55" s="2">
        <v>8.9</v>
      </c>
      <c r="E55" s="3">
        <f t="shared" si="2"/>
        <v>5.982079525185929E-3</v>
      </c>
      <c r="F55" s="4">
        <f t="shared" si="3"/>
        <v>738.610172111569</v>
      </c>
    </row>
    <row r="56" spans="1:6">
      <c r="A56" s="7">
        <v>43676</v>
      </c>
      <c r="B56" s="1">
        <v>0.33333333333333331</v>
      </c>
      <c r="C56" s="2">
        <v>7583.1</v>
      </c>
      <c r="D56" s="2">
        <v>9.1999999999999993</v>
      </c>
      <c r="E56" s="3">
        <f t="shared" si="2"/>
        <v>6.3448138735559736E-3</v>
      </c>
      <c r="F56" s="4">
        <f t="shared" si="3"/>
        <v>738.64717101510269</v>
      </c>
    </row>
    <row r="57" spans="1:6">
      <c r="A57" s="7">
        <v>43687</v>
      </c>
      <c r="B57" s="1">
        <v>0.33333333333333331</v>
      </c>
      <c r="C57" s="2">
        <v>7582.6</v>
      </c>
      <c r="D57" s="2">
        <v>9.4</v>
      </c>
      <c r="E57" s="3">
        <f t="shared" si="2"/>
        <v>6.5321869996193219E-3</v>
      </c>
      <c r="F57" s="4">
        <f t="shared" si="3"/>
        <v>738.66628307396115</v>
      </c>
    </row>
    <row r="58" spans="1:6">
      <c r="A58" s="7">
        <v>43697</v>
      </c>
      <c r="B58" s="1">
        <v>0.33333333333333331</v>
      </c>
      <c r="C58" s="2">
        <v>7580.7</v>
      </c>
      <c r="D58" s="2">
        <v>9.6</v>
      </c>
      <c r="E58" s="3">
        <f t="shared" si="2"/>
        <v>6.7984186709779352E-3</v>
      </c>
      <c r="F58" s="4">
        <f t="shared" si="3"/>
        <v>738.6934387044397</v>
      </c>
    </row>
    <row r="59" spans="1:6">
      <c r="A59" s="7">
        <v>43707</v>
      </c>
      <c r="B59" s="1">
        <v>0.33333333333333331</v>
      </c>
      <c r="C59" s="2">
        <v>7452.8</v>
      </c>
      <c r="D59" s="2">
        <v>8.6</v>
      </c>
      <c r="E59" s="3">
        <f t="shared" si="2"/>
        <v>1.3207069269985315E-2</v>
      </c>
      <c r="F59" s="4">
        <f t="shared" si="3"/>
        <v>739.34712106553854</v>
      </c>
    </row>
  </sheetData>
  <phoneticPr fontId="5" type="noConversion"/>
  <pageMargins left="0.69930555555555596" right="0.69930555555555596" top="0.75" bottom="0.75" header="0.3" footer="0.3"/>
  <drawing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7"/>
  <sheetViews>
    <sheetView topLeftCell="A34" workbookViewId="0">
      <selection activeCell="A51" sqref="A51:B57"/>
    </sheetView>
  </sheetViews>
  <sheetFormatPr defaultColWidth="9" defaultRowHeight="13.5"/>
  <cols>
    <col min="1" max="1" width="11.625" bestFit="1" customWidth="1"/>
    <col min="2" max="2" width="13.875" customWidth="1"/>
  </cols>
  <sheetData>
    <row r="1" spans="1:7">
      <c r="A1" t="s">
        <v>0</v>
      </c>
      <c r="B1">
        <v>50402</v>
      </c>
      <c r="C1" t="s">
        <v>1</v>
      </c>
      <c r="D1">
        <v>741.5</v>
      </c>
    </row>
    <row r="2" spans="1:7">
      <c r="A2" t="s">
        <v>2</v>
      </c>
      <c r="B2" s="10">
        <v>5.5727600000000003E-10</v>
      </c>
    </row>
    <row r="3" spans="1:7">
      <c r="A3" t="s">
        <v>3</v>
      </c>
      <c r="B3">
        <v>-7.8232999999999994E-5</v>
      </c>
    </row>
    <row r="4" spans="1:7">
      <c r="A4" t="s">
        <v>4</v>
      </c>
      <c r="B4">
        <v>0.61706318000000004</v>
      </c>
    </row>
    <row r="5" spans="1:7">
      <c r="A5" t="s">
        <v>5</v>
      </c>
      <c r="B5">
        <v>-9.787140000000001E-4</v>
      </c>
    </row>
    <row r="6" spans="1:7">
      <c r="A6" t="s">
        <v>6</v>
      </c>
      <c r="B6" t="s">
        <v>7</v>
      </c>
      <c r="C6" t="s">
        <v>8</v>
      </c>
      <c r="D6" t="s">
        <v>9</v>
      </c>
      <c r="E6" t="s">
        <v>10</v>
      </c>
      <c r="F6" t="s">
        <v>11</v>
      </c>
      <c r="G6" t="s">
        <v>12</v>
      </c>
    </row>
    <row r="7" spans="1:7">
      <c r="A7" s="7">
        <v>42864</v>
      </c>
      <c r="B7" s="1">
        <v>0.5625</v>
      </c>
      <c r="C7" s="2">
        <v>8364.1</v>
      </c>
      <c r="D7" s="2">
        <v>15.7</v>
      </c>
      <c r="E7" s="3">
        <f>($B$2*C7^2+$B$3*C7+$B$4)-$B$5*D7</f>
        <v>1.7066362981761656E-2</v>
      </c>
      <c r="G7" t="s">
        <v>13</v>
      </c>
    </row>
    <row r="8" spans="1:7">
      <c r="A8" s="7">
        <v>42864</v>
      </c>
      <c r="B8" s="1">
        <v>0.64583333333333337</v>
      </c>
      <c r="C8" s="2">
        <v>8358.5</v>
      </c>
      <c r="D8" s="2">
        <v>17</v>
      </c>
      <c r="E8" s="3">
        <f>($B$2*C8^2+$B$3*C8+$B$4)-$B$5*D8-$E$7</f>
        <v>1.6582460196294876E-3</v>
      </c>
      <c r="F8" s="4">
        <f>$D$1+102*E8</f>
        <v>741.66914109400216</v>
      </c>
      <c r="G8" t="s">
        <v>14</v>
      </c>
    </row>
    <row r="9" spans="1:7">
      <c r="A9" s="7">
        <v>42865</v>
      </c>
      <c r="B9" s="1">
        <v>0.33333333333333331</v>
      </c>
      <c r="C9" s="2">
        <v>8311.1</v>
      </c>
      <c r="D9" s="2">
        <v>12.9</v>
      </c>
      <c r="E9" s="3">
        <f t="shared" ref="E9:E39" si="0">($B$2*C9^2+$B$3*C9+$B$4)-$B$5*D9-$E$7</f>
        <v>9.1343729597439388E-4</v>
      </c>
      <c r="F9" s="4">
        <f t="shared" ref="F9:F39" si="1">$D$1+102*E9</f>
        <v>741.59317060418937</v>
      </c>
    </row>
    <row r="10" spans="1:7">
      <c r="A10" s="7">
        <v>42866</v>
      </c>
      <c r="B10" s="1">
        <v>0.33333333333333331</v>
      </c>
      <c r="C10" s="2">
        <v>8338.6</v>
      </c>
      <c r="D10" s="2">
        <v>14.1</v>
      </c>
      <c r="E10" s="3">
        <f t="shared" si="0"/>
        <v>1.91644746947401E-4</v>
      </c>
      <c r="F10" s="4">
        <f t="shared" si="1"/>
        <v>741.51954776418859</v>
      </c>
    </row>
    <row r="11" spans="1:7">
      <c r="A11" s="7">
        <v>42867</v>
      </c>
      <c r="B11" s="1">
        <v>0.33333333333333331</v>
      </c>
      <c r="C11" s="2">
        <v>8368.7999999999993</v>
      </c>
      <c r="D11" s="2">
        <v>16.7</v>
      </c>
      <c r="E11" s="3">
        <f t="shared" si="0"/>
        <v>6.5484566482793688E-4</v>
      </c>
      <c r="F11" s="4">
        <f t="shared" si="1"/>
        <v>741.56679425781249</v>
      </c>
    </row>
    <row r="12" spans="1:7">
      <c r="A12" s="7">
        <v>42868</v>
      </c>
      <c r="B12" s="1">
        <v>0.33333333333333331</v>
      </c>
      <c r="C12" s="2">
        <v>8371.5</v>
      </c>
      <c r="D12" s="2">
        <v>17.7</v>
      </c>
      <c r="E12" s="3">
        <f t="shared" si="0"/>
        <v>1.447518776869456E-3</v>
      </c>
      <c r="F12" s="4">
        <f t="shared" si="1"/>
        <v>741.64764691524067</v>
      </c>
    </row>
    <row r="13" spans="1:7">
      <c r="A13" s="7">
        <v>42869</v>
      </c>
      <c r="B13" s="1">
        <v>0.33333333333333331</v>
      </c>
      <c r="C13" s="2">
        <v>8382.1</v>
      </c>
      <c r="D13" s="2">
        <v>18.399999999999999</v>
      </c>
      <c r="E13" s="3">
        <f t="shared" si="0"/>
        <v>1.4023143963215849E-3</v>
      </c>
      <c r="F13" s="4">
        <f t="shared" si="1"/>
        <v>741.64303606842475</v>
      </c>
    </row>
    <row r="14" spans="1:7">
      <c r="A14" s="7">
        <v>42870</v>
      </c>
      <c r="B14" s="1">
        <v>0.33333333333333331</v>
      </c>
      <c r="C14" s="2">
        <v>8387.2999999999993</v>
      </c>
      <c r="D14" s="2">
        <v>19.2</v>
      </c>
      <c r="E14" s="3">
        <f t="shared" si="0"/>
        <v>1.8270689539244822E-3</v>
      </c>
      <c r="F14" s="4">
        <f t="shared" si="1"/>
        <v>741.68636103330027</v>
      </c>
    </row>
    <row r="15" spans="1:7">
      <c r="A15" s="7">
        <v>42875</v>
      </c>
      <c r="B15" s="1">
        <v>0.33333333333333331</v>
      </c>
      <c r="C15" s="2">
        <v>8383.6</v>
      </c>
      <c r="D15" s="2">
        <v>19.8</v>
      </c>
      <c r="E15" s="3">
        <f t="shared" si="0"/>
        <v>2.6691791796713306E-3</v>
      </c>
      <c r="F15" s="4">
        <f t="shared" si="1"/>
        <v>741.77225627632652</v>
      </c>
    </row>
    <row r="16" spans="1:7">
      <c r="A16" s="7">
        <v>42885</v>
      </c>
      <c r="B16" s="1">
        <v>0.33333333333333331</v>
      </c>
      <c r="C16" s="2">
        <v>8404.9</v>
      </c>
      <c r="D16" s="2">
        <v>19.899999999999999</v>
      </c>
      <c r="E16" s="3">
        <f t="shared" si="0"/>
        <v>1.2999668187552403E-3</v>
      </c>
      <c r="F16" s="4">
        <f t="shared" si="1"/>
        <v>741.63259661551308</v>
      </c>
    </row>
    <row r="17" spans="1:7">
      <c r="A17" s="7">
        <v>42896</v>
      </c>
      <c r="B17" s="1">
        <v>0.33333333333333331</v>
      </c>
      <c r="C17" s="2">
        <v>8392.5</v>
      </c>
      <c r="D17" s="2">
        <v>19.899999999999999</v>
      </c>
      <c r="E17" s="3">
        <f t="shared" si="0"/>
        <v>2.153982249013444E-3</v>
      </c>
      <c r="F17" s="4">
        <f t="shared" si="1"/>
        <v>741.7197061893994</v>
      </c>
    </row>
    <row r="18" spans="1:7">
      <c r="A18" s="7">
        <v>42906</v>
      </c>
      <c r="B18" s="1">
        <v>0.33333333333333331</v>
      </c>
      <c r="C18" s="2">
        <v>8376.4</v>
      </c>
      <c r="D18" s="2">
        <v>18.7</v>
      </c>
      <c r="E18" s="3">
        <f t="shared" si="0"/>
        <v>2.0886237701994402E-3</v>
      </c>
      <c r="F18" s="4">
        <f t="shared" si="1"/>
        <v>741.71303962456034</v>
      </c>
    </row>
    <row r="19" spans="1:7">
      <c r="A19" s="7">
        <v>42916</v>
      </c>
      <c r="B19" s="1">
        <v>0.33333333333333331</v>
      </c>
      <c r="C19" s="2">
        <v>8366.7999999999993</v>
      </c>
      <c r="D19" s="2">
        <v>17.899999999999999</v>
      </c>
      <c r="E19" s="3">
        <f t="shared" si="0"/>
        <v>1.9671157683767218E-3</v>
      </c>
      <c r="F19" s="4">
        <f t="shared" si="1"/>
        <v>741.70064580837447</v>
      </c>
      <c r="G19" s="2"/>
    </row>
    <row r="20" spans="1:7">
      <c r="A20" s="7">
        <v>42926</v>
      </c>
      <c r="B20" s="1">
        <v>0.33333333333333331</v>
      </c>
      <c r="C20" s="2">
        <v>8379.7999999999993</v>
      </c>
      <c r="D20" s="2">
        <v>17.3</v>
      </c>
      <c r="E20" s="3">
        <f t="shared" si="0"/>
        <v>4.8418058577752096E-4</v>
      </c>
      <c r="F20" s="4">
        <f t="shared" si="1"/>
        <v>741.54938641974934</v>
      </c>
      <c r="G20" s="2"/>
    </row>
    <row r="21" spans="1:7">
      <c r="A21" s="7">
        <v>42936</v>
      </c>
      <c r="B21" s="1">
        <v>0.33333333333333331</v>
      </c>
      <c r="C21" s="2">
        <v>8355</v>
      </c>
      <c r="D21" s="2">
        <v>16.8</v>
      </c>
      <c r="E21" s="3">
        <f t="shared" si="0"/>
        <v>1.7037196061383576E-3</v>
      </c>
      <c r="F21" s="4">
        <f t="shared" si="1"/>
        <v>741.67377939982612</v>
      </c>
      <c r="G21" s="2"/>
    </row>
    <row r="22" spans="1:7">
      <c r="A22" s="7">
        <v>42946</v>
      </c>
      <c r="B22" s="1">
        <v>0.33333333333333331</v>
      </c>
      <c r="C22" s="2">
        <v>8353.7999999999993</v>
      </c>
      <c r="D22" s="2">
        <v>16.399999999999999</v>
      </c>
      <c r="E22" s="3">
        <f t="shared" si="0"/>
        <v>1.394939910263869E-3</v>
      </c>
      <c r="F22" s="4">
        <f t="shared" si="1"/>
        <v>741.64228387084688</v>
      </c>
    </row>
    <row r="23" spans="1:7">
      <c r="A23" s="7">
        <v>42957</v>
      </c>
      <c r="B23" s="1">
        <v>0.33333333333333331</v>
      </c>
      <c r="C23" s="2">
        <v>8339.1</v>
      </c>
      <c r="D23" s="2">
        <v>16</v>
      </c>
      <c r="E23" s="3">
        <f t="shared" si="0"/>
        <v>2.0167318879199952E-3</v>
      </c>
      <c r="F23" s="4">
        <f t="shared" si="1"/>
        <v>741.70570665256787</v>
      </c>
    </row>
    <row r="24" spans="1:7">
      <c r="A24" s="6">
        <v>42967</v>
      </c>
      <c r="B24" s="1">
        <v>0.33333333333333331</v>
      </c>
      <c r="C24" s="2">
        <v>8348.5</v>
      </c>
      <c r="D24" s="2">
        <v>16.2</v>
      </c>
      <c r="E24" s="3">
        <f t="shared" si="0"/>
        <v>1.5645007183094119E-3</v>
      </c>
      <c r="F24" s="4">
        <f t="shared" si="1"/>
        <v>741.65957907326754</v>
      </c>
    </row>
    <row r="25" spans="1:7">
      <c r="A25" s="7">
        <v>42977</v>
      </c>
      <c r="B25" s="9">
        <v>0.33333333333333331</v>
      </c>
      <c r="C25" s="2">
        <v>8330.7999999999993</v>
      </c>
      <c r="D25" s="2">
        <v>15.8</v>
      </c>
      <c r="E25" s="3">
        <f t="shared" si="0"/>
        <v>2.393218185823217E-3</v>
      </c>
      <c r="F25" s="4">
        <f t="shared" si="1"/>
        <v>741.74410825495397</v>
      </c>
    </row>
    <row r="26" spans="1:7">
      <c r="A26" s="7">
        <v>42988</v>
      </c>
      <c r="B26" s="9">
        <v>0.33333333333333331</v>
      </c>
      <c r="C26" s="2">
        <v>8325.2999999999993</v>
      </c>
      <c r="D26" s="2">
        <v>15.7</v>
      </c>
      <c r="E26" s="3">
        <f t="shared" si="0"/>
        <v>2.6745770395132373E-3</v>
      </c>
      <c r="F26" s="4">
        <f t="shared" si="1"/>
        <v>741.77280685803032</v>
      </c>
    </row>
    <row r="27" spans="1:7">
      <c r="A27" s="7">
        <v>42998</v>
      </c>
      <c r="B27" s="9">
        <v>0.33333333333333331</v>
      </c>
      <c r="C27" s="2">
        <v>8344.1</v>
      </c>
      <c r="D27" s="2">
        <v>15.9</v>
      </c>
      <c r="E27" s="3">
        <f t="shared" si="0"/>
        <v>1.5741812227359937E-3</v>
      </c>
      <c r="F27" s="4">
        <f t="shared" si="1"/>
        <v>741.66056648471908</v>
      </c>
    </row>
    <row r="28" spans="1:7">
      <c r="A28" s="7">
        <v>43008</v>
      </c>
      <c r="B28" s="9">
        <v>0.33333333333333331</v>
      </c>
      <c r="C28" s="2">
        <v>8341.5</v>
      </c>
      <c r="D28" s="2">
        <v>15.8</v>
      </c>
      <c r="E28" s="3">
        <f t="shared" si="0"/>
        <v>1.6555395632294433E-3</v>
      </c>
      <c r="F28" s="4">
        <f t="shared" si="1"/>
        <v>741.66886503544936</v>
      </c>
    </row>
    <row r="29" spans="1:7">
      <c r="A29" s="7">
        <v>43018</v>
      </c>
      <c r="B29" s="1">
        <v>0.33333333333333331</v>
      </c>
      <c r="C29" s="2">
        <v>8334</v>
      </c>
      <c r="D29" s="2">
        <v>15.5</v>
      </c>
      <c r="E29" s="3">
        <f t="shared" si="0"/>
        <v>1.8789764436944016E-3</v>
      </c>
      <c r="F29" s="4">
        <f t="shared" si="1"/>
        <v>741.69165559725684</v>
      </c>
    </row>
    <row r="30" spans="1:7">
      <c r="A30" s="7">
        <v>43230</v>
      </c>
      <c r="B30" s="1">
        <v>0.33333333333333331</v>
      </c>
      <c r="C30" s="2">
        <v>8312.2999999999993</v>
      </c>
      <c r="D30" s="2">
        <v>13.2</v>
      </c>
      <c r="E30" s="3">
        <f t="shared" si="0"/>
        <v>1.1242884822045343E-3</v>
      </c>
      <c r="F30" s="4">
        <f t="shared" si="1"/>
        <v>741.61467742518482</v>
      </c>
    </row>
    <row r="31" spans="1:7">
      <c r="A31" s="7">
        <v>43240</v>
      </c>
      <c r="B31" s="1">
        <v>0.33333333333333331</v>
      </c>
      <c r="C31" s="2">
        <v>8310.2000000000007</v>
      </c>
      <c r="D31" s="2">
        <v>13.2</v>
      </c>
      <c r="E31" s="3">
        <f t="shared" si="0"/>
        <v>1.2691248095533861E-3</v>
      </c>
      <c r="F31" s="4">
        <f t="shared" si="1"/>
        <v>741.62945073057449</v>
      </c>
    </row>
    <row r="32" spans="1:7">
      <c r="A32" s="7">
        <v>43250</v>
      </c>
      <c r="B32" s="1">
        <v>0.33333333333333331</v>
      </c>
      <c r="C32" s="2">
        <v>8302.7000000000007</v>
      </c>
      <c r="D32" s="2">
        <v>13.2</v>
      </c>
      <c r="E32" s="3">
        <f t="shared" si="0"/>
        <v>1.7864375311003669E-3</v>
      </c>
      <c r="F32" s="4">
        <f t="shared" si="1"/>
        <v>741.68221662817223</v>
      </c>
    </row>
    <row r="33" spans="1:6">
      <c r="A33" s="7">
        <v>43261</v>
      </c>
      <c r="B33" s="1">
        <v>0.33333333333333331</v>
      </c>
      <c r="C33" s="2">
        <v>8310.1</v>
      </c>
      <c r="D33" s="2">
        <v>12.9</v>
      </c>
      <c r="E33" s="3">
        <f t="shared" si="0"/>
        <v>9.8240770012316542E-4</v>
      </c>
      <c r="F33" s="4">
        <f t="shared" si="1"/>
        <v>741.6002055854126</v>
      </c>
    </row>
    <row r="34" spans="1:6">
      <c r="A34" s="7">
        <v>43271</v>
      </c>
      <c r="B34" s="1">
        <v>0.33333333333333331</v>
      </c>
      <c r="C34" s="2">
        <v>8311.5</v>
      </c>
      <c r="D34" s="2">
        <v>12.8</v>
      </c>
      <c r="E34" s="3">
        <f t="shared" si="0"/>
        <v>7.8797804638949462E-4</v>
      </c>
      <c r="F34" s="4">
        <f t="shared" si="1"/>
        <v>741.58037376073173</v>
      </c>
    </row>
    <row r="35" spans="1:6">
      <c r="A35" s="7">
        <v>43281</v>
      </c>
      <c r="B35" s="1">
        <v>0.33333333333333331</v>
      </c>
      <c r="C35" s="2">
        <v>8305.6</v>
      </c>
      <c r="D35" s="2">
        <v>12.7</v>
      </c>
      <c r="E35" s="3">
        <f t="shared" si="0"/>
        <v>1.0970455113738266E-3</v>
      </c>
      <c r="F35" s="4">
        <f t="shared" si="1"/>
        <v>741.6118986421601</v>
      </c>
    </row>
    <row r="36" spans="1:6">
      <c r="A36" s="7">
        <v>43291</v>
      </c>
      <c r="B36" s="1">
        <v>0.33333333333333331</v>
      </c>
      <c r="C36" s="2">
        <v>8292.6</v>
      </c>
      <c r="D36" s="2">
        <v>12.7</v>
      </c>
      <c r="E36" s="3">
        <f t="shared" si="0"/>
        <v>1.9938273908322347E-3</v>
      </c>
      <c r="F36" s="4">
        <f t="shared" si="1"/>
        <v>741.70337039386493</v>
      </c>
    </row>
    <row r="37" spans="1:6">
      <c r="A37" s="7">
        <v>43301</v>
      </c>
      <c r="B37" s="1">
        <v>0.33333333333333331</v>
      </c>
      <c r="C37" s="2">
        <v>8304.5</v>
      </c>
      <c r="D37" s="2">
        <v>12.7</v>
      </c>
      <c r="E37" s="3">
        <f t="shared" si="0"/>
        <v>1.1729197602774778E-3</v>
      </c>
      <c r="F37" s="4">
        <f t="shared" si="1"/>
        <v>741.61963781554834</v>
      </c>
    </row>
    <row r="38" spans="1:6">
      <c r="A38" s="7">
        <v>43311</v>
      </c>
      <c r="B38" s="1">
        <v>0.33333333333333331</v>
      </c>
      <c r="C38" s="2">
        <v>8292.7000000000007</v>
      </c>
      <c r="D38" s="2">
        <v>12.2</v>
      </c>
      <c r="E38" s="3">
        <f t="shared" si="0"/>
        <v>1.4975713497964414E-3</v>
      </c>
      <c r="F38" s="4">
        <f t="shared" si="1"/>
        <v>741.65275227767927</v>
      </c>
    </row>
    <row r="39" spans="1:6">
      <c r="A39" s="7">
        <v>43322</v>
      </c>
      <c r="B39" s="1">
        <v>0.33333333333333331</v>
      </c>
      <c r="C39" s="2">
        <v>8187.8</v>
      </c>
      <c r="D39" s="2">
        <v>12.1</v>
      </c>
      <c r="E39" s="3">
        <f t="shared" si="0"/>
        <v>8.6429204211183087E-3</v>
      </c>
      <c r="F39" s="4">
        <f t="shared" si="1"/>
        <v>742.38157788295405</v>
      </c>
    </row>
    <row r="40" spans="1:6">
      <c r="A40" s="7">
        <v>43332</v>
      </c>
      <c r="B40" s="1">
        <v>0.33333333333333331</v>
      </c>
      <c r="C40" s="2">
        <v>8292.5</v>
      </c>
      <c r="D40" s="2">
        <v>12</v>
      </c>
      <c r="E40" s="3">
        <f t="shared" ref="E40:E57" si="2">($B$2*C40^2+$B$3*C40+$B$4)-$B$5*D40-$E$7</f>
        <v>1.3156266430134414E-3</v>
      </c>
      <c r="F40" s="4">
        <f t="shared" ref="F40:F57" si="3">$D$1+102*E40</f>
        <v>741.63419391758737</v>
      </c>
    </row>
    <row r="41" spans="1:6">
      <c r="A41" s="7">
        <v>43342</v>
      </c>
      <c r="B41" s="1">
        <v>0.33333333333333331</v>
      </c>
      <c r="C41" s="2">
        <v>8292.2000000000007</v>
      </c>
      <c r="D41" s="2">
        <v>12.1</v>
      </c>
      <c r="E41" s="3">
        <f t="shared" si="2"/>
        <v>1.4341952664302417E-3</v>
      </c>
      <c r="F41" s="4">
        <f t="shared" si="3"/>
        <v>741.64628791717587</v>
      </c>
    </row>
    <row r="42" spans="1:6">
      <c r="A42" s="7">
        <v>43353</v>
      </c>
      <c r="B42" s="1">
        <v>0.33333333333333331</v>
      </c>
      <c r="C42" s="2">
        <v>8291.9</v>
      </c>
      <c r="D42" s="2">
        <v>11.5</v>
      </c>
      <c r="E42" s="3">
        <f t="shared" si="2"/>
        <v>8.6766419015691168E-4</v>
      </c>
      <c r="F42" s="4">
        <f t="shared" si="3"/>
        <v>741.58850174739598</v>
      </c>
    </row>
    <row r="43" spans="1:6">
      <c r="A43" s="7">
        <v>43363</v>
      </c>
      <c r="B43" s="1">
        <v>0.33333333333333331</v>
      </c>
      <c r="C43" s="2">
        <v>8272.1</v>
      </c>
      <c r="D43" s="2">
        <v>11.4</v>
      </c>
      <c r="E43" s="3">
        <f t="shared" si="2"/>
        <v>2.1360379408095591E-3</v>
      </c>
      <c r="F43" s="4">
        <f t="shared" si="3"/>
        <v>741.71787586996254</v>
      </c>
    </row>
    <row r="44" spans="1:6">
      <c r="A44" s="7">
        <v>43373</v>
      </c>
      <c r="B44" s="1">
        <v>0.33333333333333331</v>
      </c>
      <c r="C44" s="2">
        <v>8290.7000000000007</v>
      </c>
      <c r="D44" s="2">
        <v>10.8</v>
      </c>
      <c r="E44" s="3">
        <f t="shared" si="2"/>
        <v>2.6535468815964622E-4</v>
      </c>
      <c r="F44" s="4">
        <f t="shared" si="3"/>
        <v>741.52706617819229</v>
      </c>
    </row>
    <row r="45" spans="1:6">
      <c r="A45" s="7">
        <v>43383</v>
      </c>
      <c r="B45" s="1">
        <v>0.33333333333333331</v>
      </c>
      <c r="C45" s="2">
        <v>8292.2999999999993</v>
      </c>
      <c r="D45" s="2">
        <v>10.5</v>
      </c>
      <c r="E45" s="3">
        <f t="shared" si="2"/>
        <v>-1.3864621918755274E-4</v>
      </c>
      <c r="F45" s="4">
        <f t="shared" si="3"/>
        <v>741.48585808564292</v>
      </c>
    </row>
    <row r="46" spans="1:6">
      <c r="A46" s="7">
        <v>43393</v>
      </c>
      <c r="B46" s="1">
        <v>0.33333333333333331</v>
      </c>
      <c r="C46" s="2">
        <v>8295.2999999999993</v>
      </c>
      <c r="D46" s="2">
        <v>10.199999999999999</v>
      </c>
      <c r="E46" s="3">
        <f t="shared" si="2"/>
        <v>-6.3922780505467139E-4</v>
      </c>
      <c r="F46" s="4">
        <f t="shared" si="3"/>
        <v>741.43479876388437</v>
      </c>
    </row>
    <row r="47" spans="1:6">
      <c r="A47" s="7">
        <v>43605</v>
      </c>
      <c r="B47" s="1">
        <v>0.33333333333333331</v>
      </c>
      <c r="C47" s="2">
        <v>8302.6</v>
      </c>
      <c r="D47" s="2">
        <v>9.4</v>
      </c>
      <c r="E47" s="3">
        <f t="shared" si="2"/>
        <v>-1.9257777424158493E-3</v>
      </c>
      <c r="F47" s="4">
        <f t="shared" si="3"/>
        <v>741.30357067027353</v>
      </c>
    </row>
    <row r="48" spans="1:6">
      <c r="A48" s="7">
        <v>43615</v>
      </c>
      <c r="B48" s="1">
        <v>0.33333333333333331</v>
      </c>
      <c r="C48" s="2">
        <v>8306.4</v>
      </c>
      <c r="D48" s="2">
        <v>9.6</v>
      </c>
      <c r="E48" s="3">
        <f t="shared" si="2"/>
        <v>-1.9921483134965803E-3</v>
      </c>
      <c r="F48" s="4">
        <f t="shared" si="3"/>
        <v>741.29680087202337</v>
      </c>
    </row>
    <row r="49" spans="1:6">
      <c r="A49" s="7">
        <v>43626</v>
      </c>
      <c r="B49" s="1">
        <v>0.33333333333333331</v>
      </c>
      <c r="C49" s="2">
        <v>8310.2000000000007</v>
      </c>
      <c r="D49" s="2">
        <v>10.1</v>
      </c>
      <c r="E49" s="3">
        <f t="shared" si="2"/>
        <v>-1.7648885904466144E-3</v>
      </c>
      <c r="F49" s="4">
        <f t="shared" si="3"/>
        <v>741.31998136377445</v>
      </c>
    </row>
    <row r="50" spans="1:6">
      <c r="A50" s="7">
        <v>43636</v>
      </c>
      <c r="B50" s="1">
        <v>0.33333333333333331</v>
      </c>
      <c r="C50" s="2">
        <v>8312.7000000000007</v>
      </c>
      <c r="D50" s="2">
        <v>10.4</v>
      </c>
      <c r="E50" s="3">
        <f t="shared" si="2"/>
        <v>-1.6436980323955297E-3</v>
      </c>
      <c r="F50" s="4">
        <f t="shared" si="3"/>
        <v>741.33234280069564</v>
      </c>
    </row>
    <row r="51" spans="1:6">
      <c r="A51" s="7">
        <v>43646</v>
      </c>
      <c r="B51" s="1">
        <v>0.33333333333333331</v>
      </c>
      <c r="C51" s="2">
        <v>8308.4</v>
      </c>
      <c r="D51" s="2">
        <v>10.199999999999999</v>
      </c>
      <c r="E51" s="3">
        <f t="shared" si="2"/>
        <v>-1.542867854926985E-3</v>
      </c>
      <c r="F51" s="4">
        <f t="shared" si="3"/>
        <v>741.34262747879745</v>
      </c>
    </row>
    <row r="52" spans="1:6">
      <c r="A52" s="7">
        <v>43656</v>
      </c>
      <c r="B52" s="1">
        <v>0.33333333333333331</v>
      </c>
      <c r="C52" s="2">
        <v>8305.1</v>
      </c>
      <c r="D52" s="2">
        <v>9.6999999999999993</v>
      </c>
      <c r="E52" s="3">
        <f t="shared" si="2"/>
        <v>-1.804608360852774E-3</v>
      </c>
      <c r="F52" s="4">
        <f t="shared" si="3"/>
        <v>741.31592994719301</v>
      </c>
    </row>
    <row r="53" spans="1:6">
      <c r="A53" s="7">
        <v>43666</v>
      </c>
      <c r="B53" s="1">
        <v>0.33333333333333331</v>
      </c>
      <c r="C53" s="2">
        <v>8300.9</v>
      </c>
      <c r="D53" s="2">
        <v>9.9</v>
      </c>
      <c r="E53" s="3">
        <f t="shared" si="2"/>
        <v>-1.3191542869280294E-3</v>
      </c>
      <c r="F53" s="4">
        <f t="shared" si="3"/>
        <v>741.36544626273337</v>
      </c>
    </row>
    <row r="54" spans="1:6">
      <c r="A54" s="7">
        <v>43676</v>
      </c>
      <c r="B54" s="1">
        <v>0.33333333333333331</v>
      </c>
      <c r="C54" s="2">
        <v>8285.2999999999993</v>
      </c>
      <c r="D54" s="2">
        <v>10.4</v>
      </c>
      <c r="E54" s="3">
        <f t="shared" si="2"/>
        <v>2.464452904894221E-4</v>
      </c>
      <c r="F54" s="4">
        <f t="shared" si="3"/>
        <v>741.52513741962991</v>
      </c>
    </row>
    <row r="55" spans="1:6">
      <c r="A55" s="7">
        <v>43687</v>
      </c>
      <c r="B55" s="1">
        <v>0.33333333333333331</v>
      </c>
      <c r="C55" s="2">
        <v>8280.7000000000007</v>
      </c>
      <c r="D55" s="2">
        <v>10.7</v>
      </c>
      <c r="E55" s="3">
        <f t="shared" si="2"/>
        <v>8.5746485309569007E-4</v>
      </c>
      <c r="F55" s="4">
        <f t="shared" si="3"/>
        <v>741.58746141501581</v>
      </c>
    </row>
    <row r="56" spans="1:6">
      <c r="A56" s="7">
        <v>43697</v>
      </c>
      <c r="B56" s="1">
        <v>0.33333333333333331</v>
      </c>
      <c r="C56" s="2">
        <v>8275.2000000000007</v>
      </c>
      <c r="D56" s="2">
        <v>10.9</v>
      </c>
      <c r="E56" s="3">
        <f t="shared" si="2"/>
        <v>1.4327450215894134E-3</v>
      </c>
      <c r="F56" s="4">
        <f t="shared" si="3"/>
        <v>741.64613999220217</v>
      </c>
    </row>
    <row r="57" spans="1:6">
      <c r="A57" s="7">
        <v>43707</v>
      </c>
      <c r="B57" s="1">
        <v>0.33333333333333331</v>
      </c>
      <c r="C57" s="2">
        <v>8247.5</v>
      </c>
      <c r="D57" s="2">
        <v>8.6999999999999993</v>
      </c>
      <c r="E57" s="3">
        <f t="shared" si="2"/>
        <v>1.1915749162134635E-3</v>
      </c>
      <c r="F57" s="4">
        <f t="shared" si="3"/>
        <v>741.62154064145375</v>
      </c>
    </row>
  </sheetData>
  <phoneticPr fontId="5" type="noConversion"/>
  <pageMargins left="0.69930555555555596" right="0.69930555555555596" top="0.75" bottom="0.75" header="0.3" footer="0.3"/>
  <drawing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9"/>
  <sheetViews>
    <sheetView topLeftCell="A34" workbookViewId="0">
      <selection activeCell="A53" sqref="A53:B59"/>
    </sheetView>
  </sheetViews>
  <sheetFormatPr defaultColWidth="9" defaultRowHeight="13.5"/>
  <cols>
    <col min="1" max="1" width="11.625" bestFit="1" customWidth="1"/>
    <col min="2" max="2" width="13.875" customWidth="1"/>
  </cols>
  <sheetData>
    <row r="1" spans="1:7">
      <c r="A1" t="s">
        <v>0</v>
      </c>
      <c r="B1">
        <v>50377</v>
      </c>
      <c r="C1" t="s">
        <v>1</v>
      </c>
      <c r="D1">
        <v>738</v>
      </c>
    </row>
    <row r="2" spans="1:7">
      <c r="A2" t="s">
        <v>2</v>
      </c>
      <c r="B2" s="10">
        <v>8.0490600000000003E-10</v>
      </c>
    </row>
    <row r="3" spans="1:7">
      <c r="A3" t="s">
        <v>3</v>
      </c>
      <c r="B3">
        <v>-8.3943999999999995E-5</v>
      </c>
    </row>
    <row r="4" spans="1:7">
      <c r="A4" t="s">
        <v>4</v>
      </c>
      <c r="B4">
        <v>0.70828749000000002</v>
      </c>
    </row>
    <row r="5" spans="1:7">
      <c r="A5" t="s">
        <v>5</v>
      </c>
      <c r="B5">
        <v>-9.1422200000000002E-4</v>
      </c>
    </row>
    <row r="6" spans="1:7">
      <c r="A6" t="s">
        <v>6</v>
      </c>
      <c r="B6" t="s">
        <v>7</v>
      </c>
      <c r="C6" t="s">
        <v>8</v>
      </c>
      <c r="D6" t="s">
        <v>9</v>
      </c>
      <c r="E6" t="s">
        <v>10</v>
      </c>
      <c r="F6" t="s">
        <v>11</v>
      </c>
      <c r="G6" t="s">
        <v>12</v>
      </c>
    </row>
    <row r="7" spans="1:7">
      <c r="A7" s="7">
        <v>42852</v>
      </c>
      <c r="B7" s="1">
        <v>0.33333333333333331</v>
      </c>
      <c r="C7" s="2">
        <v>9117.2999999999993</v>
      </c>
      <c r="D7" s="2">
        <v>7.5</v>
      </c>
      <c r="E7" s="3">
        <f>($B$2*C7^2+$B$3*C7+$B$4)-$B$5*D7</f>
        <v>1.6709463263476849E-2</v>
      </c>
      <c r="G7" t="s">
        <v>13</v>
      </c>
    </row>
    <row r="8" spans="1:7">
      <c r="A8" s="7">
        <v>42852</v>
      </c>
      <c r="B8" s="1">
        <v>0.33333333333333331</v>
      </c>
      <c r="C8" s="2">
        <v>9231.2999999999993</v>
      </c>
      <c r="D8" s="2">
        <v>16</v>
      </c>
      <c r="E8" s="3">
        <f>($B$2*C8^2+$B$3*C8+$B$4)-$B$5*D8-$E$7</f>
        <v>-1.1507460159760133E-4</v>
      </c>
      <c r="F8" s="4">
        <f>$D$1+102*E8</f>
        <v>737.98826239063703</v>
      </c>
      <c r="G8" t="s">
        <v>14</v>
      </c>
    </row>
    <row r="9" spans="1:7">
      <c r="A9" s="7">
        <v>42853</v>
      </c>
      <c r="B9" s="1">
        <v>0.33333333333333331</v>
      </c>
      <c r="C9" s="2">
        <v>9235.6</v>
      </c>
      <c r="D9" s="2">
        <v>17.399999999999999</v>
      </c>
      <c r="E9" s="3">
        <f t="shared" ref="E9:E41" si="0">($B$2*C9^2+$B$3*C9+$B$4)-$B$5*D9-$E$7</f>
        <v>8.677927084313336E-4</v>
      </c>
      <c r="F9" s="4">
        <f t="shared" ref="F9:F41" si="1">$D$1+102*E9</f>
        <v>738.08851485625996</v>
      </c>
    </row>
    <row r="10" spans="1:7">
      <c r="A10" s="7">
        <v>42854</v>
      </c>
      <c r="B10" s="1">
        <v>0.33333333333333331</v>
      </c>
      <c r="C10" s="2">
        <v>9238.2999999999993</v>
      </c>
      <c r="D10" s="2">
        <v>18.100000000000001</v>
      </c>
      <c r="E10" s="3">
        <f t="shared" si="0"/>
        <v>1.3212476414056068E-3</v>
      </c>
      <c r="F10" s="4">
        <f t="shared" si="1"/>
        <v>738.13476725942337</v>
      </c>
    </row>
    <row r="11" spans="1:7">
      <c r="A11" s="7">
        <v>42855</v>
      </c>
      <c r="B11" s="1">
        <v>0.33333333333333331</v>
      </c>
      <c r="C11" s="2">
        <v>9240.5</v>
      </c>
      <c r="D11" s="2">
        <v>18.7</v>
      </c>
      <c r="E11" s="3">
        <f t="shared" si="0"/>
        <v>1.717826174789723E-3</v>
      </c>
      <c r="F11" s="4">
        <f t="shared" si="1"/>
        <v>738.17521826982852</v>
      </c>
    </row>
    <row r="12" spans="1:7">
      <c r="A12" s="7">
        <v>42856</v>
      </c>
      <c r="B12" s="1">
        <v>0.33333333333333331</v>
      </c>
      <c r="C12" s="2">
        <v>9247.4</v>
      </c>
      <c r="D12" s="2">
        <v>19</v>
      </c>
      <c r="E12" s="3">
        <f t="shared" si="0"/>
        <v>1.5155582240878769E-3</v>
      </c>
      <c r="F12" s="4">
        <f t="shared" si="1"/>
        <v>738.15458693885694</v>
      </c>
    </row>
    <row r="13" spans="1:7">
      <c r="A13" s="7">
        <v>42857</v>
      </c>
      <c r="B13" s="1">
        <v>0.33333333333333331</v>
      </c>
      <c r="C13" s="2">
        <v>9251.4</v>
      </c>
      <c r="D13" s="2">
        <v>19.3</v>
      </c>
      <c r="E13" s="3">
        <f t="shared" si="0"/>
        <v>1.5136080045390632E-3</v>
      </c>
      <c r="F13" s="4">
        <f t="shared" si="1"/>
        <v>738.15438801646303</v>
      </c>
    </row>
    <row r="14" spans="1:7">
      <c r="A14" s="7">
        <v>42858</v>
      </c>
      <c r="B14" s="1">
        <v>0.33333333333333331</v>
      </c>
      <c r="C14" s="2">
        <v>9260.2999999999993</v>
      </c>
      <c r="D14" s="2">
        <v>19.8</v>
      </c>
      <c r="E14" s="3">
        <f t="shared" si="0"/>
        <v>1.3562289923008328E-3</v>
      </c>
      <c r="F14" s="4">
        <f t="shared" si="1"/>
        <v>738.13833535721471</v>
      </c>
    </row>
    <row r="15" spans="1:7">
      <c r="A15" s="7">
        <v>42859</v>
      </c>
      <c r="B15" s="1">
        <v>0.33333333333333331</v>
      </c>
      <c r="C15" s="2">
        <v>9269.2999999999993</v>
      </c>
      <c r="D15" s="2">
        <v>20.3</v>
      </c>
      <c r="E15" s="3">
        <f t="shared" si="0"/>
        <v>1.1920752682591622E-3</v>
      </c>
      <c r="F15" s="4">
        <f t="shared" si="1"/>
        <v>738.1215916773624</v>
      </c>
    </row>
    <row r="16" spans="1:7">
      <c r="A16" s="7">
        <v>42865</v>
      </c>
      <c r="B16" s="1">
        <v>0.33333333333333331</v>
      </c>
      <c r="C16" s="2">
        <v>9253.2999999999993</v>
      </c>
      <c r="D16" s="2">
        <v>19.3</v>
      </c>
      <c r="E16" s="3">
        <f t="shared" si="0"/>
        <v>1.3824140382495964E-3</v>
      </c>
      <c r="F16" s="4">
        <f t="shared" si="1"/>
        <v>738.14100623190143</v>
      </c>
    </row>
    <row r="17" spans="1:7">
      <c r="A17" s="7">
        <v>42875</v>
      </c>
      <c r="B17" s="1">
        <v>0.33333333333333331</v>
      </c>
      <c r="C17" s="2">
        <v>9196.2000000000007</v>
      </c>
      <c r="D17" s="2">
        <v>15.8</v>
      </c>
      <c r="E17" s="3">
        <f t="shared" si="0"/>
        <v>2.1278979718458609E-3</v>
      </c>
      <c r="F17" s="4">
        <f t="shared" si="1"/>
        <v>738.21704559312832</v>
      </c>
    </row>
    <row r="18" spans="1:7">
      <c r="A18" s="7">
        <v>42885</v>
      </c>
      <c r="B18" s="1">
        <v>0.33333333333333331</v>
      </c>
      <c r="C18" s="2">
        <v>9158</v>
      </c>
      <c r="D18" s="2">
        <v>14.3</v>
      </c>
      <c r="E18" s="3">
        <f t="shared" si="0"/>
        <v>3.3988816739071344E-3</v>
      </c>
      <c r="F18" s="4">
        <f t="shared" si="1"/>
        <v>738.34668593073854</v>
      </c>
    </row>
    <row r="19" spans="1:7">
      <c r="A19" s="7">
        <v>42896</v>
      </c>
      <c r="B19" s="1">
        <v>0.33333333333333331</v>
      </c>
      <c r="C19" s="2">
        <v>9189.7000000000007</v>
      </c>
      <c r="D19" s="2">
        <v>14.3</v>
      </c>
      <c r="E19" s="3">
        <f t="shared" si="0"/>
        <v>1.2060079838807254E-3</v>
      </c>
      <c r="F19" s="4">
        <f t="shared" si="1"/>
        <v>738.12301281435589</v>
      </c>
      <c r="G19" s="2"/>
    </row>
    <row r="20" spans="1:7">
      <c r="A20" s="7">
        <v>42906</v>
      </c>
      <c r="B20" s="1">
        <v>0.33333333333333331</v>
      </c>
      <c r="C20" s="2">
        <v>9178.2999999999993</v>
      </c>
      <c r="D20" s="2">
        <v>13.1</v>
      </c>
      <c r="E20" s="3">
        <f t="shared" si="0"/>
        <v>8.973597310295324E-4</v>
      </c>
      <c r="F20" s="4">
        <f t="shared" si="1"/>
        <v>738.09153069256502</v>
      </c>
      <c r="G20" s="2"/>
    </row>
    <row r="21" spans="1:7">
      <c r="A21" s="7">
        <v>42916</v>
      </c>
      <c r="B21" s="1">
        <v>0.33333333333333331</v>
      </c>
      <c r="C21" s="2">
        <v>9173.7999999999993</v>
      </c>
      <c r="D21" s="2">
        <v>12.6</v>
      </c>
      <c r="E21" s="3">
        <f t="shared" si="0"/>
        <v>7.5152401171783498E-4</v>
      </c>
      <c r="F21" s="4">
        <f t="shared" si="1"/>
        <v>738.07665544919519</v>
      </c>
      <c r="G21" s="2"/>
    </row>
    <row r="22" spans="1:7">
      <c r="A22" s="7">
        <v>42926</v>
      </c>
      <c r="B22" s="1">
        <v>0.33333333333333331</v>
      </c>
      <c r="C22" s="2">
        <v>9190.7000000000007</v>
      </c>
      <c r="D22" s="2">
        <v>12.3</v>
      </c>
      <c r="E22" s="3">
        <f t="shared" si="0"/>
        <v>-6.9158552187681063E-4</v>
      </c>
      <c r="F22" s="4">
        <f t="shared" si="1"/>
        <v>737.92945827676851</v>
      </c>
    </row>
    <row r="23" spans="1:7">
      <c r="A23" s="7">
        <v>42936</v>
      </c>
      <c r="B23" s="1">
        <v>0.33333333333333331</v>
      </c>
      <c r="C23" s="2">
        <v>9169.5</v>
      </c>
      <c r="D23" s="2">
        <v>12.1</v>
      </c>
      <c r="E23" s="3">
        <f t="shared" si="0"/>
        <v>5.9188429312972621E-4</v>
      </c>
      <c r="F23" s="4">
        <f t="shared" si="1"/>
        <v>738.06037219789926</v>
      </c>
    </row>
    <row r="24" spans="1:7">
      <c r="A24" s="6">
        <v>42946</v>
      </c>
      <c r="B24" s="1">
        <v>0.33333333333333331</v>
      </c>
      <c r="C24" s="2">
        <v>9171.2000000000007</v>
      </c>
      <c r="D24" s="2">
        <v>11.9</v>
      </c>
      <c r="E24" s="3">
        <f t="shared" si="0"/>
        <v>2.9143141023584354E-4</v>
      </c>
      <c r="F24" s="4">
        <f t="shared" si="1"/>
        <v>738.02972600384408</v>
      </c>
    </row>
    <row r="25" spans="1:7">
      <c r="A25" s="7">
        <v>42957</v>
      </c>
      <c r="B25" s="9">
        <v>0.33333333333333331</v>
      </c>
      <c r="C25" s="2">
        <v>9159.5</v>
      </c>
      <c r="D25" s="2">
        <v>11.7</v>
      </c>
      <c r="E25" s="3">
        <f t="shared" si="0"/>
        <v>9.181042723896797E-4</v>
      </c>
      <c r="F25" s="4">
        <f t="shared" si="1"/>
        <v>738.09364663578378</v>
      </c>
    </row>
    <row r="26" spans="1:7">
      <c r="A26" s="7">
        <v>42967</v>
      </c>
      <c r="B26" s="9">
        <v>0.33333333333333331</v>
      </c>
      <c r="C26" s="2">
        <v>9169.5</v>
      </c>
      <c r="D26" s="2">
        <v>11.8</v>
      </c>
      <c r="E26" s="3">
        <f t="shared" si="0"/>
        <v>3.1761769312972643E-4</v>
      </c>
      <c r="F26" s="4">
        <f t="shared" si="1"/>
        <v>738.03239700469919</v>
      </c>
    </row>
    <row r="27" spans="1:7">
      <c r="A27" s="7">
        <v>42977</v>
      </c>
      <c r="B27" s="9">
        <v>0.33333333333333331</v>
      </c>
      <c r="C27" s="2">
        <v>9154.4</v>
      </c>
      <c r="D27" s="2">
        <v>11.7</v>
      </c>
      <c r="E27" s="3">
        <f t="shared" si="0"/>
        <v>1.271039735623463E-3</v>
      </c>
      <c r="F27" s="4">
        <f t="shared" si="1"/>
        <v>738.12964605303364</v>
      </c>
    </row>
    <row r="28" spans="1:7">
      <c r="A28" s="7">
        <v>42988</v>
      </c>
      <c r="B28" s="9">
        <v>0.33333333333333331</v>
      </c>
      <c r="C28" s="2">
        <v>9146.7000000000007</v>
      </c>
      <c r="D28" s="2">
        <v>11.4</v>
      </c>
      <c r="E28" s="3">
        <f t="shared" si="0"/>
        <v>1.5297158136095522E-3</v>
      </c>
      <c r="F28" s="4">
        <f t="shared" si="1"/>
        <v>738.15603101298814</v>
      </c>
    </row>
    <row r="29" spans="1:7">
      <c r="A29" s="7">
        <v>42998</v>
      </c>
      <c r="B29" s="1">
        <v>0.33333333333333331</v>
      </c>
      <c r="C29" s="2">
        <v>9167.4</v>
      </c>
      <c r="D29" s="2">
        <v>11.8</v>
      </c>
      <c r="E29" s="3">
        <f t="shared" si="0"/>
        <v>4.6290518338383546E-4</v>
      </c>
      <c r="F29" s="4">
        <f t="shared" si="1"/>
        <v>738.04721632870519</v>
      </c>
    </row>
    <row r="30" spans="1:7">
      <c r="A30" s="7">
        <v>43008</v>
      </c>
      <c r="B30" s="1">
        <v>0.33333333333333331</v>
      </c>
      <c r="C30" s="2">
        <v>9176.2999999999993</v>
      </c>
      <c r="D30" s="2">
        <v>12.1</v>
      </c>
      <c r="E30" s="3">
        <f t="shared" si="0"/>
        <v>1.2147827569441647E-4</v>
      </c>
      <c r="F30" s="4">
        <f t="shared" si="1"/>
        <v>738.01239078412084</v>
      </c>
    </row>
    <row r="31" spans="1:7">
      <c r="A31" s="7">
        <v>43018</v>
      </c>
      <c r="B31" s="1">
        <v>0.33333333333333331</v>
      </c>
      <c r="C31" s="2">
        <v>9158.6</v>
      </c>
      <c r="D31" s="2">
        <v>11.5</v>
      </c>
      <c r="E31" s="3">
        <f t="shared" si="0"/>
        <v>7.975395586509483E-4</v>
      </c>
      <c r="F31" s="4">
        <f t="shared" si="1"/>
        <v>738.0813490349824</v>
      </c>
    </row>
    <row r="32" spans="1:7">
      <c r="A32" s="7">
        <v>43230</v>
      </c>
      <c r="B32" s="1">
        <v>0.33333333333333331</v>
      </c>
      <c r="C32" s="2">
        <v>9164.6</v>
      </c>
      <c r="D32" s="2">
        <v>11</v>
      </c>
      <c r="E32" s="3">
        <f t="shared" si="0"/>
        <v>-7.4744719633829809E-5</v>
      </c>
      <c r="F32" s="4">
        <f t="shared" si="1"/>
        <v>737.9923760385974</v>
      </c>
    </row>
    <row r="33" spans="1:6">
      <c r="A33" s="7">
        <v>43240</v>
      </c>
      <c r="B33" s="1">
        <v>0.33333333333333331</v>
      </c>
      <c r="C33" s="2">
        <v>9163.9</v>
      </c>
      <c r="D33" s="2">
        <v>11.1</v>
      </c>
      <c r="E33" s="3">
        <f t="shared" si="0"/>
        <v>6.5111376631472179E-5</v>
      </c>
      <c r="F33" s="4">
        <f t="shared" si="1"/>
        <v>738.00664136041644</v>
      </c>
    </row>
    <row r="34" spans="1:6">
      <c r="A34" s="7">
        <v>43250</v>
      </c>
      <c r="B34" s="1">
        <v>0.33333333333333331</v>
      </c>
      <c r="C34" s="2">
        <v>9157.2999999999993</v>
      </c>
      <c r="D34" s="2">
        <v>11.1</v>
      </c>
      <c r="E34" s="3">
        <f t="shared" si="0"/>
        <v>5.2181260750396377E-4</v>
      </c>
      <c r="F34" s="4">
        <f t="shared" si="1"/>
        <v>738.05322488596539</v>
      </c>
    </row>
    <row r="35" spans="1:6">
      <c r="A35" s="7">
        <v>43261</v>
      </c>
      <c r="B35" s="1">
        <v>0.33333333333333331</v>
      </c>
      <c r="C35" s="2">
        <v>9165.7000000000007</v>
      </c>
      <c r="D35" s="2">
        <v>11</v>
      </c>
      <c r="E35" s="3">
        <f t="shared" si="0"/>
        <v>-1.5085353433693174E-4</v>
      </c>
      <c r="F35" s="4">
        <f t="shared" si="1"/>
        <v>737.98461293949765</v>
      </c>
    </row>
    <row r="36" spans="1:6">
      <c r="A36" s="7">
        <v>43271</v>
      </c>
      <c r="B36" s="1">
        <v>0.33333333333333331</v>
      </c>
      <c r="C36" s="2">
        <v>9166.7999999999993</v>
      </c>
      <c r="D36" s="2">
        <v>11.2</v>
      </c>
      <c r="E36" s="3">
        <f t="shared" si="0"/>
        <v>-4.4116001167281843E-5</v>
      </c>
      <c r="F36" s="4">
        <f t="shared" si="1"/>
        <v>737.99550016788089</v>
      </c>
    </row>
    <row r="37" spans="1:6">
      <c r="A37" s="7">
        <v>43281</v>
      </c>
      <c r="B37" s="1">
        <v>0.33333333333333331</v>
      </c>
      <c r="C37" s="2">
        <v>9166.2000000000007</v>
      </c>
      <c r="D37" s="2">
        <v>10.9</v>
      </c>
      <c r="E37" s="3">
        <f t="shared" si="0"/>
        <v>-2.7687000618619242E-4</v>
      </c>
      <c r="F37" s="4">
        <f t="shared" si="1"/>
        <v>737.97175925936904</v>
      </c>
    </row>
    <row r="38" spans="1:6">
      <c r="A38" s="7">
        <v>43291</v>
      </c>
      <c r="B38" s="1">
        <v>0.33333333333333331</v>
      </c>
      <c r="C38" s="2">
        <v>9154.4</v>
      </c>
      <c r="D38" s="2">
        <v>10.9</v>
      </c>
      <c r="E38" s="3">
        <f t="shared" si="0"/>
        <v>5.3966213562346363E-4</v>
      </c>
      <c r="F38" s="4">
        <f t="shared" si="1"/>
        <v>738.05504553783362</v>
      </c>
    </row>
    <row r="39" spans="1:6">
      <c r="A39" s="7">
        <v>43301</v>
      </c>
      <c r="B39" s="1">
        <v>0.33333333333333331</v>
      </c>
      <c r="C39" s="2">
        <v>9166.5</v>
      </c>
      <c r="D39" s="2">
        <v>11.1</v>
      </c>
      <c r="E39" s="3">
        <f t="shared" si="0"/>
        <v>-1.1478197611823268E-4</v>
      </c>
      <c r="F39" s="4">
        <f t="shared" si="1"/>
        <v>737.98829223843597</v>
      </c>
    </row>
    <row r="40" spans="1:6">
      <c r="A40" s="7">
        <v>43311</v>
      </c>
      <c r="B40" s="1">
        <v>0.33333333333333331</v>
      </c>
      <c r="C40" s="2">
        <v>9156.6</v>
      </c>
      <c r="D40" s="2">
        <v>10.9</v>
      </c>
      <c r="E40" s="3">
        <f t="shared" si="0"/>
        <v>3.8741032990858779E-4</v>
      </c>
      <c r="F40" s="4">
        <f t="shared" si="1"/>
        <v>738.03951585365064</v>
      </c>
    </row>
    <row r="41" spans="1:6">
      <c r="A41" s="7">
        <v>43322</v>
      </c>
      <c r="B41" s="1">
        <v>0.33333333333333331</v>
      </c>
      <c r="C41" s="2">
        <v>9153.4</v>
      </c>
      <c r="D41" s="2">
        <v>10.8</v>
      </c>
      <c r="E41" s="3">
        <f t="shared" si="0"/>
        <v>5.174478775566739E-4</v>
      </c>
      <c r="F41" s="4">
        <f t="shared" si="1"/>
        <v>738.05277968351083</v>
      </c>
    </row>
    <row r="42" spans="1:6">
      <c r="A42" s="7">
        <v>43332</v>
      </c>
      <c r="B42" s="1">
        <v>0.33333333333333331</v>
      </c>
      <c r="C42" s="2">
        <v>9158.1</v>
      </c>
      <c r="D42" s="2">
        <v>10.9</v>
      </c>
      <c r="E42" s="3">
        <f t="shared" ref="E42:E59" si="2">($B$2*C42^2+$B$3*C42+$B$4)-$B$5*D42-$E$7</f>
        <v>2.8360674778589098E-4</v>
      </c>
      <c r="F42" s="4">
        <f t="shared" ref="F42:F59" si="3">$D$1+102*E42</f>
        <v>738.02892788827421</v>
      </c>
    </row>
    <row r="43" spans="1:6">
      <c r="A43" s="7">
        <v>43342</v>
      </c>
      <c r="B43" s="1">
        <v>0.33333333333333331</v>
      </c>
      <c r="C43" s="2">
        <v>9154.2999999999993</v>
      </c>
      <c r="D43" s="2">
        <v>10.7</v>
      </c>
      <c r="E43" s="3">
        <f t="shared" si="2"/>
        <v>3.6373845737525112E-4</v>
      </c>
      <c r="F43" s="4">
        <f t="shared" si="3"/>
        <v>738.03710132265223</v>
      </c>
    </row>
    <row r="44" spans="1:6">
      <c r="A44" s="7">
        <v>43353</v>
      </c>
      <c r="B44" s="1">
        <v>0.33333333333333331</v>
      </c>
      <c r="C44" s="2">
        <v>9152.4</v>
      </c>
      <c r="D44" s="2">
        <v>10.4</v>
      </c>
      <c r="E44" s="3">
        <f t="shared" si="2"/>
        <v>2.2096862930183828E-4</v>
      </c>
      <c r="F44" s="4">
        <f t="shared" si="3"/>
        <v>738.02253880018884</v>
      </c>
    </row>
    <row r="45" spans="1:6">
      <c r="A45" s="7">
        <v>43363</v>
      </c>
      <c r="B45" s="1">
        <v>0.33333333333333331</v>
      </c>
      <c r="C45" s="2">
        <v>9139.5</v>
      </c>
      <c r="D45" s="2">
        <v>10.3</v>
      </c>
      <c r="E45" s="3">
        <f t="shared" si="2"/>
        <v>1.022493974509698E-3</v>
      </c>
      <c r="F45" s="4">
        <f t="shared" si="3"/>
        <v>738.10429438539995</v>
      </c>
    </row>
    <row r="46" spans="1:6">
      <c r="A46" s="7">
        <v>43373</v>
      </c>
      <c r="B46" s="1">
        <v>0.33333333333333331</v>
      </c>
      <c r="C46" s="2">
        <v>9147.6</v>
      </c>
      <c r="D46" s="2">
        <v>10</v>
      </c>
      <c r="E46" s="3">
        <f t="shared" si="2"/>
        <v>1.8750808626172635E-4</v>
      </c>
      <c r="F46" s="4">
        <f t="shared" si="3"/>
        <v>738.01912582479872</v>
      </c>
    </row>
    <row r="47" spans="1:6">
      <c r="A47" s="7">
        <v>43383</v>
      </c>
      <c r="B47" s="1">
        <v>0.33333333333333331</v>
      </c>
      <c r="C47" s="2">
        <v>9151.4</v>
      </c>
      <c r="D47" s="2">
        <v>10</v>
      </c>
      <c r="E47" s="3">
        <f t="shared" si="2"/>
        <v>-7.5509009140935918E-5</v>
      </c>
      <c r="F47" s="4">
        <f t="shared" si="3"/>
        <v>737.99229808106759</v>
      </c>
    </row>
    <row r="48" spans="1:6">
      <c r="A48" s="7">
        <v>43393</v>
      </c>
      <c r="B48" s="1">
        <v>0.33333333333333331</v>
      </c>
      <c r="C48" s="2">
        <v>9156.2000000000007</v>
      </c>
      <c r="D48" s="2">
        <v>9.8000000000000007</v>
      </c>
      <c r="E48" s="3">
        <f t="shared" si="2"/>
        <v>-5.9055230313021304E-4</v>
      </c>
      <c r="F48" s="4">
        <f t="shared" si="3"/>
        <v>737.9397636650807</v>
      </c>
    </row>
    <row r="49" spans="1:6">
      <c r="A49" s="7">
        <v>43605</v>
      </c>
      <c r="B49" s="1">
        <v>0.33333333333333331</v>
      </c>
      <c r="C49" s="2">
        <v>9157.4</v>
      </c>
      <c r="D49" s="2">
        <v>9.3000000000000007</v>
      </c>
      <c r="E49" s="3">
        <f t="shared" si="2"/>
        <v>-1.1307072313041441E-3</v>
      </c>
      <c r="F49" s="4">
        <f t="shared" si="3"/>
        <v>737.88466786240701</v>
      </c>
    </row>
    <row r="50" spans="1:6">
      <c r="A50" s="7">
        <v>43615</v>
      </c>
      <c r="B50" s="1">
        <v>0.33333333333333331</v>
      </c>
      <c r="C50" s="2">
        <v>9157.9</v>
      </c>
      <c r="D50" s="2">
        <v>9.4</v>
      </c>
      <c r="E50" s="3">
        <f t="shared" si="2"/>
        <v>-1.0738859838732746E-3</v>
      </c>
      <c r="F50" s="4">
        <f t="shared" si="3"/>
        <v>737.89046362964496</v>
      </c>
    </row>
    <row r="51" spans="1:6">
      <c r="A51" s="7">
        <v>43626</v>
      </c>
      <c r="B51" s="1">
        <v>0.33333333333333331</v>
      </c>
      <c r="C51" s="2">
        <v>9159.2000000000007</v>
      </c>
      <c r="D51" s="2">
        <v>9.4</v>
      </c>
      <c r="E51" s="3">
        <f t="shared" si="2"/>
        <v>-1.1638465770729307E-3</v>
      </c>
      <c r="F51" s="4">
        <f t="shared" si="3"/>
        <v>737.88128764913859</v>
      </c>
    </row>
    <row r="52" spans="1:6">
      <c r="A52" s="7">
        <v>43636</v>
      </c>
      <c r="B52" s="1">
        <v>0.33333333333333331</v>
      </c>
      <c r="C52" s="2">
        <v>9160.7000000000007</v>
      </c>
      <c r="D52" s="2">
        <v>9.6</v>
      </c>
      <c r="E52" s="3">
        <f t="shared" si="2"/>
        <v>-1.0847994809288324E-3</v>
      </c>
      <c r="F52" s="4">
        <f t="shared" si="3"/>
        <v>737.88935045294522</v>
      </c>
    </row>
    <row r="53" spans="1:6">
      <c r="A53" s="7">
        <v>43646</v>
      </c>
      <c r="B53" s="1">
        <v>0.33333333333333331</v>
      </c>
      <c r="C53" s="2">
        <v>9158.2999999999993</v>
      </c>
      <c r="D53" s="2">
        <v>9.4</v>
      </c>
      <c r="E53" s="3">
        <f t="shared" si="2"/>
        <v>-1.1015664561623457E-3</v>
      </c>
      <c r="F53" s="4">
        <f t="shared" si="3"/>
        <v>737.88764022147143</v>
      </c>
    </row>
    <row r="54" spans="1:6">
      <c r="A54" s="7">
        <v>43656</v>
      </c>
      <c r="B54" s="1">
        <v>0.33333333333333331</v>
      </c>
      <c r="C54" s="2">
        <v>9155.2999999999993</v>
      </c>
      <c r="D54" s="2">
        <v>9.4</v>
      </c>
      <c r="E54" s="3">
        <f t="shared" si="2"/>
        <v>-8.9395663572723952E-4</v>
      </c>
      <c r="F54" s="4">
        <f t="shared" si="3"/>
        <v>737.90881642315583</v>
      </c>
    </row>
    <row r="55" spans="1:6">
      <c r="A55" s="7">
        <v>43666</v>
      </c>
      <c r="B55" s="1">
        <v>0.33333333333333331</v>
      </c>
      <c r="C55" s="2">
        <v>9152.6</v>
      </c>
      <c r="D55" s="2">
        <v>9.1999999999999993</v>
      </c>
      <c r="E55" s="3">
        <f t="shared" si="2"/>
        <v>-8.8993980983228735E-4</v>
      </c>
      <c r="F55" s="4">
        <f t="shared" si="3"/>
        <v>737.90922613939711</v>
      </c>
    </row>
    <row r="56" spans="1:6">
      <c r="A56" s="7">
        <v>43676</v>
      </c>
      <c r="B56" s="1">
        <v>0.33333333333333331</v>
      </c>
      <c r="C56" s="2">
        <v>9150.1</v>
      </c>
      <c r="D56" s="2">
        <v>9.1</v>
      </c>
      <c r="E56" s="3">
        <f t="shared" si="2"/>
        <v>-8.083318924477223E-4</v>
      </c>
      <c r="F56" s="4">
        <f t="shared" si="3"/>
        <v>737.91755014697037</v>
      </c>
    </row>
    <row r="57" spans="1:6">
      <c r="A57" s="7">
        <v>43687</v>
      </c>
      <c r="B57" s="1">
        <v>0.33333333333333331</v>
      </c>
      <c r="C57" s="2">
        <v>9148.7000000000007</v>
      </c>
      <c r="D57" s="2">
        <v>8.8000000000000007</v>
      </c>
      <c r="E57" s="3">
        <f t="shared" si="2"/>
        <v>-9.856972319256356E-4</v>
      </c>
      <c r="F57" s="4">
        <f t="shared" si="3"/>
        <v>737.89945888234354</v>
      </c>
    </row>
    <row r="58" spans="1:6">
      <c r="A58" s="7">
        <v>43697</v>
      </c>
      <c r="B58" s="1">
        <v>0.33333333333333331</v>
      </c>
      <c r="C58" s="2">
        <v>9145.6</v>
      </c>
      <c r="D58" s="2">
        <v>8.6</v>
      </c>
      <c r="E58" s="3">
        <f t="shared" si="2"/>
        <v>-9.5396332661661434E-4</v>
      </c>
      <c r="F58" s="4">
        <f t="shared" si="3"/>
        <v>737.90269574068509</v>
      </c>
    </row>
    <row r="59" spans="1:6">
      <c r="A59" s="7">
        <v>43707</v>
      </c>
      <c r="B59" s="1">
        <v>0.33333333333333331</v>
      </c>
      <c r="C59" s="2">
        <v>9093.4</v>
      </c>
      <c r="D59" s="2">
        <v>8.8000000000000007</v>
      </c>
      <c r="E59" s="3">
        <f t="shared" si="2"/>
        <v>2.8444263495085616E-3</v>
      </c>
      <c r="F59" s="4">
        <f t="shared" si="3"/>
        <v>738.29013148764989</v>
      </c>
    </row>
  </sheetData>
  <phoneticPr fontId="5" type="noConversion"/>
  <pageMargins left="0.69930555555555596" right="0.69930555555555596" top="0.75" bottom="0.75" header="0.3" footer="0.3"/>
  <drawing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5"/>
  <sheetViews>
    <sheetView topLeftCell="A48" workbookViewId="0">
      <selection activeCell="A69" sqref="A69:B75"/>
    </sheetView>
  </sheetViews>
  <sheetFormatPr defaultColWidth="9" defaultRowHeight="13.5"/>
  <cols>
    <col min="1" max="1" width="11.625" bestFit="1" customWidth="1"/>
    <col min="2" max="2" width="13.875" customWidth="1"/>
  </cols>
  <sheetData>
    <row r="1" spans="1:7">
      <c r="A1" t="s">
        <v>0</v>
      </c>
      <c r="B1">
        <v>50346</v>
      </c>
      <c r="C1" t="s">
        <v>1</v>
      </c>
      <c r="D1">
        <v>733</v>
      </c>
    </row>
    <row r="2" spans="1:7">
      <c r="A2" t="s">
        <v>2</v>
      </c>
      <c r="B2">
        <f>4.92976*10^(-10)</f>
        <v>4.9297600000000006E-10</v>
      </c>
    </row>
    <row r="3" spans="1:7">
      <c r="A3" t="s">
        <v>3</v>
      </c>
      <c r="B3">
        <f>-0.00007404</f>
        <v>-7.4040000000000003E-5</v>
      </c>
    </row>
    <row r="4" spans="1:7">
      <c r="A4" t="s">
        <v>4</v>
      </c>
      <c r="B4">
        <f>0.67247813</f>
        <v>0.67247813000000001</v>
      </c>
    </row>
    <row r="5" spans="1:7">
      <c r="A5" t="s">
        <v>5</v>
      </c>
      <c r="B5">
        <f>-0.000824102</f>
        <v>-8.2410199999999995E-4</v>
      </c>
    </row>
    <row r="6" spans="1:7">
      <c r="A6" t="s">
        <v>6</v>
      </c>
      <c r="B6" t="s">
        <v>7</v>
      </c>
      <c r="C6" t="s">
        <v>8</v>
      </c>
      <c r="D6" t="s">
        <v>9</v>
      </c>
      <c r="E6" t="s">
        <v>10</v>
      </c>
      <c r="F6" t="s">
        <v>11</v>
      </c>
      <c r="G6" t="s">
        <v>12</v>
      </c>
    </row>
    <row r="7" spans="1:7">
      <c r="A7" s="7">
        <v>42264</v>
      </c>
      <c r="B7" s="1">
        <v>0.33333333333333298</v>
      </c>
      <c r="C7" s="2">
        <v>9634.7999999999993</v>
      </c>
      <c r="D7" s="2">
        <v>15.7</v>
      </c>
      <c r="E7" s="3">
        <f>($B$2*C7^2+$B$3*C7+$B$4)-$B$5*D7</f>
        <v>1.7818591417815034E-2</v>
      </c>
      <c r="G7" t="s">
        <v>13</v>
      </c>
    </row>
    <row r="8" spans="1:7">
      <c r="A8" s="7">
        <v>42265</v>
      </c>
      <c r="B8" s="1">
        <v>0.5625</v>
      </c>
      <c r="C8" s="2">
        <v>8392.6</v>
      </c>
      <c r="D8" s="2">
        <v>15.2</v>
      </c>
      <c r="E8" s="3">
        <f>($B$2*C8^2+$B$3*C8+$B$4)-$B$5*D8-$E$7</f>
        <v>8.0520911761230746E-2</v>
      </c>
      <c r="F8" s="4">
        <f>$D$1+102*E8</f>
        <v>741.2131329996455</v>
      </c>
      <c r="G8" t="s">
        <v>17</v>
      </c>
    </row>
    <row r="9" spans="1:7">
      <c r="A9" s="7">
        <v>42266</v>
      </c>
      <c r="B9" s="1">
        <v>0.6875</v>
      </c>
      <c r="C9" s="2">
        <v>7792.9</v>
      </c>
      <c r="D9" s="2">
        <v>14.7</v>
      </c>
      <c r="E9" s="3">
        <f t="shared" ref="E9:E24" si="0">($B$2*C9^2+$B$3*C9+$B$4)-$B$5*D9-$E$7</f>
        <v>0.11972560465134524</v>
      </c>
      <c r="F9" s="4">
        <f t="shared" ref="F9:F57" si="1">$D$1+102*E9</f>
        <v>745.21201167443724</v>
      </c>
      <c r="G9" t="s">
        <v>14</v>
      </c>
    </row>
    <row r="10" spans="1:7">
      <c r="A10" s="7">
        <v>42267</v>
      </c>
      <c r="B10" s="1">
        <v>0.33333333333333298</v>
      </c>
      <c r="C10" s="2">
        <v>8775.6</v>
      </c>
      <c r="D10" s="2">
        <v>23.5</v>
      </c>
      <c r="E10" s="3">
        <f t="shared" si="0"/>
        <v>6.2245162906936317E-2</v>
      </c>
      <c r="F10" s="4">
        <f t="shared" si="1"/>
        <v>739.34900661650749</v>
      </c>
    </row>
    <row r="11" spans="1:7">
      <c r="A11" s="7">
        <v>42268</v>
      </c>
      <c r="B11" s="1">
        <v>0.33333333333333298</v>
      </c>
      <c r="C11" s="2">
        <v>8851.6</v>
      </c>
      <c r="D11" s="2">
        <v>26.1</v>
      </c>
      <c r="E11" s="3">
        <f t="shared" si="0"/>
        <v>5.9421211884523518E-2</v>
      </c>
      <c r="F11" s="4">
        <f t="shared" si="1"/>
        <v>739.06096361222137</v>
      </c>
    </row>
    <row r="12" spans="1:7">
      <c r="A12" s="7">
        <v>42269</v>
      </c>
      <c r="B12" s="1">
        <v>0.33333333333333298</v>
      </c>
      <c r="C12" s="2">
        <v>8904.5</v>
      </c>
      <c r="D12" s="2">
        <v>26.5</v>
      </c>
      <c r="E12" s="3">
        <f t="shared" si="0"/>
        <v>5.6297187902548902E-2</v>
      </c>
      <c r="F12" s="4">
        <f t="shared" si="1"/>
        <v>738.74231316605994</v>
      </c>
    </row>
    <row r="13" spans="1:7">
      <c r="A13" s="7">
        <v>42270</v>
      </c>
      <c r="B13" s="1">
        <v>0.33333333333333298</v>
      </c>
      <c r="C13" s="2">
        <v>8891.5</v>
      </c>
      <c r="D13" s="2">
        <v>25.6</v>
      </c>
      <c r="E13" s="3">
        <f t="shared" si="0"/>
        <v>5.640396709090096E-2</v>
      </c>
      <c r="F13" s="4">
        <f t="shared" si="1"/>
        <v>738.75320464327194</v>
      </c>
    </row>
    <row r="14" spans="1:7">
      <c r="A14" s="7">
        <v>42271</v>
      </c>
      <c r="B14" s="1">
        <v>0.33333333333333298</v>
      </c>
      <c r="C14" s="2">
        <v>8870.4</v>
      </c>
      <c r="D14" s="2">
        <v>24.8</v>
      </c>
      <c r="E14" s="3">
        <f t="shared" si="0"/>
        <v>5.7122173873157107E-2</v>
      </c>
      <c r="F14" s="4">
        <f t="shared" si="1"/>
        <v>738.82646173506203</v>
      </c>
    </row>
    <row r="15" spans="1:7">
      <c r="A15" s="7">
        <v>42272</v>
      </c>
      <c r="B15" s="1">
        <v>0.33333333333333298</v>
      </c>
      <c r="C15" s="2">
        <v>8865.5</v>
      </c>
      <c r="D15" s="2">
        <v>23.8</v>
      </c>
      <c r="E15" s="3">
        <f t="shared" si="0"/>
        <v>5.6618025345269003E-2</v>
      </c>
      <c r="F15" s="4">
        <f t="shared" si="1"/>
        <v>738.77503858521743</v>
      </c>
    </row>
    <row r="16" spans="1:7">
      <c r="A16" s="7">
        <v>42273</v>
      </c>
      <c r="B16" s="1">
        <v>0.33333333333333298</v>
      </c>
      <c r="C16" s="2">
        <v>8846</v>
      </c>
      <c r="D16" s="2">
        <v>22.2</v>
      </c>
      <c r="E16" s="3">
        <f t="shared" si="0"/>
        <v>5.6572980929000947E-2</v>
      </c>
      <c r="F16" s="4">
        <f t="shared" si="1"/>
        <v>738.77044405475806</v>
      </c>
    </row>
    <row r="17" spans="1:7">
      <c r="A17" s="7">
        <v>42280</v>
      </c>
      <c r="B17" s="1">
        <v>0.33333333333333298</v>
      </c>
      <c r="C17" s="2">
        <v>8820.9</v>
      </c>
      <c r="D17" s="2">
        <v>18.5</v>
      </c>
      <c r="E17" s="3">
        <f t="shared" si="0"/>
        <v>5.5163602650871564E-2</v>
      </c>
      <c r="F17" s="4">
        <f t="shared" si="1"/>
        <v>738.6266874703889</v>
      </c>
    </row>
    <row r="18" spans="1:7">
      <c r="A18" s="7">
        <v>42287</v>
      </c>
      <c r="B18" s="1">
        <v>0.33333333333333298</v>
      </c>
      <c r="C18" s="2">
        <v>8800.2000000000007</v>
      </c>
      <c r="D18" s="2">
        <v>16.7</v>
      </c>
      <c r="E18" s="3">
        <f t="shared" si="0"/>
        <v>5.5033030717423888E-2</v>
      </c>
      <c r="F18" s="4">
        <f t="shared" si="1"/>
        <v>738.61336913317723</v>
      </c>
    </row>
    <row r="19" spans="1:7">
      <c r="A19" s="7">
        <v>42294</v>
      </c>
      <c r="B19" s="1">
        <v>0.33333333333333298</v>
      </c>
      <c r="C19" s="2">
        <v>8766.4</v>
      </c>
      <c r="D19" s="2">
        <v>14.8</v>
      </c>
      <c r="E19" s="3">
        <f t="shared" si="0"/>
        <v>5.5677083885009963E-2</v>
      </c>
      <c r="F19" s="4">
        <f t="shared" si="1"/>
        <v>738.67906255627099</v>
      </c>
      <c r="G19" s="2"/>
    </row>
    <row r="20" spans="1:7">
      <c r="A20" s="7">
        <v>42301</v>
      </c>
      <c r="B20" s="1">
        <v>0.33333333333333298</v>
      </c>
      <c r="C20" s="2">
        <v>8770.6</v>
      </c>
      <c r="D20" s="2">
        <v>14.3</v>
      </c>
      <c r="E20" s="3">
        <f t="shared" si="0"/>
        <v>5.4990375229480269E-2</v>
      </c>
      <c r="F20" s="4">
        <f t="shared" si="1"/>
        <v>738.60901827340695</v>
      </c>
      <c r="G20" s="2"/>
    </row>
    <row r="21" spans="1:7">
      <c r="A21" s="7">
        <v>42308</v>
      </c>
      <c r="B21" s="1">
        <v>0.33333333333333298</v>
      </c>
      <c r="C21" s="2">
        <v>8763.2000000000007</v>
      </c>
      <c r="D21" s="2">
        <v>13.8</v>
      </c>
      <c r="E21" s="3">
        <f t="shared" si="0"/>
        <v>5.5062256534323166E-2</v>
      </c>
      <c r="F21" s="4">
        <f t="shared" si="1"/>
        <v>738.61635016650098</v>
      </c>
      <c r="G21" s="2"/>
    </row>
    <row r="22" spans="1:7">
      <c r="A22" s="7">
        <v>42521</v>
      </c>
      <c r="B22" s="1">
        <v>0.33333333333333298</v>
      </c>
      <c r="C22">
        <v>8716.1</v>
      </c>
      <c r="D22" s="2">
        <v>6</v>
      </c>
      <c r="E22" s="3">
        <f t="shared" si="0"/>
        <v>5.1715690103133989E-2</v>
      </c>
      <c r="F22" s="4">
        <f t="shared" si="1"/>
        <v>738.27500039051972</v>
      </c>
    </row>
    <row r="23" spans="1:7">
      <c r="A23" s="7">
        <v>42531</v>
      </c>
      <c r="B23" s="1">
        <v>0.33333333333333298</v>
      </c>
      <c r="C23" s="2">
        <v>8741.6</v>
      </c>
      <c r="D23" s="2">
        <v>5.9</v>
      </c>
      <c r="E23" s="3">
        <f t="shared" si="0"/>
        <v>4.9964718694571468E-2</v>
      </c>
      <c r="F23" s="4">
        <f t="shared" si="1"/>
        <v>738.09640130684625</v>
      </c>
    </row>
    <row r="24" spans="1:7">
      <c r="A24" s="6">
        <v>42544</v>
      </c>
      <c r="B24" s="1">
        <v>0.33333333333333298</v>
      </c>
      <c r="C24" s="2">
        <v>8509.7000000000007</v>
      </c>
      <c r="D24" s="2">
        <v>5.7</v>
      </c>
      <c r="E24" s="3">
        <f t="shared" si="0"/>
        <v>6.4997586108696714E-2</v>
      </c>
      <c r="F24" s="4">
        <f t="shared" si="1"/>
        <v>739.62975378308704</v>
      </c>
    </row>
    <row r="25" spans="1:7">
      <c r="A25" s="7">
        <v>42551</v>
      </c>
      <c r="B25" s="9">
        <v>0.33333333333333298</v>
      </c>
      <c r="C25">
        <v>8645.6</v>
      </c>
      <c r="D25">
        <v>5.7</v>
      </c>
      <c r="E25" s="3">
        <f t="shared" ref="E25:E57" si="2">($B$2*C25^2+$B$3*C25+$B$4)-$B$5*D25-$E$7</f>
        <v>5.6084876953080336E-2</v>
      </c>
      <c r="F25" s="4">
        <f t="shared" si="1"/>
        <v>738.72065744921417</v>
      </c>
    </row>
    <row r="26" spans="1:7">
      <c r="A26" s="7">
        <v>42561</v>
      </c>
      <c r="B26" s="9">
        <v>0.33333333333333298</v>
      </c>
      <c r="C26">
        <v>8690.9</v>
      </c>
      <c r="D26">
        <v>5.7</v>
      </c>
      <c r="E26" s="3">
        <f t="shared" si="2"/>
        <v>5.3118020425687522E-2</v>
      </c>
      <c r="F26" s="4">
        <f t="shared" si="1"/>
        <v>738.41803808342013</v>
      </c>
    </row>
    <row r="27" spans="1:7">
      <c r="A27" s="7">
        <v>42571</v>
      </c>
      <c r="B27" s="9">
        <v>0.33333333333333298</v>
      </c>
      <c r="C27">
        <v>8764.2999999999993</v>
      </c>
      <c r="D27" s="2">
        <v>5.9</v>
      </c>
      <c r="E27" s="3">
        <f t="shared" si="2"/>
        <v>4.8479911434847249E-2</v>
      </c>
      <c r="F27" s="4">
        <f t="shared" si="1"/>
        <v>737.94495096635444</v>
      </c>
    </row>
    <row r="28" spans="1:7">
      <c r="A28" s="7">
        <v>42581</v>
      </c>
      <c r="B28" s="9">
        <v>0.33333333333333298</v>
      </c>
      <c r="C28">
        <v>8757.5</v>
      </c>
      <c r="D28" s="2">
        <v>6</v>
      </c>
      <c r="E28" s="3">
        <f t="shared" si="2"/>
        <v>4.9007056412084866E-2</v>
      </c>
      <c r="F28" s="4">
        <f t="shared" si="1"/>
        <v>737.99871975403266</v>
      </c>
    </row>
    <row r="29" spans="1:7">
      <c r="A29" s="7">
        <v>42653</v>
      </c>
      <c r="B29" s="1">
        <v>0.33333333333333298</v>
      </c>
      <c r="C29">
        <v>8943.5</v>
      </c>
      <c r="D29" s="2">
        <v>8</v>
      </c>
      <c r="E29" s="3">
        <f t="shared" si="2"/>
        <v>3.8506887692820922E-2</v>
      </c>
      <c r="F29" s="4">
        <f t="shared" si="1"/>
        <v>736.92770254466768</v>
      </c>
    </row>
    <row r="30" spans="1:7">
      <c r="A30" s="7">
        <v>42846</v>
      </c>
      <c r="B30" s="1">
        <v>0.54166666666666663</v>
      </c>
      <c r="C30">
        <v>8817.7999999999993</v>
      </c>
      <c r="D30" s="2">
        <v>7.8</v>
      </c>
      <c r="E30" s="3">
        <f t="shared" si="2"/>
        <v>4.6548279337980843E-2</v>
      </c>
      <c r="F30" s="4">
        <f t="shared" si="1"/>
        <v>737.747924492474</v>
      </c>
    </row>
    <row r="31" spans="1:7">
      <c r="A31" s="7">
        <v>42855</v>
      </c>
      <c r="B31" s="1">
        <v>0.33333333333333331</v>
      </c>
      <c r="C31">
        <v>8824.9</v>
      </c>
      <c r="D31" s="2">
        <v>7.8</v>
      </c>
      <c r="E31" s="3">
        <f t="shared" si="2"/>
        <v>4.6084347074474792E-2</v>
      </c>
      <c r="F31" s="4">
        <f t="shared" si="1"/>
        <v>737.70060340159648</v>
      </c>
    </row>
    <row r="32" spans="1:7">
      <c r="A32" s="7">
        <v>42865</v>
      </c>
      <c r="B32" s="1">
        <v>0.33333333333333331</v>
      </c>
      <c r="C32">
        <v>8739.7000000000007</v>
      </c>
      <c r="D32" s="2">
        <v>7.8</v>
      </c>
      <c r="E32" s="3">
        <f t="shared" si="2"/>
        <v>5.1654814558008751E-2</v>
      </c>
      <c r="F32" s="4">
        <f t="shared" si="1"/>
        <v>738.26879108491687</v>
      </c>
    </row>
    <row r="33" spans="1:6">
      <c r="A33" s="7">
        <v>42875</v>
      </c>
      <c r="B33" s="1">
        <v>0.33333333333333331</v>
      </c>
      <c r="C33">
        <v>8779.4</v>
      </c>
      <c r="D33" s="2">
        <v>7.8</v>
      </c>
      <c r="E33" s="3">
        <f t="shared" si="2"/>
        <v>4.9058295442920348E-2</v>
      </c>
      <c r="F33" s="4">
        <f t="shared" si="1"/>
        <v>738.0039461351779</v>
      </c>
    </row>
    <row r="34" spans="1:6">
      <c r="A34" s="7">
        <v>42885</v>
      </c>
      <c r="B34" s="1">
        <v>0.33333333333333331</v>
      </c>
      <c r="C34">
        <v>8827.7999999999993</v>
      </c>
      <c r="D34" s="2">
        <v>7.8</v>
      </c>
      <c r="E34" s="3">
        <f t="shared" si="2"/>
        <v>4.589486791103687E-2</v>
      </c>
      <c r="F34" s="4">
        <f t="shared" si="1"/>
        <v>737.68127652692579</v>
      </c>
    </row>
    <row r="35" spans="1:6">
      <c r="A35" s="7">
        <v>42896</v>
      </c>
      <c r="B35" s="1">
        <v>0.33333333333333331</v>
      </c>
      <c r="C35">
        <v>8825.5</v>
      </c>
      <c r="D35" s="2">
        <v>7.9</v>
      </c>
      <c r="E35" s="3">
        <f t="shared" si="2"/>
        <v>4.6127554008628953E-2</v>
      </c>
      <c r="F35" s="4">
        <f t="shared" si="1"/>
        <v>737.70501050888015</v>
      </c>
    </row>
    <row r="36" spans="1:6">
      <c r="A36" s="7">
        <v>42906</v>
      </c>
      <c r="B36" s="1">
        <v>0.33333333333333331</v>
      </c>
      <c r="C36">
        <v>8817.2999999999993</v>
      </c>
      <c r="D36" s="2">
        <v>8</v>
      </c>
      <c r="E36" s="3">
        <f t="shared" si="2"/>
        <v>4.6745772897452041E-2</v>
      </c>
      <c r="F36" s="4">
        <f t="shared" si="1"/>
        <v>737.76806883554013</v>
      </c>
    </row>
    <row r="37" spans="1:6">
      <c r="A37" s="7">
        <v>42916</v>
      </c>
      <c r="B37" s="1">
        <v>0.33333333333333331</v>
      </c>
      <c r="C37">
        <v>8804.7999999999993</v>
      </c>
      <c r="D37" s="2">
        <v>8</v>
      </c>
      <c r="E37" s="3">
        <f t="shared" si="2"/>
        <v>4.7562681992832055E-2</v>
      </c>
      <c r="F37" s="4">
        <f t="shared" si="1"/>
        <v>737.85139356326886</v>
      </c>
    </row>
    <row r="38" spans="1:6">
      <c r="A38" s="7">
        <v>42926</v>
      </c>
      <c r="B38" s="1">
        <v>0.33333333333333331</v>
      </c>
      <c r="C38">
        <v>8836.4</v>
      </c>
      <c r="D38" s="2">
        <v>8</v>
      </c>
      <c r="E38" s="3">
        <f t="shared" si="2"/>
        <v>4.5497833340305958E-2</v>
      </c>
      <c r="F38" s="4">
        <f t="shared" si="1"/>
        <v>737.64077900071118</v>
      </c>
    </row>
    <row r="39" spans="1:6">
      <c r="A39" s="7">
        <v>42936</v>
      </c>
      <c r="B39" s="1">
        <v>0.33333333333333331</v>
      </c>
      <c r="C39">
        <v>8829.6</v>
      </c>
      <c r="D39" s="2">
        <v>8.1</v>
      </c>
      <c r="E39" s="3">
        <f t="shared" si="2"/>
        <v>4.6024494924997016E-2</v>
      </c>
      <c r="F39" s="4">
        <f t="shared" si="1"/>
        <v>737.69449848234967</v>
      </c>
    </row>
    <row r="40" spans="1:6">
      <c r="A40" s="7">
        <v>42946</v>
      </c>
      <c r="B40" s="1">
        <v>0.33333333333333331</v>
      </c>
      <c r="C40">
        <v>8843.6</v>
      </c>
      <c r="D40" s="2">
        <v>8</v>
      </c>
      <c r="E40" s="3">
        <f t="shared" si="2"/>
        <v>4.5027499213201892E-2</v>
      </c>
      <c r="F40" s="4">
        <f t="shared" si="1"/>
        <v>737.59280491974664</v>
      </c>
    </row>
    <row r="41" spans="1:6">
      <c r="A41" s="7">
        <v>42957</v>
      </c>
      <c r="B41" s="1">
        <v>0.33333333333333331</v>
      </c>
      <c r="C41">
        <v>8823.7999999999993</v>
      </c>
      <c r="D41" s="2">
        <v>8</v>
      </c>
      <c r="E41" s="3">
        <f t="shared" si="2"/>
        <v>4.6321041050390442E-2</v>
      </c>
      <c r="F41" s="4">
        <f t="shared" si="1"/>
        <v>737.72474618713977</v>
      </c>
    </row>
    <row r="42" spans="1:6">
      <c r="A42" s="7">
        <v>42967</v>
      </c>
      <c r="B42" s="1">
        <v>0.33333333333333331</v>
      </c>
      <c r="C42">
        <v>8839.1</v>
      </c>
      <c r="D42" s="2">
        <v>8.1999999999999993</v>
      </c>
      <c r="E42" s="3">
        <f t="shared" si="2"/>
        <v>4.5486272452983513E-2</v>
      </c>
      <c r="F42" s="4">
        <f t="shared" si="1"/>
        <v>737.63959979020433</v>
      </c>
    </row>
    <row r="43" spans="1:6">
      <c r="A43" s="7">
        <v>42977</v>
      </c>
      <c r="B43" s="1">
        <v>0.33333333333333331</v>
      </c>
      <c r="C43">
        <v>8822.6</v>
      </c>
      <c r="D43" s="2">
        <v>8.6999999999999993</v>
      </c>
      <c r="E43" s="3">
        <f t="shared" si="2"/>
        <v>4.6976321348366719E-2</v>
      </c>
      <c r="F43" s="4">
        <f t="shared" si="1"/>
        <v>737.79158477753344</v>
      </c>
    </row>
    <row r="44" spans="1:6">
      <c r="A44" s="7">
        <v>42988</v>
      </c>
      <c r="B44" s="1">
        <v>0.33333333333333331</v>
      </c>
      <c r="C44">
        <v>8819.7000000000007</v>
      </c>
      <c r="D44" s="2">
        <v>8.1</v>
      </c>
      <c r="E44" s="3">
        <f t="shared" si="2"/>
        <v>4.6671354179960677E-2</v>
      </c>
      <c r="F44" s="4">
        <f t="shared" si="1"/>
        <v>737.76047812635602</v>
      </c>
    </row>
    <row r="45" spans="1:6">
      <c r="A45" s="7">
        <v>42998</v>
      </c>
      <c r="B45" s="1">
        <v>0.33333333333333331</v>
      </c>
      <c r="C45">
        <v>8833.7999999999993</v>
      </c>
      <c r="D45" s="2">
        <v>8.1</v>
      </c>
      <c r="E45" s="3">
        <f t="shared" si="2"/>
        <v>4.5750098980566443E-2</v>
      </c>
      <c r="F45" s="4">
        <f t="shared" si="1"/>
        <v>737.66651009601776</v>
      </c>
    </row>
    <row r="46" spans="1:6">
      <c r="A46" s="7">
        <v>43008</v>
      </c>
      <c r="B46" s="1">
        <v>0.33333333333333331</v>
      </c>
      <c r="C46">
        <v>8841.7000000000007</v>
      </c>
      <c r="D46" s="2">
        <v>8.1</v>
      </c>
      <c r="E46" s="3">
        <f t="shared" si="2"/>
        <v>4.523402039914156E-2</v>
      </c>
      <c r="F46" s="4">
        <f t="shared" si="1"/>
        <v>737.61387008071245</v>
      </c>
    </row>
    <row r="47" spans="1:6">
      <c r="A47" s="7">
        <v>43018</v>
      </c>
      <c r="B47" s="1">
        <v>0.33333333333333331</v>
      </c>
      <c r="C47">
        <v>8832.4</v>
      </c>
      <c r="D47" s="2">
        <v>8</v>
      </c>
      <c r="E47" s="3">
        <f t="shared" si="2"/>
        <v>4.5759152162910675E-2</v>
      </c>
      <c r="F47" s="4">
        <f t="shared" si="1"/>
        <v>737.6674335206169</v>
      </c>
    </row>
    <row r="48" spans="1:6">
      <c r="A48" s="7">
        <v>43230</v>
      </c>
      <c r="B48" s="1">
        <v>0.33333333333333331</v>
      </c>
      <c r="C48">
        <v>8848</v>
      </c>
      <c r="D48" s="2">
        <v>8.4</v>
      </c>
      <c r="E48" s="3">
        <f t="shared" si="2"/>
        <v>4.506973876368902E-2</v>
      </c>
      <c r="F48" s="4">
        <f t="shared" si="1"/>
        <v>737.59711335389625</v>
      </c>
    </row>
    <row r="49" spans="1:6">
      <c r="A49" s="7">
        <v>43240</v>
      </c>
      <c r="B49" s="1">
        <v>0.33333333333333331</v>
      </c>
      <c r="C49">
        <v>8855.7000000000007</v>
      </c>
      <c r="D49" s="2">
        <v>8.6999999999999993</v>
      </c>
      <c r="E49" s="3">
        <f t="shared" si="2"/>
        <v>4.4814063107615161E-2</v>
      </c>
      <c r="F49" s="4">
        <f t="shared" si="1"/>
        <v>737.57103443697679</v>
      </c>
    </row>
    <row r="50" spans="1:6">
      <c r="A50" s="7">
        <v>43250</v>
      </c>
      <c r="B50" s="1">
        <v>0.33333333333333331</v>
      </c>
      <c r="C50">
        <v>8845.1</v>
      </c>
      <c r="D50" s="2">
        <v>8.5</v>
      </c>
      <c r="E50" s="3">
        <f t="shared" si="2"/>
        <v>4.5341570370058697E-2</v>
      </c>
      <c r="F50" s="4">
        <f t="shared" si="1"/>
        <v>737.62484017774602</v>
      </c>
    </row>
    <row r="51" spans="1:6">
      <c r="A51" s="7">
        <v>43261</v>
      </c>
      <c r="B51" s="1">
        <v>0.33333333333333331</v>
      </c>
      <c r="C51">
        <v>8809.1</v>
      </c>
      <c r="D51" s="2">
        <v>8.6</v>
      </c>
      <c r="E51" s="3">
        <f t="shared" si="2"/>
        <v>4.7776109081687397E-2</v>
      </c>
      <c r="F51" s="4">
        <f t="shared" si="1"/>
        <v>737.87316312633209</v>
      </c>
    </row>
    <row r="52" spans="1:6">
      <c r="A52" s="7">
        <v>43271</v>
      </c>
      <c r="B52" s="1">
        <v>0.33333333333333331</v>
      </c>
      <c r="C52">
        <v>8663.1</v>
      </c>
      <c r="D52" s="2">
        <v>8.5</v>
      </c>
      <c r="E52" s="3">
        <f t="shared" si="2"/>
        <v>5.7245986092676275E-2</v>
      </c>
      <c r="F52" s="4">
        <f t="shared" si="1"/>
        <v>738.83909058145298</v>
      </c>
    </row>
    <row r="53" spans="1:6">
      <c r="A53" s="7">
        <v>43281</v>
      </c>
      <c r="B53" s="1">
        <v>0.33333333333333331</v>
      </c>
      <c r="C53">
        <v>8694.7999999999993</v>
      </c>
      <c r="D53" s="2">
        <v>8.3000000000000007</v>
      </c>
      <c r="E53" s="3">
        <f t="shared" si="2"/>
        <v>5.5005355483776032E-2</v>
      </c>
      <c r="F53" s="4">
        <f t="shared" si="1"/>
        <v>738.61054625934514</v>
      </c>
    </row>
    <row r="54" spans="1:6">
      <c r="A54" s="7">
        <v>43291</v>
      </c>
      <c r="B54" s="1">
        <v>0.33333333333333331</v>
      </c>
      <c r="C54">
        <v>8746.9</v>
      </c>
      <c r="D54" s="2">
        <v>8.6</v>
      </c>
      <c r="E54" s="3">
        <f t="shared" si="2"/>
        <v>5.1843075571684445E-2</v>
      </c>
      <c r="F54" s="4">
        <f t="shared" si="1"/>
        <v>738.28799370831177</v>
      </c>
    </row>
    <row r="55" spans="1:6">
      <c r="A55" s="7">
        <v>43301</v>
      </c>
      <c r="B55" s="1">
        <v>0.33333333333333331</v>
      </c>
      <c r="C55">
        <v>8773.2000000000007</v>
      </c>
      <c r="D55" s="2">
        <v>8.6</v>
      </c>
      <c r="E55" s="3">
        <f t="shared" si="2"/>
        <v>5.0122976377587121E-2</v>
      </c>
      <c r="F55" s="4">
        <f t="shared" si="1"/>
        <v>738.11254359051384</v>
      </c>
    </row>
    <row r="56" spans="1:6">
      <c r="A56" s="7">
        <v>43311</v>
      </c>
      <c r="B56" s="1">
        <v>0.33333333333333331</v>
      </c>
      <c r="C56">
        <v>8768.7000000000007</v>
      </c>
      <c r="D56" s="2">
        <v>8.6</v>
      </c>
      <c r="E56" s="3">
        <f t="shared" si="2"/>
        <v>5.0417241566962374E-2</v>
      </c>
      <c r="F56" s="4">
        <f t="shared" si="1"/>
        <v>738.14255863983021</v>
      </c>
    </row>
    <row r="57" spans="1:6">
      <c r="A57" s="7">
        <v>43322</v>
      </c>
      <c r="B57" s="1">
        <v>0.33333333333333331</v>
      </c>
      <c r="C57">
        <v>8720.2999999999993</v>
      </c>
      <c r="D57" s="2">
        <v>8.5</v>
      </c>
      <c r="E57" s="3">
        <f t="shared" si="2"/>
        <v>5.3501079155384816E-2</v>
      </c>
      <c r="F57" s="4">
        <f t="shared" si="1"/>
        <v>738.45711007384921</v>
      </c>
    </row>
    <row r="58" spans="1:6">
      <c r="A58" s="7">
        <v>43332</v>
      </c>
      <c r="B58" s="1">
        <v>0.33333333333333331</v>
      </c>
      <c r="C58">
        <v>8751.5</v>
      </c>
      <c r="D58" s="2">
        <v>8.5</v>
      </c>
      <c r="E58" s="3">
        <f t="shared" ref="E58:E75" si="3">($B$2*C58^2+$B$3*C58+$B$4)-$B$5*D58-$E$7</f>
        <v>5.1459762311381045E-2</v>
      </c>
      <c r="F58" s="4">
        <f t="shared" ref="F58:F75" si="4">$D$1+102*E58</f>
        <v>738.24889575576083</v>
      </c>
    </row>
    <row r="59" spans="1:6">
      <c r="A59" s="7">
        <v>43342</v>
      </c>
      <c r="B59" s="1">
        <v>0.33333333333333331</v>
      </c>
      <c r="C59">
        <v>8703.2000000000007</v>
      </c>
      <c r="D59" s="2">
        <v>8.5</v>
      </c>
      <c r="E59" s="3">
        <f t="shared" si="3"/>
        <v>5.4620284973939219E-2</v>
      </c>
      <c r="F59" s="4">
        <f t="shared" si="4"/>
        <v>738.57126906734175</v>
      </c>
    </row>
    <row r="60" spans="1:6">
      <c r="A60" s="7">
        <v>43353</v>
      </c>
      <c r="B60" s="1">
        <v>0.33333333333333331</v>
      </c>
      <c r="C60">
        <v>8650.7000000000007</v>
      </c>
      <c r="D60" s="2">
        <v>8.4</v>
      </c>
      <c r="E60" s="3">
        <f t="shared" si="3"/>
        <v>5.7975834323103152E-2</v>
      </c>
      <c r="F60" s="4">
        <f t="shared" si="4"/>
        <v>738.91353510095655</v>
      </c>
    </row>
    <row r="61" spans="1:6">
      <c r="A61" s="7">
        <v>43363</v>
      </c>
      <c r="B61" s="1">
        <v>0.33333333333333331</v>
      </c>
      <c r="C61">
        <v>8687.5</v>
      </c>
      <c r="D61" s="2">
        <v>8.4</v>
      </c>
      <c r="E61" s="3">
        <f t="shared" si="3"/>
        <v>5.5565703569684925E-2</v>
      </c>
      <c r="F61" s="4">
        <f t="shared" si="4"/>
        <v>738.66770176410785</v>
      </c>
    </row>
    <row r="62" spans="1:6">
      <c r="A62" s="7">
        <v>43373</v>
      </c>
      <c r="B62" s="1">
        <v>0.33333333333333331</v>
      </c>
      <c r="C62">
        <v>8693.4</v>
      </c>
      <c r="D62" s="2">
        <v>8.4</v>
      </c>
      <c r="E62" s="3">
        <f t="shared" si="3"/>
        <v>5.5179420932379479E-2</v>
      </c>
      <c r="F62" s="4">
        <f t="shared" si="4"/>
        <v>738.62830093510274</v>
      </c>
    </row>
    <row r="63" spans="1:6">
      <c r="A63" s="7">
        <v>43383</v>
      </c>
      <c r="B63" s="1">
        <v>0.33333333333333331</v>
      </c>
      <c r="C63">
        <v>8697.2000000000007</v>
      </c>
      <c r="D63" s="2">
        <v>8.1999999999999993</v>
      </c>
      <c r="E63" s="3">
        <f t="shared" si="3"/>
        <v>5.4765826496396809E-2</v>
      </c>
      <c r="F63" s="4">
        <f t="shared" si="4"/>
        <v>738.5861143026325</v>
      </c>
    </row>
    <row r="64" spans="1:6">
      <c r="A64" s="7">
        <v>43393</v>
      </c>
      <c r="B64" s="1">
        <v>0.33333333333333331</v>
      </c>
      <c r="C64">
        <v>8703.5</v>
      </c>
      <c r="D64" s="2">
        <v>7.9</v>
      </c>
      <c r="E64" s="3">
        <f t="shared" si="3"/>
        <v>5.4106186099540939E-2</v>
      </c>
      <c r="F64" s="4">
        <f t="shared" si="4"/>
        <v>738.51883098215319</v>
      </c>
    </row>
    <row r="65" spans="1:6">
      <c r="A65" s="7">
        <v>43605</v>
      </c>
      <c r="B65" s="1">
        <v>0.33333333333333331</v>
      </c>
      <c r="C65">
        <v>8712.4</v>
      </c>
      <c r="D65" s="2">
        <v>7.4</v>
      </c>
      <c r="E65" s="3">
        <f t="shared" si="3"/>
        <v>5.3111591123934744E-2</v>
      </c>
      <c r="F65" s="4">
        <f t="shared" si="4"/>
        <v>738.41738229464136</v>
      </c>
    </row>
    <row r="66" spans="1:6">
      <c r="A66" s="7">
        <v>43615</v>
      </c>
      <c r="B66" s="1">
        <v>0.33333333333333331</v>
      </c>
      <c r="C66">
        <v>8714.6</v>
      </c>
      <c r="D66" s="2">
        <v>7.6</v>
      </c>
      <c r="E66" s="3">
        <f t="shared" si="3"/>
        <v>5.3132423927989052E-2</v>
      </c>
      <c r="F66" s="4">
        <f t="shared" si="4"/>
        <v>738.41950724065487</v>
      </c>
    </row>
    <row r="67" spans="1:6">
      <c r="A67" s="7">
        <v>43626</v>
      </c>
      <c r="B67" s="1">
        <v>0.33333333333333331</v>
      </c>
      <c r="C67">
        <v>8716.7000000000007</v>
      </c>
      <c r="D67" s="2">
        <v>7.7</v>
      </c>
      <c r="E67" s="3">
        <f t="shared" si="3"/>
        <v>5.3077395874341633E-2</v>
      </c>
      <c r="F67" s="4">
        <f t="shared" si="4"/>
        <v>738.41389437918281</v>
      </c>
    </row>
    <row r="68" spans="1:6">
      <c r="A68" s="7">
        <v>43636</v>
      </c>
      <c r="B68" s="1">
        <v>0.33333333333333331</v>
      </c>
      <c r="C68">
        <v>8719.2999999999993</v>
      </c>
      <c r="D68" s="2">
        <v>7.7</v>
      </c>
      <c r="E68" s="3">
        <f t="shared" si="3"/>
        <v>5.2907240251135197E-2</v>
      </c>
      <c r="F68" s="4">
        <f t="shared" si="4"/>
        <v>738.39653850561581</v>
      </c>
    </row>
    <row r="69" spans="1:6">
      <c r="A69" s="7">
        <v>43646</v>
      </c>
      <c r="B69" s="1">
        <v>0.33333333333333331</v>
      </c>
      <c r="C69">
        <v>8720.5</v>
      </c>
      <c r="D69" s="2">
        <v>7.9</v>
      </c>
      <c r="E69" s="3">
        <f t="shared" si="3"/>
        <v>5.2993529534548896E-2</v>
      </c>
      <c r="F69" s="4">
        <f t="shared" si="4"/>
        <v>738.40534001252399</v>
      </c>
    </row>
    <row r="70" spans="1:6">
      <c r="A70" s="7">
        <v>43656</v>
      </c>
      <c r="B70" s="1">
        <v>0.33333333333333331</v>
      </c>
      <c r="C70">
        <v>8723.4</v>
      </c>
      <c r="D70" s="2">
        <v>8</v>
      </c>
      <c r="E70" s="3">
        <f t="shared" si="3"/>
        <v>5.2886162064283614E-2</v>
      </c>
      <c r="F70" s="4">
        <f t="shared" si="4"/>
        <v>738.39438853055697</v>
      </c>
    </row>
    <row r="71" spans="1:6">
      <c r="A71" s="7">
        <v>43666</v>
      </c>
      <c r="B71" s="1">
        <v>0.33333333333333331</v>
      </c>
      <c r="C71">
        <v>8725.9</v>
      </c>
      <c r="D71" s="2">
        <v>8.1999999999999993</v>
      </c>
      <c r="E71" s="3">
        <f t="shared" si="3"/>
        <v>5.288738767957555E-2</v>
      </c>
      <c r="F71" s="4">
        <f t="shared" si="4"/>
        <v>738.39451354331675</v>
      </c>
    </row>
    <row r="72" spans="1:6">
      <c r="A72" s="7">
        <v>43676</v>
      </c>
      <c r="B72" s="1">
        <v>0.33333333333333331</v>
      </c>
      <c r="C72">
        <v>8728.5</v>
      </c>
      <c r="D72" s="2">
        <v>8.3000000000000007</v>
      </c>
      <c r="E72" s="3">
        <f t="shared" si="3"/>
        <v>5.2799665840340883E-2</v>
      </c>
      <c r="F72" s="4">
        <f t="shared" si="4"/>
        <v>738.38556591571478</v>
      </c>
    </row>
    <row r="73" spans="1:6">
      <c r="A73" s="7">
        <v>43687</v>
      </c>
      <c r="B73" s="1">
        <v>0.33333333333333331</v>
      </c>
      <c r="C73">
        <v>8692.6</v>
      </c>
      <c r="D73" s="2">
        <v>8.1999999999999993</v>
      </c>
      <c r="E73" s="3">
        <f t="shared" si="3"/>
        <v>5.5066975827790722E-2</v>
      </c>
      <c r="F73" s="4">
        <f t="shared" si="4"/>
        <v>738.61683153443471</v>
      </c>
    </row>
    <row r="74" spans="1:6">
      <c r="A74" s="7">
        <v>43697</v>
      </c>
      <c r="B74" s="1">
        <v>0.33333333333333331</v>
      </c>
      <c r="C74">
        <v>8667.2999999999993</v>
      </c>
      <c r="D74" s="2">
        <v>8.1999999999999993</v>
      </c>
      <c r="E74" s="3">
        <f t="shared" si="3"/>
        <v>5.6723670072012046E-2</v>
      </c>
      <c r="F74" s="4">
        <f t="shared" si="4"/>
        <v>738.78581434734519</v>
      </c>
    </row>
    <row r="75" spans="1:6">
      <c r="A75" s="7">
        <v>43707</v>
      </c>
      <c r="B75" s="1">
        <v>0.33333333333333331</v>
      </c>
      <c r="C75">
        <v>8599.5</v>
      </c>
      <c r="D75" s="2">
        <v>8</v>
      </c>
      <c r="E75" s="3">
        <f t="shared" si="3"/>
        <v>6.1001640071828921E-2</v>
      </c>
      <c r="F75" s="4">
        <f t="shared" si="4"/>
        <v>739.22216728732656</v>
      </c>
    </row>
  </sheetData>
  <phoneticPr fontId="4" type="noConversion"/>
  <pageMargins left="0.69930555555555596" right="0.69930555555555596" top="0.75" bottom="0.75" header="0.3" footer="0.3"/>
  <drawing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5"/>
  <sheetViews>
    <sheetView topLeftCell="A48" workbookViewId="0">
      <selection activeCell="A69" sqref="A69:B75"/>
    </sheetView>
  </sheetViews>
  <sheetFormatPr defaultColWidth="9" defaultRowHeight="13.5"/>
  <cols>
    <col min="1" max="1" width="11.625" bestFit="1" customWidth="1"/>
    <col min="2" max="2" width="13.875" customWidth="1"/>
  </cols>
  <sheetData>
    <row r="1" spans="1:7">
      <c r="A1" t="s">
        <v>0</v>
      </c>
      <c r="B1">
        <v>50351</v>
      </c>
      <c r="C1" t="s">
        <v>1</v>
      </c>
      <c r="D1">
        <v>728</v>
      </c>
    </row>
    <row r="2" spans="1:7">
      <c r="A2" t="s">
        <v>2</v>
      </c>
      <c r="B2">
        <f>1.07545*10^(-10)</f>
        <v>1.07545E-10</v>
      </c>
    </row>
    <row r="3" spans="1:7">
      <c r="A3" t="s">
        <v>3</v>
      </c>
      <c r="B3">
        <f>-0.000072042</f>
        <v>-7.2041999999999999E-5</v>
      </c>
    </row>
    <row r="4" spans="1:7">
      <c r="A4" t="s">
        <v>4</v>
      </c>
      <c r="B4">
        <f>0.65969493</f>
        <v>0.65969493000000001</v>
      </c>
    </row>
    <row r="5" spans="1:7">
      <c r="A5" t="s">
        <v>5</v>
      </c>
      <c r="B5">
        <f>-0.0009668787</f>
        <v>-9.6687870000000003E-4</v>
      </c>
    </row>
    <row r="6" spans="1:7">
      <c r="A6" t="s">
        <v>6</v>
      </c>
      <c r="B6" t="s">
        <v>7</v>
      </c>
      <c r="C6" t="s">
        <v>8</v>
      </c>
      <c r="D6" t="s">
        <v>9</v>
      </c>
      <c r="E6" t="s">
        <v>10</v>
      </c>
      <c r="F6" t="s">
        <v>11</v>
      </c>
      <c r="G6" t="s">
        <v>12</v>
      </c>
    </row>
    <row r="7" spans="1:7">
      <c r="A7" s="7">
        <v>42264</v>
      </c>
      <c r="B7" s="1">
        <v>0.33333333333333298</v>
      </c>
      <c r="C7" s="2">
        <v>9211.7000000000007</v>
      </c>
      <c r="D7" s="2">
        <v>15.7</v>
      </c>
      <c r="E7" s="3">
        <f>($B$2*C7^2+$B$3*C7+$B$4)-$B$5*D7</f>
        <v>2.0371409999435049E-2</v>
      </c>
      <c r="G7" t="s">
        <v>13</v>
      </c>
    </row>
    <row r="8" spans="1:7">
      <c r="A8" s="7">
        <v>42265</v>
      </c>
      <c r="B8" s="1">
        <v>0.5625</v>
      </c>
      <c r="C8" s="2">
        <v>7312.7</v>
      </c>
      <c r="D8" s="2">
        <v>14.7</v>
      </c>
      <c r="E8" s="3">
        <f>($B$2*C8^2+$B$3*C8+$B$4)-$B$5*D8-$E$7</f>
        <v>0.13246613488039805</v>
      </c>
      <c r="F8" s="4">
        <f>$D$1+102*E8</f>
        <v>741.5115457578006</v>
      </c>
      <c r="G8" t="s">
        <v>17</v>
      </c>
    </row>
    <row r="9" spans="1:7">
      <c r="A9" s="7">
        <v>42266</v>
      </c>
      <c r="B9" s="1">
        <v>0.6875</v>
      </c>
      <c r="C9" s="2">
        <v>6741.7</v>
      </c>
      <c r="D9" s="2">
        <v>16.8</v>
      </c>
      <c r="E9" s="3">
        <f t="shared" ref="E9:E24" si="0">($B$2*C9^2+$B$3*C9+$B$4)-$B$5*D9-$E$7</f>
        <v>0.17476950681459008</v>
      </c>
      <c r="F9" s="4">
        <f t="shared" ref="F9:F57" si="1">$D$1+102*E9</f>
        <v>745.82648969508818</v>
      </c>
      <c r="G9" t="s">
        <v>14</v>
      </c>
    </row>
    <row r="10" spans="1:7">
      <c r="A10" s="7">
        <v>42267</v>
      </c>
      <c r="B10" s="1">
        <v>0.33333333333333298</v>
      </c>
      <c r="C10" s="2">
        <v>7760.7</v>
      </c>
      <c r="D10" s="2">
        <v>24.8</v>
      </c>
      <c r="E10" s="3">
        <f t="shared" si="0"/>
        <v>0.11068303257414203</v>
      </c>
      <c r="F10" s="4">
        <f t="shared" si="1"/>
        <v>739.28966932256253</v>
      </c>
    </row>
    <row r="11" spans="1:7">
      <c r="A11" s="7">
        <v>42268</v>
      </c>
      <c r="B11" s="1">
        <v>0.33333333333333298</v>
      </c>
      <c r="C11" s="2">
        <v>7880.1</v>
      </c>
      <c r="D11" s="2">
        <v>25.5</v>
      </c>
      <c r="E11" s="3">
        <f t="shared" si="0"/>
        <v>0.10295887439056045</v>
      </c>
      <c r="F11" s="4">
        <f t="shared" si="1"/>
        <v>738.50180518783714</v>
      </c>
    </row>
    <row r="12" spans="1:7">
      <c r="A12" s="7">
        <v>42269</v>
      </c>
      <c r="B12" s="1">
        <v>0.33333333333333298</v>
      </c>
      <c r="C12" s="2">
        <v>7843.4</v>
      </c>
      <c r="D12" s="2">
        <v>24.9</v>
      </c>
      <c r="E12" s="3">
        <f t="shared" si="0"/>
        <v>0.10496062946482526</v>
      </c>
      <c r="F12" s="4">
        <f t="shared" si="1"/>
        <v>738.70598420541216</v>
      </c>
    </row>
    <row r="13" spans="1:7">
      <c r="A13" s="7">
        <v>42270</v>
      </c>
      <c r="B13" s="1">
        <v>0.33333333333333298</v>
      </c>
      <c r="C13" s="2">
        <v>7825.4</v>
      </c>
      <c r="D13" s="2">
        <v>24</v>
      </c>
      <c r="E13" s="3">
        <f t="shared" si="0"/>
        <v>0.10535686281509726</v>
      </c>
      <c r="F13" s="4">
        <f t="shared" si="1"/>
        <v>738.74640000713987</v>
      </c>
    </row>
    <row r="14" spans="1:7">
      <c r="A14" s="7">
        <v>42271</v>
      </c>
      <c r="B14" s="1">
        <v>0.33333333333333298</v>
      </c>
      <c r="C14" s="2">
        <v>7801.1</v>
      </c>
      <c r="D14" s="2">
        <v>23.2</v>
      </c>
      <c r="E14" s="3">
        <f t="shared" si="0"/>
        <v>0.1062931430428945</v>
      </c>
      <c r="F14" s="4">
        <f t="shared" si="1"/>
        <v>738.84190059037519</v>
      </c>
    </row>
    <row r="15" spans="1:7">
      <c r="A15" s="7">
        <v>42272</v>
      </c>
      <c r="B15" s="1">
        <v>0.33333333333333298</v>
      </c>
      <c r="C15" s="2">
        <v>7793.3</v>
      </c>
      <c r="D15" s="2">
        <v>22.2</v>
      </c>
      <c r="E15" s="3">
        <f t="shared" si="0"/>
        <v>0.10587511056486001</v>
      </c>
      <c r="F15" s="4">
        <f t="shared" si="1"/>
        <v>738.79926127761576</v>
      </c>
    </row>
    <row r="16" spans="1:7">
      <c r="A16" s="7">
        <v>42273</v>
      </c>
      <c r="B16" s="1">
        <v>0.33333333333333298</v>
      </c>
      <c r="C16" s="2">
        <v>7790.8</v>
      </c>
      <c r="D16" s="2">
        <v>20.5</v>
      </c>
      <c r="E16" s="3">
        <f t="shared" si="0"/>
        <v>0.10440733179477377</v>
      </c>
      <c r="F16" s="4">
        <f t="shared" si="1"/>
        <v>738.6495478430669</v>
      </c>
    </row>
    <row r="17" spans="1:7">
      <c r="A17" s="7">
        <v>42280</v>
      </c>
      <c r="B17" s="1">
        <v>0.33333333333333298</v>
      </c>
      <c r="C17" s="2">
        <v>7743.2</v>
      </c>
      <c r="D17" s="2">
        <v>16.899999999999999</v>
      </c>
      <c r="E17" s="3">
        <f t="shared" si="0"/>
        <v>0.10427624692294579</v>
      </c>
      <c r="F17" s="4">
        <f t="shared" si="1"/>
        <v>738.63617718614046</v>
      </c>
    </row>
    <row r="18" spans="1:7">
      <c r="A18" s="7">
        <v>42287</v>
      </c>
      <c r="B18" s="1">
        <v>0.33333333333333298</v>
      </c>
      <c r="C18" s="2">
        <v>7725.1</v>
      </c>
      <c r="D18" s="2">
        <v>15.5</v>
      </c>
      <c r="E18" s="3">
        <f t="shared" si="0"/>
        <v>0.10419646689929041</v>
      </c>
      <c r="F18" s="4">
        <f t="shared" si="1"/>
        <v>738.62803962372766</v>
      </c>
    </row>
    <row r="19" spans="1:7">
      <c r="A19" s="7">
        <v>42294</v>
      </c>
      <c r="B19" s="1">
        <v>0.33333333333333298</v>
      </c>
      <c r="C19" s="2">
        <v>7694.8</v>
      </c>
      <c r="D19" s="2">
        <v>13.7</v>
      </c>
      <c r="E19" s="3">
        <f t="shared" si="0"/>
        <v>0.10458871034498174</v>
      </c>
      <c r="F19" s="4">
        <f t="shared" si="1"/>
        <v>738.66804845518811</v>
      </c>
      <c r="G19" s="2"/>
    </row>
    <row r="20" spans="1:7">
      <c r="A20" s="7">
        <v>42301</v>
      </c>
      <c r="B20" s="1">
        <v>0.33333333333333298</v>
      </c>
      <c r="C20" s="2">
        <v>7698.8</v>
      </c>
      <c r="D20" s="2">
        <v>13.3</v>
      </c>
      <c r="E20" s="3">
        <f t="shared" si="0"/>
        <v>0.10392041288382983</v>
      </c>
      <c r="F20" s="4">
        <f t="shared" si="1"/>
        <v>738.59988211415066</v>
      </c>
      <c r="G20" s="2"/>
    </row>
    <row r="21" spans="1:7">
      <c r="A21" s="7">
        <v>42308</v>
      </c>
      <c r="B21" s="1">
        <v>0.33333333333333298</v>
      </c>
      <c r="C21" s="2">
        <v>7691.8</v>
      </c>
      <c r="D21" s="2">
        <v>12.8</v>
      </c>
      <c r="E21" s="3">
        <f t="shared" si="0"/>
        <v>0.10392968125929078</v>
      </c>
      <c r="F21" s="4">
        <f t="shared" si="1"/>
        <v>738.60082748844764</v>
      </c>
      <c r="G21" s="2"/>
    </row>
    <row r="22" spans="1:7">
      <c r="A22" s="7">
        <v>42521</v>
      </c>
      <c r="B22" s="1">
        <v>0.33333333333333298</v>
      </c>
      <c r="C22" s="2">
        <v>7672.2</v>
      </c>
      <c r="D22" s="2">
        <v>7.3</v>
      </c>
      <c r="E22" s="3">
        <f t="shared" si="0"/>
        <v>9.9991486110242722E-2</v>
      </c>
      <c r="F22" s="4">
        <f t="shared" si="1"/>
        <v>738.19913158324471</v>
      </c>
      <c r="G22" s="2"/>
    </row>
    <row r="23" spans="1:7">
      <c r="A23" s="7">
        <v>42531</v>
      </c>
      <c r="B23" s="1">
        <v>0.33333333333333298</v>
      </c>
      <c r="C23" s="2">
        <v>7697.3</v>
      </c>
      <c r="D23" s="2">
        <v>7.2</v>
      </c>
      <c r="E23" s="3">
        <f t="shared" si="0"/>
        <v>9.8128032153467992E-2</v>
      </c>
      <c r="F23" s="4">
        <f t="shared" si="1"/>
        <v>738.00905927965368</v>
      </c>
    </row>
    <row r="24" spans="1:7">
      <c r="A24" s="6">
        <v>42544</v>
      </c>
      <c r="B24" s="1">
        <v>0.33333333333333298</v>
      </c>
      <c r="C24" s="2">
        <v>7481.4</v>
      </c>
      <c r="D24" s="2">
        <v>7.1</v>
      </c>
      <c r="E24" s="3">
        <f t="shared" si="0"/>
        <v>0.11323277837183315</v>
      </c>
      <c r="F24" s="4">
        <f t="shared" si="1"/>
        <v>739.54974339392697</v>
      </c>
    </row>
    <row r="25" spans="1:7">
      <c r="A25" s="7">
        <v>42551</v>
      </c>
      <c r="B25" s="9">
        <v>0.33333333333333298</v>
      </c>
      <c r="C25">
        <v>7607.8</v>
      </c>
      <c r="D25" s="2">
        <v>7</v>
      </c>
      <c r="E25" s="3">
        <f t="shared" ref="E25:E57" si="2">($B$2*C25^2+$B$3*C25+$B$4)-$B$5*D25-$E$7</f>
        <v>0.10423509957880273</v>
      </c>
      <c r="F25" s="4">
        <f t="shared" si="1"/>
        <v>738.6319801570379</v>
      </c>
    </row>
    <row r="26" spans="1:7">
      <c r="A26" s="7">
        <v>42561</v>
      </c>
      <c r="B26" s="9">
        <v>0.33333333333333298</v>
      </c>
      <c r="C26">
        <v>7648.8</v>
      </c>
      <c r="D26" s="2">
        <v>7</v>
      </c>
      <c r="E26" s="3">
        <f t="shared" si="2"/>
        <v>0.1013486491917297</v>
      </c>
      <c r="F26" s="4">
        <f t="shared" si="1"/>
        <v>738.33756221755641</v>
      </c>
    </row>
    <row r="27" spans="1:7">
      <c r="A27" s="7">
        <v>42571</v>
      </c>
      <c r="B27" s="9">
        <v>0.33333333333333298</v>
      </c>
      <c r="C27" s="2">
        <v>7711.1</v>
      </c>
      <c r="D27" s="2">
        <v>6.9</v>
      </c>
      <c r="E27" s="3">
        <f t="shared" si="2"/>
        <v>9.6866656873484336E-2</v>
      </c>
      <c r="F27" s="4">
        <f t="shared" si="1"/>
        <v>737.88039900109538</v>
      </c>
    </row>
    <row r="28" spans="1:7">
      <c r="A28" s="7">
        <v>42581</v>
      </c>
      <c r="B28" s="9">
        <v>0.33333333333333298</v>
      </c>
      <c r="C28" s="2">
        <v>7700.7</v>
      </c>
      <c r="D28" s="2">
        <v>7.1</v>
      </c>
      <c r="E28" s="3">
        <f t="shared" si="2"/>
        <v>9.779203180836199E-2</v>
      </c>
      <c r="F28" s="4">
        <f t="shared" si="1"/>
        <v>737.97478724445295</v>
      </c>
    </row>
    <row r="29" spans="1:7">
      <c r="A29" s="7">
        <v>42653</v>
      </c>
      <c r="B29" s="1">
        <v>0.33333333333333331</v>
      </c>
      <c r="C29" s="2">
        <v>7855.1</v>
      </c>
      <c r="D29" s="2">
        <v>7.2</v>
      </c>
      <c r="E29" s="3">
        <f t="shared" si="2"/>
        <v>8.7023738128460426E-2</v>
      </c>
      <c r="F29" s="4">
        <f t="shared" si="1"/>
        <v>736.87642128910295</v>
      </c>
    </row>
    <row r="30" spans="1:7">
      <c r="A30" s="7">
        <v>42846</v>
      </c>
      <c r="B30" s="1">
        <v>0.33333333333333331</v>
      </c>
      <c r="C30" s="2">
        <v>7750.9</v>
      </c>
      <c r="D30" s="2">
        <v>7.6</v>
      </c>
      <c r="E30" s="3">
        <f t="shared" si="2"/>
        <v>9.4742382222926524E-2</v>
      </c>
      <c r="F30" s="4">
        <f t="shared" si="1"/>
        <v>737.66372298673855</v>
      </c>
    </row>
    <row r="31" spans="1:7">
      <c r="A31" s="7">
        <v>42855</v>
      </c>
      <c r="B31" s="1">
        <v>0.33333333333333331</v>
      </c>
      <c r="C31" s="2">
        <v>7757.2</v>
      </c>
      <c r="D31" s="2">
        <v>7.6</v>
      </c>
      <c r="E31" s="3">
        <f t="shared" si="2"/>
        <v>9.4299024880197813E-2</v>
      </c>
      <c r="F31" s="4">
        <f t="shared" si="1"/>
        <v>737.61850053778016</v>
      </c>
    </row>
    <row r="32" spans="1:7">
      <c r="A32" s="7">
        <v>42865</v>
      </c>
      <c r="B32" s="1">
        <v>0.33333333333333331</v>
      </c>
      <c r="C32" s="2">
        <v>7678.7</v>
      </c>
      <c r="D32" s="2">
        <v>7.6</v>
      </c>
      <c r="E32" s="3">
        <f t="shared" si="2"/>
        <v>9.982400765175603E-2</v>
      </c>
      <c r="F32" s="4">
        <f t="shared" si="1"/>
        <v>738.18204878047914</v>
      </c>
    </row>
    <row r="33" spans="1:6">
      <c r="A33" s="7">
        <v>42875</v>
      </c>
      <c r="B33" s="1">
        <v>0.33333333333333331</v>
      </c>
      <c r="C33" s="2">
        <v>7715</v>
      </c>
      <c r="D33" s="2">
        <v>7.6</v>
      </c>
      <c r="E33" s="3">
        <f t="shared" si="2"/>
        <v>9.726897826318992E-2</v>
      </c>
      <c r="F33" s="4">
        <f t="shared" si="1"/>
        <v>737.92143578284538</v>
      </c>
    </row>
    <row r="34" spans="1:6">
      <c r="A34" s="7">
        <v>42885</v>
      </c>
      <c r="B34" s="1">
        <v>0.33333333333333331</v>
      </c>
      <c r="C34" s="2">
        <v>7759.8</v>
      </c>
      <c r="D34" s="2">
        <v>7.6</v>
      </c>
      <c r="E34" s="3">
        <f t="shared" si="2"/>
        <v>9.4116054497186741E-2</v>
      </c>
      <c r="F34" s="4">
        <f t="shared" si="1"/>
        <v>737.59983755871303</v>
      </c>
    </row>
    <row r="35" spans="1:6">
      <c r="A35" s="7">
        <v>42896</v>
      </c>
      <c r="B35" s="1">
        <v>0.33333333333333331</v>
      </c>
      <c r="C35" s="2">
        <v>7757.1</v>
      </c>
      <c r="D35" s="2">
        <v>7.6</v>
      </c>
      <c r="E35" s="3">
        <f t="shared" si="2"/>
        <v>9.4306062231658383E-2</v>
      </c>
      <c r="F35" s="4">
        <f t="shared" si="1"/>
        <v>737.61921834762916</v>
      </c>
    </row>
    <row r="36" spans="1:6">
      <c r="A36" s="7">
        <v>42906</v>
      </c>
      <c r="B36" s="1">
        <v>0.33333333333333331</v>
      </c>
      <c r="C36" s="2">
        <v>7748.7</v>
      </c>
      <c r="D36" s="2">
        <v>7.5</v>
      </c>
      <c r="E36" s="3">
        <f t="shared" si="2"/>
        <v>9.4800519563066066E-2</v>
      </c>
      <c r="F36" s="4">
        <f t="shared" si="1"/>
        <v>737.66965299543278</v>
      </c>
    </row>
    <row r="37" spans="1:6">
      <c r="A37" s="7">
        <v>42916</v>
      </c>
      <c r="B37" s="1">
        <v>0.33333333333333331</v>
      </c>
      <c r="C37" s="2">
        <v>7736.4</v>
      </c>
      <c r="D37" s="2">
        <v>7.5</v>
      </c>
      <c r="E37" s="3">
        <f t="shared" si="2"/>
        <v>9.5666152418588168E-2</v>
      </c>
      <c r="F37" s="4">
        <f t="shared" si="1"/>
        <v>737.75794754669596</v>
      </c>
    </row>
    <row r="38" spans="1:6">
      <c r="A38" s="7">
        <v>42926</v>
      </c>
      <c r="B38" s="1">
        <v>0.33333333333333331</v>
      </c>
      <c r="C38" s="2">
        <v>7765.8</v>
      </c>
      <c r="D38" s="2">
        <v>7.5</v>
      </c>
      <c r="E38" s="3">
        <f t="shared" si="2"/>
        <v>9.3597132831098662E-2</v>
      </c>
      <c r="F38" s="4">
        <f t="shared" si="1"/>
        <v>737.54690754877208</v>
      </c>
    </row>
    <row r="39" spans="1:6">
      <c r="A39" s="7">
        <v>42936</v>
      </c>
      <c r="B39" s="1">
        <v>0.33333333333333331</v>
      </c>
      <c r="C39" s="2">
        <v>7759.3</v>
      </c>
      <c r="D39" s="2">
        <v>7.5</v>
      </c>
      <c r="E39" s="3">
        <f t="shared" si="2"/>
        <v>9.4054553126382057E-2</v>
      </c>
      <c r="F39" s="4">
        <f t="shared" si="1"/>
        <v>737.59356441889099</v>
      </c>
    </row>
    <row r="40" spans="1:6">
      <c r="A40" s="7">
        <v>42946</v>
      </c>
      <c r="B40" s="1">
        <v>0.33333333333333331</v>
      </c>
      <c r="C40" s="2">
        <v>7772</v>
      </c>
      <c r="D40" s="2">
        <v>7.5</v>
      </c>
      <c r="E40" s="3">
        <f t="shared" si="2"/>
        <v>9.3160832709844932E-2</v>
      </c>
      <c r="F40" s="4">
        <f t="shared" si="1"/>
        <v>737.50240493640422</v>
      </c>
    </row>
    <row r="41" spans="1:6">
      <c r="A41" s="7">
        <v>42957</v>
      </c>
      <c r="B41" s="1">
        <v>0.33333333333333331</v>
      </c>
      <c r="C41" s="2">
        <v>7753.5</v>
      </c>
      <c r="D41" s="2">
        <v>7.5</v>
      </c>
      <c r="E41" s="3">
        <f t="shared" si="2"/>
        <v>9.4462720446741255E-2</v>
      </c>
      <c r="F41" s="4">
        <f t="shared" si="1"/>
        <v>737.63519748556757</v>
      </c>
    </row>
    <row r="42" spans="1:6">
      <c r="A42" s="7">
        <v>42967</v>
      </c>
      <c r="B42" s="1">
        <v>0.33333333333333331</v>
      </c>
      <c r="C42" s="2">
        <v>7767.7</v>
      </c>
      <c r="D42" s="2">
        <v>7.7</v>
      </c>
      <c r="E42" s="3">
        <f t="shared" si="2"/>
        <v>9.3656802816588114E-2</v>
      </c>
      <c r="F42" s="4">
        <f t="shared" si="1"/>
        <v>737.55299388729202</v>
      </c>
    </row>
    <row r="43" spans="1:6">
      <c r="A43" s="7">
        <v>42977</v>
      </c>
      <c r="B43" s="1">
        <v>0.33333333333333331</v>
      </c>
      <c r="C43" s="2">
        <v>7752.3</v>
      </c>
      <c r="D43" s="2">
        <v>8.1999999999999993</v>
      </c>
      <c r="E43" s="3">
        <f t="shared" si="2"/>
        <v>9.5223984851227961E-2</v>
      </c>
      <c r="F43" s="4">
        <f t="shared" si="1"/>
        <v>737.71284645482524</v>
      </c>
    </row>
    <row r="44" spans="1:6">
      <c r="A44" s="7">
        <v>42988</v>
      </c>
      <c r="B44" s="1">
        <v>0.33333333333333331</v>
      </c>
      <c r="C44" s="2">
        <v>7749.3</v>
      </c>
      <c r="D44" s="2">
        <v>7.7</v>
      </c>
      <c r="E44" s="3">
        <f t="shared" si="2"/>
        <v>9.495167014251199E-2</v>
      </c>
      <c r="F44" s="4">
        <f t="shared" si="1"/>
        <v>737.68507035453626</v>
      </c>
    </row>
    <row r="45" spans="1:6">
      <c r="A45" s="7">
        <v>42998</v>
      </c>
      <c r="B45" s="1">
        <v>0.33333333333333331</v>
      </c>
      <c r="C45" s="2">
        <v>7762.6</v>
      </c>
      <c r="D45" s="2">
        <v>7.5</v>
      </c>
      <c r="E45" s="3">
        <f t="shared" si="2"/>
        <v>9.3822323225409121E-2</v>
      </c>
      <c r="F45" s="4">
        <f t="shared" si="1"/>
        <v>737.56987696899171</v>
      </c>
    </row>
    <row r="46" spans="1:6">
      <c r="A46" s="7">
        <v>43008</v>
      </c>
      <c r="B46" s="1">
        <v>0.33333333333333331</v>
      </c>
      <c r="C46" s="2">
        <v>7766.7</v>
      </c>
      <c r="D46" s="2">
        <v>7.5</v>
      </c>
      <c r="E46" s="3">
        <f t="shared" si="2"/>
        <v>9.3533798429540072E-2</v>
      </c>
      <c r="F46" s="4">
        <f t="shared" si="1"/>
        <v>737.54044743981308</v>
      </c>
    </row>
    <row r="47" spans="1:6">
      <c r="A47" s="7">
        <v>43018</v>
      </c>
      <c r="B47" s="1">
        <v>0.33333333333333331</v>
      </c>
      <c r="C47" s="2">
        <v>7761.1</v>
      </c>
      <c r="D47" s="2">
        <v>7.5</v>
      </c>
      <c r="E47" s="3">
        <f t="shared" si="2"/>
        <v>9.3927881980934436E-2</v>
      </c>
      <c r="F47" s="4">
        <f t="shared" si="1"/>
        <v>737.58064396205532</v>
      </c>
    </row>
    <row r="48" spans="1:6">
      <c r="A48" s="7">
        <v>43230</v>
      </c>
      <c r="B48" s="1">
        <v>0.33333333333333331</v>
      </c>
      <c r="C48" s="2">
        <v>7774.2</v>
      </c>
      <c r="D48" s="2">
        <v>7.6</v>
      </c>
      <c r="E48" s="3">
        <f t="shared" si="2"/>
        <v>9.3102706395218782E-2</v>
      </c>
      <c r="F48" s="4">
        <f t="shared" si="1"/>
        <v>737.49647605231235</v>
      </c>
    </row>
    <row r="49" spans="1:6">
      <c r="A49" s="7">
        <v>43240</v>
      </c>
      <c r="B49" s="1">
        <v>0.33333333333333331</v>
      </c>
      <c r="C49" s="2">
        <v>7781.6</v>
      </c>
      <c r="D49" s="2">
        <v>7.8</v>
      </c>
      <c r="E49" s="3">
        <f t="shared" si="2"/>
        <v>9.2775351154200214E-2</v>
      </c>
      <c r="F49" s="4">
        <f t="shared" si="1"/>
        <v>737.46308581772837</v>
      </c>
    </row>
    <row r="50" spans="1:6">
      <c r="A50" s="7">
        <v>43250</v>
      </c>
      <c r="B50" s="1">
        <v>0.33333333333333331</v>
      </c>
      <c r="C50" s="2">
        <v>7771.6</v>
      </c>
      <c r="D50" s="2">
        <v>7.6</v>
      </c>
      <c r="E50" s="3">
        <f t="shared" si="2"/>
        <v>9.3285668725260118E-2</v>
      </c>
      <c r="F50" s="4">
        <f t="shared" si="1"/>
        <v>737.5151382099765</v>
      </c>
    </row>
    <row r="51" spans="1:6">
      <c r="A51" s="7">
        <v>43261</v>
      </c>
      <c r="B51" s="1">
        <v>0.33333333333333331</v>
      </c>
      <c r="C51" s="2">
        <v>7738.3</v>
      </c>
      <c r="D51" s="2">
        <v>7.7</v>
      </c>
      <c r="E51" s="3">
        <f t="shared" si="2"/>
        <v>9.5725810389150012E-2</v>
      </c>
      <c r="F51" s="4">
        <f t="shared" si="1"/>
        <v>737.76403265969327</v>
      </c>
    </row>
    <row r="52" spans="1:6">
      <c r="A52" s="7">
        <v>43271</v>
      </c>
      <c r="B52" s="1">
        <v>0.33333333333333331</v>
      </c>
      <c r="C52" s="2">
        <v>7602.6</v>
      </c>
      <c r="D52" s="2">
        <v>7.6</v>
      </c>
      <c r="E52" s="3">
        <f t="shared" si="2"/>
        <v>0.10518133902596916</v>
      </c>
      <c r="F52" s="4">
        <f t="shared" si="1"/>
        <v>738.72849658064888</v>
      </c>
    </row>
    <row r="53" spans="1:6">
      <c r="A53" s="7">
        <v>43281</v>
      </c>
      <c r="B53" s="1">
        <v>0.33333333333333331</v>
      </c>
      <c r="C53" s="2">
        <v>7632.2</v>
      </c>
      <c r="D53" s="2">
        <v>7.7</v>
      </c>
      <c r="E53" s="3">
        <f t="shared" si="2"/>
        <v>0.1031940811223227</v>
      </c>
      <c r="F53" s="4">
        <f t="shared" si="1"/>
        <v>738.52579627447687</v>
      </c>
    </row>
    <row r="54" spans="1:6">
      <c r="A54" s="7">
        <v>43291</v>
      </c>
      <c r="B54" s="1">
        <v>0.33333333333333331</v>
      </c>
      <c r="C54" s="2">
        <v>7680.8</v>
      </c>
      <c r="D54" s="2">
        <v>7.7</v>
      </c>
      <c r="E54" s="3">
        <f t="shared" si="2"/>
        <v>9.9772876180353742E-2</v>
      </c>
      <c r="F54" s="4">
        <f t="shared" si="1"/>
        <v>738.17683337039603</v>
      </c>
    </row>
    <row r="55" spans="1:6">
      <c r="A55" s="7">
        <v>43301</v>
      </c>
      <c r="B55" s="1">
        <v>0.33333333333333331</v>
      </c>
      <c r="C55" s="2">
        <v>7705.6</v>
      </c>
      <c r="D55" s="2">
        <v>7.6</v>
      </c>
      <c r="E55" s="3">
        <f t="shared" si="2"/>
        <v>9.7930584023976142E-2</v>
      </c>
      <c r="F55" s="4">
        <f t="shared" si="1"/>
        <v>737.98891957044555</v>
      </c>
    </row>
    <row r="56" spans="1:6">
      <c r="A56" s="7">
        <v>43311</v>
      </c>
      <c r="B56" s="1">
        <v>0.33333333333333331</v>
      </c>
      <c r="C56" s="2">
        <v>7701.6</v>
      </c>
      <c r="D56" s="2">
        <v>7.7</v>
      </c>
      <c r="E56" s="3">
        <f t="shared" si="2"/>
        <v>9.830881202468017E-2</v>
      </c>
      <c r="F56" s="4">
        <f t="shared" si="1"/>
        <v>738.02749882651733</v>
      </c>
    </row>
    <row r="57" spans="1:6">
      <c r="A57" s="7">
        <v>43322</v>
      </c>
      <c r="B57" s="1">
        <v>0.33333333333333331</v>
      </c>
      <c r="C57" s="2">
        <v>7656.9</v>
      </c>
      <c r="D57" s="2">
        <v>7.6</v>
      </c>
      <c r="E57" s="3">
        <f t="shared" si="2"/>
        <v>0.10135856922893238</v>
      </c>
      <c r="F57" s="4">
        <f t="shared" si="1"/>
        <v>738.3385740613511</v>
      </c>
    </row>
    <row r="58" spans="1:6">
      <c r="A58" s="7">
        <v>43332</v>
      </c>
      <c r="B58" s="1">
        <v>0.33333333333333331</v>
      </c>
      <c r="C58" s="2">
        <v>7686.4</v>
      </c>
      <c r="D58" s="2">
        <v>7.6</v>
      </c>
      <c r="E58" s="3">
        <f t="shared" ref="E58:E75" si="3">($B$2*C58^2+$B$3*C58+$B$4)-$B$5*D58-$E$7</f>
        <v>9.9282008037288261E-2</v>
      </c>
      <c r="F58" s="4">
        <f t="shared" ref="F58:F75" si="4">$D$1+102*E58</f>
        <v>738.12676481980338</v>
      </c>
    </row>
    <row r="59" spans="1:6">
      <c r="A59" s="7">
        <v>43342</v>
      </c>
      <c r="B59" s="1">
        <v>0.33333333333333331</v>
      </c>
      <c r="C59" s="2">
        <v>7602.3</v>
      </c>
      <c r="D59" s="2">
        <v>7.5</v>
      </c>
      <c r="E59" s="3">
        <f t="shared" si="3"/>
        <v>0.10510577319267805</v>
      </c>
      <c r="F59" s="4">
        <f t="shared" si="4"/>
        <v>738.72078886565316</v>
      </c>
    </row>
    <row r="60" spans="1:6">
      <c r="A60" s="7">
        <v>43353</v>
      </c>
      <c r="B60" s="1">
        <v>0.33333333333333331</v>
      </c>
      <c r="C60" s="2">
        <v>7593.1</v>
      </c>
      <c r="D60" s="2">
        <v>7.5</v>
      </c>
      <c r="E60" s="3">
        <f t="shared" si="3"/>
        <v>0.10575352505118235</v>
      </c>
      <c r="F60" s="4">
        <f t="shared" si="4"/>
        <v>738.78685955522064</v>
      </c>
    </row>
    <row r="61" spans="1:6">
      <c r="A61" s="7">
        <v>43363</v>
      </c>
      <c r="B61" s="1">
        <v>0.33333333333333331</v>
      </c>
      <c r="C61" s="2">
        <v>7627.6</v>
      </c>
      <c r="D61" s="2">
        <v>7.6</v>
      </c>
      <c r="E61" s="3">
        <f t="shared" si="3"/>
        <v>0.10342123732244413</v>
      </c>
      <c r="F61" s="4">
        <f t="shared" si="4"/>
        <v>738.5489662068893</v>
      </c>
    </row>
    <row r="62" spans="1:6">
      <c r="A62" s="7">
        <v>43373</v>
      </c>
      <c r="B62" s="1">
        <v>0.33333333333333331</v>
      </c>
      <c r="C62" s="2">
        <v>7638.9</v>
      </c>
      <c r="D62" s="2">
        <v>7.4</v>
      </c>
      <c r="E62" s="3">
        <f t="shared" si="3"/>
        <v>0.10243233972633448</v>
      </c>
      <c r="F62" s="4">
        <f t="shared" si="4"/>
        <v>738.44809865208617</v>
      </c>
    </row>
    <row r="63" spans="1:6">
      <c r="A63" s="7">
        <v>43383</v>
      </c>
      <c r="B63" s="1">
        <v>0.33333333333333331</v>
      </c>
      <c r="C63" s="2">
        <v>7642.7</v>
      </c>
      <c r="D63" s="2">
        <v>7.2</v>
      </c>
      <c r="E63" s="3">
        <f t="shared" si="3"/>
        <v>0.10197144953308801</v>
      </c>
      <c r="F63" s="4">
        <f t="shared" si="4"/>
        <v>738.40108785237499</v>
      </c>
    </row>
    <row r="64" spans="1:6">
      <c r="A64" s="7">
        <v>43393</v>
      </c>
      <c r="B64" s="1">
        <v>0.33333333333333331</v>
      </c>
      <c r="C64" s="2">
        <v>7647.6</v>
      </c>
      <c r="D64" s="2">
        <v>7</v>
      </c>
      <c r="E64" s="3">
        <f t="shared" si="3"/>
        <v>0.10143312553012407</v>
      </c>
      <c r="F64" s="4">
        <f t="shared" si="4"/>
        <v>738.34617880407268</v>
      </c>
    </row>
    <row r="65" spans="1:6">
      <c r="A65" s="7">
        <v>43605</v>
      </c>
      <c r="B65" s="1">
        <v>0.33333333333333331</v>
      </c>
      <c r="C65" s="2">
        <v>7650.8</v>
      </c>
      <c r="D65" s="2">
        <v>6.7</v>
      </c>
      <c r="E65" s="3">
        <f t="shared" si="3"/>
        <v>0.10091779237269377</v>
      </c>
      <c r="F65" s="4">
        <f t="shared" si="4"/>
        <v>738.29361482201477</v>
      </c>
    </row>
    <row r="66" spans="1:6">
      <c r="A66" s="7">
        <v>43615</v>
      </c>
      <c r="B66" s="1">
        <v>0.33333333333333331</v>
      </c>
      <c r="C66" s="2">
        <v>7651.3</v>
      </c>
      <c r="D66" s="2">
        <v>6.7</v>
      </c>
      <c r="E66" s="3">
        <f t="shared" si="3"/>
        <v>0.10088259420486595</v>
      </c>
      <c r="F66" s="4">
        <f t="shared" si="4"/>
        <v>738.29002460889637</v>
      </c>
    </row>
    <row r="67" spans="1:6">
      <c r="A67" s="7">
        <v>43626</v>
      </c>
      <c r="B67" s="1">
        <v>0.33333333333333331</v>
      </c>
      <c r="C67" s="2">
        <v>7652.6</v>
      </c>
      <c r="D67" s="2">
        <v>6.9</v>
      </c>
      <c r="E67" s="3">
        <f t="shared" si="3"/>
        <v>0.10098445496016911</v>
      </c>
      <c r="F67" s="4">
        <f t="shared" si="4"/>
        <v>738.3004144059372</v>
      </c>
    </row>
    <row r="68" spans="1:6">
      <c r="A68" s="7">
        <v>43636</v>
      </c>
      <c r="B68" s="1">
        <v>0.33333333333333331</v>
      </c>
      <c r="C68" s="2">
        <v>7654.8</v>
      </c>
      <c r="D68" s="2">
        <v>7.2</v>
      </c>
      <c r="E68" s="3">
        <f t="shared" si="3"/>
        <v>0.10111964788570171</v>
      </c>
      <c r="F68" s="4">
        <f t="shared" si="4"/>
        <v>738.31420408434155</v>
      </c>
    </row>
    <row r="69" spans="1:6">
      <c r="A69" s="7">
        <v>43646</v>
      </c>
      <c r="B69" s="1">
        <v>0.33333333333333331</v>
      </c>
      <c r="C69" s="2">
        <v>7660.2</v>
      </c>
      <c r="D69" s="2">
        <v>7.2</v>
      </c>
      <c r="E69" s="3">
        <f t="shared" si="3"/>
        <v>0.10073951516474677</v>
      </c>
      <c r="F69" s="4">
        <f t="shared" si="4"/>
        <v>738.27543054680416</v>
      </c>
    </row>
    <row r="70" spans="1:6">
      <c r="A70" s="7">
        <v>43656</v>
      </c>
      <c r="B70" s="1">
        <v>0.33333333333333331</v>
      </c>
      <c r="C70" s="2">
        <v>7663.4</v>
      </c>
      <c r="D70" s="2">
        <v>7.3</v>
      </c>
      <c r="E70" s="3">
        <f t="shared" si="3"/>
        <v>0.10061094215974525</v>
      </c>
      <c r="F70" s="4">
        <f t="shared" si="4"/>
        <v>738.26231610029402</v>
      </c>
    </row>
    <row r="71" spans="1:6">
      <c r="A71" s="7">
        <v>43666</v>
      </c>
      <c r="B71" s="1">
        <v>0.33333333333333331</v>
      </c>
      <c r="C71" s="2">
        <v>7667.1</v>
      </c>
      <c r="D71" s="2">
        <v>7.3</v>
      </c>
      <c r="E71" s="3">
        <f t="shared" si="3"/>
        <v>0.1003504870186484</v>
      </c>
      <c r="F71" s="4">
        <f t="shared" si="4"/>
        <v>738.23574967590218</v>
      </c>
    </row>
    <row r="72" spans="1:6">
      <c r="A72" s="7">
        <v>43676</v>
      </c>
      <c r="B72" s="1">
        <v>0.33333333333333331</v>
      </c>
      <c r="C72" s="2">
        <v>7671.8</v>
      </c>
      <c r="D72" s="2">
        <v>7.4</v>
      </c>
      <c r="E72" s="3">
        <f t="shared" si="3"/>
        <v>0.10011633071205073</v>
      </c>
      <c r="F72" s="4">
        <f t="shared" si="4"/>
        <v>738.21186573262912</v>
      </c>
    </row>
    <row r="73" spans="1:6">
      <c r="A73" s="7">
        <v>43687</v>
      </c>
      <c r="B73" s="1">
        <v>0.33333333333333331</v>
      </c>
      <c r="C73" s="2">
        <v>7631.4</v>
      </c>
      <c r="D73" s="2">
        <v>7.4</v>
      </c>
      <c r="E73" s="3">
        <f t="shared" si="3"/>
        <v>0.10296033789323322</v>
      </c>
      <c r="F73" s="4">
        <f t="shared" si="4"/>
        <v>738.50195446510975</v>
      </c>
    </row>
    <row r="74" spans="1:6">
      <c r="A74" s="7">
        <v>43697</v>
      </c>
      <c r="B74" s="1">
        <v>0.33333333333333331</v>
      </c>
      <c r="C74" s="2">
        <v>7596.2</v>
      </c>
      <c r="D74" s="2">
        <v>7.3</v>
      </c>
      <c r="E74" s="3">
        <f t="shared" si="3"/>
        <v>0.10534188306431475</v>
      </c>
      <c r="F74" s="4">
        <f t="shared" si="4"/>
        <v>738.74487207256016</v>
      </c>
    </row>
    <row r="75" spans="1:6">
      <c r="A75" s="7">
        <v>43707</v>
      </c>
      <c r="B75" s="1">
        <v>0.33333333333333331</v>
      </c>
      <c r="C75" s="2">
        <v>7552.2</v>
      </c>
      <c r="D75" s="2">
        <v>7.4</v>
      </c>
      <c r="E75" s="3">
        <f t="shared" si="3"/>
        <v>0.10853673700848276</v>
      </c>
      <c r="F75" s="4">
        <f t="shared" si="4"/>
        <v>739.07074717486523</v>
      </c>
    </row>
  </sheetData>
  <phoneticPr fontId="4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6"/>
  <sheetViews>
    <sheetView topLeftCell="A40" workbookViewId="0">
      <selection activeCell="A58" sqref="A58:B60"/>
    </sheetView>
  </sheetViews>
  <sheetFormatPr defaultColWidth="9" defaultRowHeight="13.5"/>
  <cols>
    <col min="1" max="1" width="11" customWidth="1"/>
    <col min="2" max="2" width="13.125" style="17" customWidth="1"/>
    <col min="5" max="5" width="10.875" customWidth="1"/>
    <col min="8" max="8" width="9.5" customWidth="1"/>
  </cols>
  <sheetData>
    <row r="1" spans="1:8">
      <c r="A1" t="s">
        <v>0</v>
      </c>
      <c r="B1" s="18">
        <v>11387</v>
      </c>
      <c r="C1" t="s">
        <v>1</v>
      </c>
      <c r="D1" s="11">
        <v>730</v>
      </c>
    </row>
    <row r="2" spans="1:8">
      <c r="A2" t="s">
        <v>2</v>
      </c>
      <c r="B2" s="24">
        <v>1.8691799999999999E-10</v>
      </c>
    </row>
    <row r="3" spans="1:8">
      <c r="A3" t="s">
        <v>3</v>
      </c>
      <c r="B3" s="18">
        <v>-2.2857300000000001E-4</v>
      </c>
    </row>
    <row r="4" spans="1:8">
      <c r="A4" t="s">
        <v>4</v>
      </c>
      <c r="B4" s="18">
        <v>1.96967325</v>
      </c>
    </row>
    <row r="5" spans="1:8">
      <c r="A5" t="s">
        <v>5</v>
      </c>
      <c r="B5" s="18">
        <v>-4.3023469999999998E-3</v>
      </c>
    </row>
    <row r="6" spans="1:8">
      <c r="A6" t="s">
        <v>6</v>
      </c>
      <c r="B6" s="17" t="s">
        <v>7</v>
      </c>
      <c r="C6" t="s">
        <v>8</v>
      </c>
      <c r="D6" t="s">
        <v>9</v>
      </c>
      <c r="E6" t="s">
        <v>10</v>
      </c>
      <c r="F6" t="s">
        <v>11</v>
      </c>
      <c r="G6" t="s">
        <v>12</v>
      </c>
    </row>
    <row r="7" spans="1:8">
      <c r="A7" s="6">
        <v>42606</v>
      </c>
      <c r="B7" s="9">
        <v>0.60416666666666696</v>
      </c>
      <c r="C7" s="2">
        <v>8528.2000000000007</v>
      </c>
      <c r="D7" s="2">
        <v>17.899999999999999</v>
      </c>
      <c r="E7" s="3">
        <f>($B$2*C7^2+$B$3*C7+$B$4)-$B$5*D7</f>
        <v>0.11096358533387027</v>
      </c>
      <c r="G7" t="s">
        <v>13</v>
      </c>
    </row>
    <row r="8" spans="1:8">
      <c r="A8" s="6">
        <v>42606</v>
      </c>
      <c r="B8" s="9">
        <v>0.70833333333333304</v>
      </c>
      <c r="C8" s="2">
        <v>7773.5</v>
      </c>
      <c r="D8" s="2">
        <v>11.5</v>
      </c>
      <c r="E8" s="3">
        <f t="shared" ref="E8:E33" si="0">($B$2*C8^2+$B$3*C8+$B$4)-$B$5*D8-$E$7</f>
        <v>0.14266939014809513</v>
      </c>
      <c r="F8" s="4">
        <f>$D$1+102*E8</f>
        <v>744.55227779510574</v>
      </c>
      <c r="G8" s="5" t="s">
        <v>14</v>
      </c>
      <c r="H8" s="23"/>
    </row>
    <row r="9" spans="1:8">
      <c r="A9" s="6">
        <v>42607</v>
      </c>
      <c r="B9" s="9">
        <v>0.33333333333333298</v>
      </c>
      <c r="C9" s="2">
        <v>7856.3</v>
      </c>
      <c r="D9" s="2">
        <v>8.6999999999999993</v>
      </c>
      <c r="E9" s="3">
        <f t="shared" si="0"/>
        <v>0.11193887359928503</v>
      </c>
      <c r="F9" s="4">
        <f t="shared" ref="F9:F35" si="1">$D$1+102*E9</f>
        <v>741.41776510712702</v>
      </c>
      <c r="H9" s="23"/>
    </row>
    <row r="10" spans="1:8">
      <c r="A10" s="6">
        <v>42608</v>
      </c>
      <c r="B10" s="9">
        <v>0.33333333333333298</v>
      </c>
      <c r="C10" s="2">
        <v>7932.6</v>
      </c>
      <c r="D10" s="2">
        <v>4.5999999999999996</v>
      </c>
      <c r="E10" s="3">
        <f t="shared" si="0"/>
        <v>7.7084309818543195E-2</v>
      </c>
      <c r="F10" s="4">
        <f t="shared" si="1"/>
        <v>737.86259960149141</v>
      </c>
      <c r="H10" s="23"/>
    </row>
    <row r="11" spans="1:8">
      <c r="A11" s="6">
        <v>42609</v>
      </c>
      <c r="B11" s="9">
        <v>0.33333333333333298</v>
      </c>
      <c r="C11" s="2">
        <v>7895.9</v>
      </c>
      <c r="D11" s="2">
        <v>4.5</v>
      </c>
      <c r="E11" s="3">
        <f t="shared" si="0"/>
        <v>8.493412244018142E-2</v>
      </c>
      <c r="F11" s="4">
        <f t="shared" si="1"/>
        <v>738.66328048889852</v>
      </c>
      <c r="H11" s="23"/>
    </row>
    <row r="12" spans="1:8">
      <c r="A12" s="6">
        <v>42610</v>
      </c>
      <c r="B12" s="9">
        <v>0.33333333333333298</v>
      </c>
      <c r="C12" s="2">
        <v>7922.9</v>
      </c>
      <c r="D12" s="2">
        <v>4.5</v>
      </c>
      <c r="E12" s="3">
        <f t="shared" si="0"/>
        <v>7.8842485538558132E-2</v>
      </c>
      <c r="F12" s="4">
        <f t="shared" si="1"/>
        <v>738.04193352493292</v>
      </c>
      <c r="H12" s="23"/>
    </row>
    <row r="13" spans="1:8">
      <c r="A13" s="6">
        <v>42611</v>
      </c>
      <c r="B13" s="9">
        <v>0.33333333333333298</v>
      </c>
      <c r="C13" s="2">
        <v>7926.5</v>
      </c>
      <c r="D13" s="2">
        <v>4.5</v>
      </c>
      <c r="E13" s="3">
        <f t="shared" si="0"/>
        <v>7.8030287875895193E-2</v>
      </c>
      <c r="F13" s="4">
        <f t="shared" si="1"/>
        <v>737.95908936334126</v>
      </c>
      <c r="H13" s="23"/>
    </row>
    <row r="14" spans="1:8">
      <c r="A14" s="6">
        <v>42612</v>
      </c>
      <c r="B14" s="9">
        <v>0.33333333333333298</v>
      </c>
      <c r="C14" s="2">
        <v>7931.4</v>
      </c>
      <c r="D14" s="2">
        <v>4.5</v>
      </c>
      <c r="E14" s="3">
        <f t="shared" si="0"/>
        <v>7.6924804397960928E-2</v>
      </c>
      <c r="F14" s="4">
        <f t="shared" si="1"/>
        <v>737.84633004859199</v>
      </c>
      <c r="H14" s="23"/>
    </row>
    <row r="15" spans="1:8">
      <c r="A15" s="6">
        <v>42623</v>
      </c>
      <c r="B15" s="9">
        <v>0.33333333333333298</v>
      </c>
      <c r="C15" s="2">
        <v>7925.1</v>
      </c>
      <c r="D15" s="2">
        <v>4.5</v>
      </c>
      <c r="E15" s="3">
        <f t="shared" si="0"/>
        <v>7.834614194677883E-2</v>
      </c>
      <c r="F15" s="4">
        <f t="shared" si="1"/>
        <v>737.99130647857146</v>
      </c>
      <c r="H15" s="23"/>
    </row>
    <row r="16" spans="1:8">
      <c r="A16" s="6">
        <v>42633</v>
      </c>
      <c r="B16" s="9">
        <v>0.33333333333333331</v>
      </c>
      <c r="C16" s="2">
        <v>7911.9</v>
      </c>
      <c r="D16" s="2">
        <v>4.9000000000000004</v>
      </c>
      <c r="E16" s="3">
        <f t="shared" si="0"/>
        <v>8.3045169437947847E-2</v>
      </c>
      <c r="F16" s="4">
        <f t="shared" si="1"/>
        <v>738.4706072826707</v>
      </c>
      <c r="H16" s="23"/>
    </row>
    <row r="17" spans="1:8">
      <c r="A17" s="6">
        <v>42643</v>
      </c>
      <c r="B17" s="9">
        <v>0.33333333333333331</v>
      </c>
      <c r="C17" s="2">
        <v>7922.2</v>
      </c>
      <c r="D17" s="2">
        <v>5</v>
      </c>
      <c r="E17" s="3">
        <f t="shared" si="0"/>
        <v>8.1151586924476882E-2</v>
      </c>
      <c r="F17" s="4">
        <f t="shared" si="1"/>
        <v>738.27746186629668</v>
      </c>
      <c r="H17" s="23"/>
    </row>
    <row r="18" spans="1:8">
      <c r="A18" s="6">
        <v>42884</v>
      </c>
      <c r="B18" s="9">
        <v>0.33333333333333331</v>
      </c>
      <c r="C18" s="2">
        <v>7942.4</v>
      </c>
      <c r="D18" s="2">
        <v>4.8</v>
      </c>
      <c r="E18" s="3">
        <f t="shared" si="0"/>
        <v>7.5733843586393623E-2</v>
      </c>
      <c r="F18" s="4">
        <f t="shared" si="1"/>
        <v>737.7248520458121</v>
      </c>
      <c r="H18" s="23"/>
    </row>
    <row r="19" spans="1:8">
      <c r="A19" s="6">
        <v>42885</v>
      </c>
      <c r="B19" s="9">
        <v>0.33333333333333331</v>
      </c>
      <c r="C19" s="2">
        <v>7942.1</v>
      </c>
      <c r="D19" s="2">
        <v>4.8</v>
      </c>
      <c r="E19" s="3">
        <f t="shared" si="0"/>
        <v>7.5801524756702043E-2</v>
      </c>
      <c r="F19" s="4">
        <f t="shared" si="1"/>
        <v>737.73175552518364</v>
      </c>
      <c r="H19" s="23"/>
    </row>
    <row r="20" spans="1:8">
      <c r="A20" s="7">
        <v>42896</v>
      </c>
      <c r="B20" s="9">
        <v>0.33333333333333331</v>
      </c>
      <c r="C20" s="2">
        <v>7942.2</v>
      </c>
      <c r="D20" s="2">
        <v>4.8</v>
      </c>
      <c r="E20" s="3">
        <f t="shared" si="0"/>
        <v>7.5778964362860968E-2</v>
      </c>
      <c r="F20" s="4">
        <f t="shared" si="1"/>
        <v>737.72945436501186</v>
      </c>
      <c r="H20" s="23"/>
    </row>
    <row r="21" spans="1:8">
      <c r="A21" s="7">
        <v>42906</v>
      </c>
      <c r="B21" s="9">
        <v>0.33333333333333331</v>
      </c>
      <c r="C21" s="2">
        <v>7940.8</v>
      </c>
      <c r="D21" s="2">
        <v>4.8</v>
      </c>
      <c r="E21" s="3">
        <f t="shared" si="0"/>
        <v>7.6094810216829012E-2</v>
      </c>
      <c r="F21" s="4">
        <f t="shared" si="1"/>
        <v>737.76167064211654</v>
      </c>
      <c r="H21" s="23"/>
    </row>
    <row r="22" spans="1:8">
      <c r="A22" s="7">
        <v>42916</v>
      </c>
      <c r="B22" s="9">
        <v>0.33333333333333331</v>
      </c>
      <c r="C22" s="2">
        <v>7935.2</v>
      </c>
      <c r="D22" s="2">
        <v>4.8</v>
      </c>
      <c r="E22" s="3">
        <f t="shared" si="0"/>
        <v>7.735820095988849E-2</v>
      </c>
      <c r="F22" s="4">
        <f t="shared" si="1"/>
        <v>737.89053649790867</v>
      </c>
      <c r="H22" s="23"/>
    </row>
    <row r="23" spans="1:8">
      <c r="A23" s="7">
        <v>42926</v>
      </c>
      <c r="B23" s="9">
        <v>0.33333333333333331</v>
      </c>
      <c r="C23" s="2">
        <v>7943.2</v>
      </c>
      <c r="D23" s="2">
        <v>4.8</v>
      </c>
      <c r="E23" s="3">
        <f t="shared" si="0"/>
        <v>7.5553360630058186E-2</v>
      </c>
      <c r="F23" s="4">
        <f t="shared" si="1"/>
        <v>737.70644278426596</v>
      </c>
    </row>
    <row r="24" spans="1:8">
      <c r="A24" s="7">
        <v>42936</v>
      </c>
      <c r="B24" s="9">
        <v>0.33333333333333331</v>
      </c>
      <c r="C24" s="2">
        <v>7940.8</v>
      </c>
      <c r="D24" s="2">
        <v>4.8</v>
      </c>
      <c r="E24" s="3">
        <f t="shared" si="0"/>
        <v>7.6094810216829012E-2</v>
      </c>
      <c r="F24" s="4">
        <f t="shared" si="1"/>
        <v>737.76167064211654</v>
      </c>
    </row>
    <row r="25" spans="1:8">
      <c r="A25" s="7">
        <v>42946</v>
      </c>
      <c r="B25" s="9">
        <v>0.33333333333333331</v>
      </c>
      <c r="C25" s="2">
        <v>7941.7</v>
      </c>
      <c r="D25" s="2">
        <v>4.8</v>
      </c>
      <c r="E25" s="3">
        <f t="shared" si="0"/>
        <v>7.5891766369450664E-2</v>
      </c>
      <c r="F25" s="4">
        <f t="shared" si="1"/>
        <v>737.74096016968394</v>
      </c>
    </row>
    <row r="26" spans="1:8">
      <c r="A26" s="7">
        <v>42957</v>
      </c>
      <c r="B26" s="9">
        <v>0.33333333333333331</v>
      </c>
      <c r="C26" s="2">
        <v>7939.7</v>
      </c>
      <c r="D26" s="2">
        <v>4.7</v>
      </c>
      <c r="E26" s="3">
        <f t="shared" si="0"/>
        <v>7.5912740630400294E-2</v>
      </c>
      <c r="F26" s="4">
        <f t="shared" si="1"/>
        <v>737.74309954430078</v>
      </c>
    </row>
    <row r="27" spans="1:8">
      <c r="A27" s="7">
        <v>42967</v>
      </c>
      <c r="B27" s="9">
        <v>0.33333333333333331</v>
      </c>
      <c r="C27" s="2">
        <v>7937.6</v>
      </c>
      <c r="D27" s="2">
        <v>4.7</v>
      </c>
      <c r="E27" s="3">
        <f t="shared" si="0"/>
        <v>7.6386511648761174E-2</v>
      </c>
      <c r="F27" s="4">
        <f t="shared" si="1"/>
        <v>737.79142418817366</v>
      </c>
    </row>
    <row r="28" spans="1:8">
      <c r="A28" s="6">
        <v>42977</v>
      </c>
      <c r="B28" s="9">
        <v>0.33333333333333331</v>
      </c>
      <c r="C28" s="2">
        <v>7938.5</v>
      </c>
      <c r="D28" s="2">
        <v>5.8</v>
      </c>
      <c r="E28" s="3">
        <f t="shared" si="0"/>
        <v>8.0916048424735182E-2</v>
      </c>
      <c r="F28" s="4">
        <f t="shared" si="1"/>
        <v>738.25343693932302</v>
      </c>
    </row>
    <row r="29" spans="1:8">
      <c r="A29" s="7">
        <v>42988</v>
      </c>
      <c r="B29" s="9">
        <v>0.33333333333333331</v>
      </c>
      <c r="C29" s="2">
        <v>7937.3</v>
      </c>
      <c r="D29" s="2">
        <v>4.7</v>
      </c>
      <c r="E29" s="3">
        <f t="shared" si="0"/>
        <v>7.6454193357393868E-2</v>
      </c>
      <c r="F29" s="4">
        <f t="shared" si="1"/>
        <v>737.79832772245413</v>
      </c>
    </row>
    <row r="30" spans="1:8">
      <c r="A30" s="7">
        <v>42998</v>
      </c>
      <c r="B30" s="9">
        <v>0.33333333333333331</v>
      </c>
      <c r="C30" s="2">
        <v>7941</v>
      </c>
      <c r="D30" s="2">
        <v>4.7</v>
      </c>
      <c r="E30" s="3">
        <f t="shared" si="0"/>
        <v>7.5619454635687616E-2</v>
      </c>
      <c r="F30" s="4">
        <f t="shared" si="1"/>
        <v>737.71318437284015</v>
      </c>
    </row>
    <row r="31" spans="1:8">
      <c r="A31" s="7">
        <v>43008</v>
      </c>
      <c r="B31" s="9">
        <v>0.33333333333333331</v>
      </c>
      <c r="C31" s="2">
        <v>7942.5</v>
      </c>
      <c r="D31" s="2">
        <v>4.8</v>
      </c>
      <c r="E31" s="3">
        <f t="shared" si="0"/>
        <v>7.5711283203767354E-2</v>
      </c>
      <c r="F31" s="4">
        <f t="shared" si="1"/>
        <v>737.72255088678423</v>
      </c>
    </row>
    <row r="32" spans="1:8">
      <c r="A32" s="7">
        <v>43018</v>
      </c>
      <c r="B32" s="9">
        <v>0.33333333333333331</v>
      </c>
      <c r="C32" s="2">
        <v>7939.8</v>
      </c>
      <c r="D32" s="2">
        <v>4.7</v>
      </c>
      <c r="E32" s="3">
        <f t="shared" si="0"/>
        <v>7.5890180146838321E-2</v>
      </c>
      <c r="F32" s="4">
        <f t="shared" si="1"/>
        <v>737.74079837497754</v>
      </c>
    </row>
    <row r="33" spans="1:6">
      <c r="A33" s="7">
        <v>43230</v>
      </c>
      <c r="B33" s="9">
        <v>0.33333333333333331</v>
      </c>
      <c r="C33" s="2">
        <v>7949.8</v>
      </c>
      <c r="D33" s="2">
        <v>4.5</v>
      </c>
      <c r="E33" s="3">
        <f t="shared" si="0"/>
        <v>7.277368126936648E-2</v>
      </c>
      <c r="F33" s="4">
        <f t="shared" si="1"/>
        <v>737.42291548947537</v>
      </c>
    </row>
    <row r="34" spans="1:6">
      <c r="A34" s="7">
        <v>43240</v>
      </c>
      <c r="B34" s="9">
        <v>0.33333333333333331</v>
      </c>
      <c r="C34" s="2">
        <v>7951.3</v>
      </c>
      <c r="D34" s="2">
        <v>4.8</v>
      </c>
      <c r="E34" s="3">
        <f>($B$2*C34^2+$B$3*C34+$B$4)-$B$5*D34-$E$7</f>
        <v>7.3725984172080927E-2</v>
      </c>
      <c r="F34" s="4">
        <f t="shared" si="1"/>
        <v>737.52005038555228</v>
      </c>
    </row>
    <row r="35" spans="1:6">
      <c r="A35" s="7">
        <v>43250</v>
      </c>
      <c r="B35" s="9">
        <v>0.33333333333333331</v>
      </c>
      <c r="C35" s="2">
        <v>7948.5</v>
      </c>
      <c r="D35" s="2">
        <v>4.7</v>
      </c>
      <c r="E35" s="3">
        <f>($B$2*C35^2+$B$3*C35+$B$4)-$B$5*D35-$E$7</f>
        <v>7.392743238739527E-2</v>
      </c>
      <c r="F35" s="4">
        <f t="shared" si="1"/>
        <v>737.5405981035143</v>
      </c>
    </row>
    <row r="36" spans="1:6">
      <c r="A36" s="7">
        <v>43261</v>
      </c>
      <c r="B36" s="9">
        <v>0.33333333333333331</v>
      </c>
      <c r="C36" s="2">
        <v>7947.8</v>
      </c>
      <c r="D36" s="2">
        <v>4.7</v>
      </c>
      <c r="E36" s="3">
        <f t="shared" ref="E36:E60" si="2">($B$2*C36^2+$B$3*C36+$B$4)-$B$5*D36-$E$7</f>
        <v>7.408535357417298E-2</v>
      </c>
      <c r="F36" s="4">
        <f t="shared" ref="F36:F60" si="3">$D$1+102*E36</f>
        <v>737.55670606456567</v>
      </c>
    </row>
    <row r="37" spans="1:6">
      <c r="A37" s="7">
        <v>43271</v>
      </c>
      <c r="B37" s="9">
        <v>0.33333333333333331</v>
      </c>
      <c r="C37" s="2">
        <v>7909.2</v>
      </c>
      <c r="D37" s="2">
        <v>4.8</v>
      </c>
      <c r="E37" s="3">
        <f t="shared" si="2"/>
        <v>8.3224097267349195E-2</v>
      </c>
      <c r="F37" s="4">
        <f t="shared" si="3"/>
        <v>738.48885792126964</v>
      </c>
    </row>
    <row r="38" spans="1:6">
      <c r="A38" s="7">
        <v>43281</v>
      </c>
      <c r="B38" s="9">
        <v>0.33333333333333331</v>
      </c>
      <c r="C38" s="2">
        <v>7906.5</v>
      </c>
      <c r="D38" s="2">
        <v>4.7</v>
      </c>
      <c r="E38" s="3">
        <f t="shared" si="2"/>
        <v>8.3403027822015224E-2</v>
      </c>
      <c r="F38" s="4">
        <f t="shared" si="3"/>
        <v>738.50710883784552</v>
      </c>
    </row>
    <row r="39" spans="1:6">
      <c r="A39" s="7">
        <v>43291</v>
      </c>
      <c r="B39" s="9">
        <v>0.33333333333333331</v>
      </c>
      <c r="C39" s="2">
        <v>7914.2</v>
      </c>
      <c r="D39" s="2">
        <v>5.7</v>
      </c>
      <c r="E39" s="3">
        <f t="shared" si="2"/>
        <v>8.5968132958755272E-2</v>
      </c>
      <c r="F39" s="4">
        <f t="shared" si="3"/>
        <v>738.76874956179302</v>
      </c>
    </row>
    <row r="40" spans="1:6">
      <c r="A40" s="7">
        <v>43301</v>
      </c>
      <c r="B40" s="9">
        <v>0.33333333333333331</v>
      </c>
      <c r="C40" s="2">
        <v>7918.5</v>
      </c>
      <c r="D40" s="2">
        <v>5.2</v>
      </c>
      <c r="E40" s="3">
        <f t="shared" si="2"/>
        <v>8.2846821050215375E-2</v>
      </c>
      <c r="F40" s="4">
        <f t="shared" si="3"/>
        <v>738.45037574712194</v>
      </c>
    </row>
    <row r="41" spans="1:6">
      <c r="A41" s="7">
        <v>43311</v>
      </c>
      <c r="B41" s="9">
        <v>0.33333333333333331</v>
      </c>
      <c r="C41" s="2">
        <v>7918.1</v>
      </c>
      <c r="D41" s="2">
        <v>5</v>
      </c>
      <c r="E41" s="3">
        <f t="shared" si="2"/>
        <v>8.2076596791975542E-2</v>
      </c>
      <c r="F41" s="4">
        <f t="shared" si="3"/>
        <v>738.37181287278156</v>
      </c>
    </row>
    <row r="42" spans="1:6">
      <c r="A42" s="7">
        <v>43322</v>
      </c>
      <c r="B42" s="9">
        <v>0.33333333333333331</v>
      </c>
      <c r="C42" s="2">
        <v>7908.8</v>
      </c>
      <c r="D42" s="2">
        <v>4.9000000000000004</v>
      </c>
      <c r="E42" s="3">
        <f t="shared" si="2"/>
        <v>8.3744578499779593E-2</v>
      </c>
      <c r="F42" s="4">
        <f t="shared" si="3"/>
        <v>738.54194700697747</v>
      </c>
    </row>
    <row r="43" spans="1:6">
      <c r="A43" s="7">
        <v>43332</v>
      </c>
      <c r="B43" s="9">
        <v>0.33333333333333331</v>
      </c>
      <c r="C43" s="2">
        <v>7912.6</v>
      </c>
      <c r="D43" s="2">
        <v>4.8</v>
      </c>
      <c r="E43" s="3">
        <f t="shared" si="2"/>
        <v>8.2457004156671176E-2</v>
      </c>
      <c r="F43" s="4">
        <f t="shared" si="3"/>
        <v>738.41061442398041</v>
      </c>
    </row>
    <row r="44" spans="1:6">
      <c r="A44" s="7">
        <v>43342</v>
      </c>
      <c r="B44" s="9">
        <v>0.33333333333333331</v>
      </c>
      <c r="C44" s="2">
        <v>7912.4</v>
      </c>
      <c r="D44" s="2">
        <v>4.8</v>
      </c>
      <c r="E44" s="3">
        <f t="shared" si="2"/>
        <v>8.2502127161201366E-2</v>
      </c>
      <c r="F44" s="4">
        <f t="shared" si="3"/>
        <v>738.41521697044254</v>
      </c>
    </row>
    <row r="45" spans="1:6">
      <c r="A45" s="7">
        <v>43353</v>
      </c>
      <c r="B45" s="9">
        <v>0.33333333333333331</v>
      </c>
      <c r="C45" s="2">
        <v>7912.2</v>
      </c>
      <c r="D45" s="2">
        <v>4.8</v>
      </c>
      <c r="E45" s="3">
        <f t="shared" si="2"/>
        <v>8.2547250180684928E-2</v>
      </c>
      <c r="F45" s="4">
        <f t="shared" si="3"/>
        <v>738.4198195184299</v>
      </c>
    </row>
    <row r="46" spans="1:6">
      <c r="A46" s="7">
        <v>43363</v>
      </c>
      <c r="B46" s="9">
        <v>0.33333333333333331</v>
      </c>
      <c r="C46" s="2">
        <v>7896.1</v>
      </c>
      <c r="D46" s="2">
        <v>4.8</v>
      </c>
      <c r="E46" s="3">
        <f t="shared" si="2"/>
        <v>8.6179702301992289E-2</v>
      </c>
      <c r="F46" s="4">
        <f t="shared" si="3"/>
        <v>738.79032963480324</v>
      </c>
    </row>
    <row r="47" spans="1:6">
      <c r="A47" s="7">
        <v>43373</v>
      </c>
      <c r="B47" s="9">
        <v>0.33333333333333331</v>
      </c>
      <c r="C47" s="2">
        <v>7899.3</v>
      </c>
      <c r="D47" s="2">
        <v>4.8</v>
      </c>
      <c r="E47" s="3">
        <f t="shared" si="2"/>
        <v>8.545771652463946E-2</v>
      </c>
      <c r="F47" s="4">
        <f t="shared" si="3"/>
        <v>738.71668708551317</v>
      </c>
    </row>
    <row r="48" spans="1:6">
      <c r="A48" s="7">
        <v>43383</v>
      </c>
      <c r="B48" s="9">
        <v>0.33333333333333331</v>
      </c>
      <c r="C48" s="2">
        <v>7899.7</v>
      </c>
      <c r="D48" s="2">
        <v>4.8</v>
      </c>
      <c r="E48" s="3">
        <f t="shared" si="2"/>
        <v>8.5367468571632521E-2</v>
      </c>
      <c r="F48" s="4">
        <f t="shared" si="3"/>
        <v>738.70748179430655</v>
      </c>
    </row>
    <row r="49" spans="1:6">
      <c r="A49" s="7">
        <v>43393</v>
      </c>
      <c r="B49" s="9">
        <v>0.33333333333333331</v>
      </c>
      <c r="C49" s="2">
        <v>7903.5</v>
      </c>
      <c r="D49" s="2">
        <v>4.5999999999999996</v>
      </c>
      <c r="E49" s="3">
        <f t="shared" si="2"/>
        <v>8.3649646601275274E-2</v>
      </c>
      <c r="F49" s="4">
        <f t="shared" si="3"/>
        <v>738.53226395333013</v>
      </c>
    </row>
    <row r="50" spans="1:6">
      <c r="A50" s="7">
        <v>43605</v>
      </c>
      <c r="B50" s="1">
        <v>0.33333333333333331</v>
      </c>
      <c r="C50" s="2">
        <v>7952.8</v>
      </c>
      <c r="D50" s="2">
        <v>4.5</v>
      </c>
      <c r="E50" s="3">
        <f t="shared" si="2"/>
        <v>7.2096879715926737E-2</v>
      </c>
      <c r="F50" s="4">
        <f t="shared" si="3"/>
        <v>737.35388173102456</v>
      </c>
    </row>
    <row r="51" spans="1:6">
      <c r="A51" s="7">
        <v>43615</v>
      </c>
      <c r="B51" s="1">
        <v>0.33333333333333331</v>
      </c>
      <c r="C51" s="2">
        <v>7947.5</v>
      </c>
      <c r="D51" s="2">
        <v>4.5</v>
      </c>
      <c r="E51" s="3">
        <f t="shared" si="2"/>
        <v>7.3292564738867166E-2</v>
      </c>
      <c r="F51" s="4">
        <f t="shared" si="3"/>
        <v>737.47584160336442</v>
      </c>
    </row>
    <row r="52" spans="1:6">
      <c r="A52" s="7">
        <v>43626</v>
      </c>
      <c r="B52" s="1">
        <v>0.33333333333333331</v>
      </c>
      <c r="C52" s="2">
        <v>7949.1</v>
      </c>
      <c r="D52" s="2">
        <v>4.7</v>
      </c>
      <c r="E52" s="3">
        <f t="shared" si="2"/>
        <v>7.3792071515953211E-2</v>
      </c>
      <c r="F52" s="4">
        <f t="shared" si="3"/>
        <v>737.52679129462717</v>
      </c>
    </row>
    <row r="53" spans="1:6">
      <c r="A53" s="7">
        <v>43636</v>
      </c>
      <c r="B53" s="1">
        <v>0.33333333333333331</v>
      </c>
      <c r="C53" s="2">
        <v>7943.2</v>
      </c>
      <c r="D53" s="2">
        <v>4.9000000000000004</v>
      </c>
      <c r="E53" s="3">
        <f t="shared" si="2"/>
        <v>7.598359533005819E-2</v>
      </c>
      <c r="F53" s="4">
        <f t="shared" si="3"/>
        <v>737.75032672366592</v>
      </c>
    </row>
    <row r="54" spans="1:6">
      <c r="A54" s="7">
        <v>43646</v>
      </c>
      <c r="B54" s="1">
        <v>0.33333333333333331</v>
      </c>
      <c r="C54" s="2">
        <v>7940.5</v>
      </c>
      <c r="D54" s="2">
        <v>4.7</v>
      </c>
      <c r="E54" s="3">
        <f t="shared" si="2"/>
        <v>7.5732256866579223E-2</v>
      </c>
      <c r="F54" s="4">
        <f t="shared" si="3"/>
        <v>737.72469020039102</v>
      </c>
    </row>
    <row r="55" spans="1:6">
      <c r="A55" s="7">
        <v>43656</v>
      </c>
      <c r="B55" s="1">
        <v>0.33333333333333331</v>
      </c>
      <c r="C55" s="2">
        <v>7935.6</v>
      </c>
      <c r="D55" s="2">
        <v>4.5999999999999996</v>
      </c>
      <c r="E55" s="3">
        <f t="shared" si="2"/>
        <v>7.6407488975166027E-2</v>
      </c>
      <c r="F55" s="4">
        <f t="shared" si="3"/>
        <v>737.79356387546693</v>
      </c>
    </row>
    <row r="56" spans="1:6">
      <c r="A56" s="7">
        <v>43666</v>
      </c>
      <c r="B56" s="1">
        <v>0.33333333333333331</v>
      </c>
      <c r="C56" s="2">
        <v>7924.8</v>
      </c>
      <c r="D56" s="2">
        <v>4.5999999999999996</v>
      </c>
      <c r="E56" s="3">
        <f t="shared" si="2"/>
        <v>7.8844059757296359E-2</v>
      </c>
      <c r="F56" s="4">
        <f t="shared" si="3"/>
        <v>738.04209409524424</v>
      </c>
    </row>
    <row r="57" spans="1:6">
      <c r="A57" s="7">
        <v>43676</v>
      </c>
      <c r="B57" s="1">
        <v>0.33333333333333331</v>
      </c>
      <c r="C57" s="2">
        <v>7919.4</v>
      </c>
      <c r="D57" s="2">
        <v>4.4000000000000004</v>
      </c>
      <c r="E57" s="3">
        <f t="shared" si="2"/>
        <v>7.9201892099948296E-2</v>
      </c>
      <c r="F57" s="4">
        <f t="shared" si="3"/>
        <v>738.07859299419476</v>
      </c>
    </row>
    <row r="58" spans="1:6">
      <c r="A58" s="7">
        <v>43687</v>
      </c>
      <c r="B58" s="9">
        <v>0.33333333333333331</v>
      </c>
      <c r="C58" s="2">
        <v>7905.3</v>
      </c>
      <c r="D58" s="2">
        <v>4.4000000000000004</v>
      </c>
      <c r="E58" s="3">
        <f t="shared" si="2"/>
        <v>8.2383064709976223E-2</v>
      </c>
      <c r="F58" s="4">
        <f t="shared" si="3"/>
        <v>738.40307260041754</v>
      </c>
    </row>
    <row r="59" spans="1:6">
      <c r="A59" s="7">
        <v>43697</v>
      </c>
      <c r="B59" s="1">
        <v>0.33333333333333331</v>
      </c>
      <c r="C59" s="2">
        <v>7895.6</v>
      </c>
      <c r="D59" s="2">
        <v>4.5</v>
      </c>
      <c r="E59" s="3">
        <f t="shared" si="2"/>
        <v>8.5001808825502262E-2</v>
      </c>
      <c r="F59" s="4">
        <f t="shared" si="3"/>
        <v>738.67018450020123</v>
      </c>
    </row>
    <row r="60" spans="1:6">
      <c r="A60" s="7">
        <v>43707</v>
      </c>
      <c r="B60" s="9">
        <v>0.33333333333333331</v>
      </c>
      <c r="C60" s="2">
        <v>7891.2</v>
      </c>
      <c r="D60" s="2">
        <v>4.5</v>
      </c>
      <c r="E60" s="3">
        <f t="shared" si="2"/>
        <v>8.5994546342339745E-2</v>
      </c>
      <c r="F60" s="4">
        <f t="shared" si="3"/>
        <v>738.77144372691862</v>
      </c>
    </row>
    <row r="61" spans="1:6">
      <c r="B61" s="9"/>
    </row>
    <row r="62" spans="1:6">
      <c r="B62" s="9"/>
    </row>
    <row r="63" spans="1:6">
      <c r="B63" s="9"/>
    </row>
    <row r="64" spans="1:6">
      <c r="B64" s="9"/>
    </row>
    <row r="65" spans="2:2">
      <c r="B65" s="9"/>
    </row>
    <row r="66" spans="2:2">
      <c r="B66" s="9"/>
    </row>
    <row r="67" spans="2:2">
      <c r="B67" s="9"/>
    </row>
    <row r="68" spans="2:2">
      <c r="B68" s="9"/>
    </row>
    <row r="69" spans="2:2">
      <c r="B69" s="9"/>
    </row>
    <row r="70" spans="2:2">
      <c r="B70" s="9"/>
    </row>
    <row r="71" spans="2:2">
      <c r="B71" s="9"/>
    </row>
    <row r="72" spans="2:2">
      <c r="B72" s="9"/>
    </row>
    <row r="73" spans="2:2">
      <c r="B73" s="9"/>
    </row>
    <row r="74" spans="2:2">
      <c r="B74" s="9"/>
    </row>
    <row r="75" spans="2:2">
      <c r="B75" s="9"/>
    </row>
    <row r="76" spans="2:2">
      <c r="B76" s="9"/>
    </row>
    <row r="77" spans="2:2">
      <c r="B77" s="9"/>
    </row>
    <row r="78" spans="2:2">
      <c r="B78" s="9"/>
    </row>
    <row r="79" spans="2:2">
      <c r="B79" s="9"/>
    </row>
    <row r="80" spans="2:2">
      <c r="B80" s="9"/>
    </row>
    <row r="81" spans="2:2">
      <c r="B81" s="9"/>
    </row>
    <row r="82" spans="2:2">
      <c r="B82" s="9"/>
    </row>
    <row r="83" spans="2:2">
      <c r="B83" s="9"/>
    </row>
    <row r="84" spans="2:2">
      <c r="B84" s="9"/>
    </row>
    <row r="85" spans="2:2">
      <c r="B85" s="9"/>
    </row>
    <row r="86" spans="2:2">
      <c r="B86" s="9"/>
    </row>
    <row r="87" spans="2:2">
      <c r="B87" s="9"/>
    </row>
    <row r="88" spans="2:2">
      <c r="B88" s="9"/>
    </row>
    <row r="89" spans="2:2">
      <c r="B89" s="9"/>
    </row>
    <row r="90" spans="2:2">
      <c r="B90" s="9"/>
    </row>
    <row r="91" spans="2:2">
      <c r="B91" s="9"/>
    </row>
    <row r="92" spans="2:2">
      <c r="B92" s="9"/>
    </row>
    <row r="93" spans="2:2">
      <c r="B93" s="9"/>
    </row>
    <row r="94" spans="2:2">
      <c r="B94" s="9"/>
    </row>
    <row r="95" spans="2:2">
      <c r="B95" s="9"/>
    </row>
    <row r="96" spans="2:2">
      <c r="B96" s="9"/>
    </row>
    <row r="97" spans="2:2">
      <c r="B97" s="9"/>
    </row>
    <row r="98" spans="2:2">
      <c r="B98" s="9"/>
    </row>
    <row r="99" spans="2:2">
      <c r="B99" s="9"/>
    </row>
    <row r="100" spans="2:2">
      <c r="B100" s="9"/>
    </row>
    <row r="101" spans="2:2">
      <c r="B101" s="9"/>
    </row>
    <row r="102" spans="2:2">
      <c r="B102" s="9"/>
    </row>
    <row r="103" spans="2:2">
      <c r="B103" s="9"/>
    </row>
    <row r="104" spans="2:2">
      <c r="B104" s="9"/>
    </row>
    <row r="105" spans="2:2">
      <c r="B105" s="9"/>
    </row>
    <row r="106" spans="2:2">
      <c r="B106" s="9"/>
    </row>
    <row r="107" spans="2:2">
      <c r="B107" s="9"/>
    </row>
    <row r="108" spans="2:2">
      <c r="B108" s="9"/>
    </row>
    <row r="109" spans="2:2">
      <c r="B109" s="9"/>
    </row>
    <row r="110" spans="2:2">
      <c r="B110" s="9"/>
    </row>
    <row r="111" spans="2:2">
      <c r="B111" s="9"/>
    </row>
    <row r="112" spans="2:2">
      <c r="B112" s="9"/>
    </row>
    <row r="113" spans="2:2">
      <c r="B113" s="9"/>
    </row>
    <row r="114" spans="2:2">
      <c r="B114" s="9"/>
    </row>
    <row r="115" spans="2:2">
      <c r="B115" s="9"/>
    </row>
    <row r="116" spans="2:2">
      <c r="B116" s="9"/>
    </row>
    <row r="117" spans="2:2">
      <c r="B117" s="9"/>
    </row>
    <row r="118" spans="2:2">
      <c r="B118" s="9"/>
    </row>
    <row r="119" spans="2:2">
      <c r="B119" s="9"/>
    </row>
    <row r="120" spans="2:2">
      <c r="B120" s="9"/>
    </row>
    <row r="121" spans="2:2">
      <c r="B121" s="9"/>
    </row>
    <row r="122" spans="2:2">
      <c r="B122" s="9"/>
    </row>
    <row r="123" spans="2:2">
      <c r="B123" s="9"/>
    </row>
    <row r="124" spans="2:2">
      <c r="B124" s="9"/>
    </row>
    <row r="125" spans="2:2">
      <c r="B125" s="9"/>
    </row>
    <row r="126" spans="2:2">
      <c r="B126" s="9"/>
    </row>
    <row r="127" spans="2:2">
      <c r="B127" s="9"/>
    </row>
    <row r="128" spans="2:2">
      <c r="B128" s="9"/>
    </row>
    <row r="129" spans="2:2">
      <c r="B129" s="9"/>
    </row>
    <row r="130" spans="2:2">
      <c r="B130" s="9"/>
    </row>
    <row r="131" spans="2:2">
      <c r="B131" s="9"/>
    </row>
    <row r="132" spans="2:2">
      <c r="B132" s="9"/>
    </row>
    <row r="133" spans="2:2">
      <c r="B133" s="9"/>
    </row>
    <row r="134" spans="2:2">
      <c r="B134" s="9"/>
    </row>
    <row r="135" spans="2:2">
      <c r="B135" s="9"/>
    </row>
    <row r="136" spans="2:2">
      <c r="B136" s="9"/>
    </row>
    <row r="137" spans="2:2">
      <c r="B137" s="9"/>
    </row>
    <row r="138" spans="2:2">
      <c r="B138" s="9"/>
    </row>
    <row r="139" spans="2:2">
      <c r="B139" s="9"/>
    </row>
    <row r="140" spans="2:2">
      <c r="B140" s="9"/>
    </row>
    <row r="141" spans="2:2">
      <c r="B141" s="9"/>
    </row>
    <row r="142" spans="2:2">
      <c r="B142" s="9"/>
    </row>
    <row r="143" spans="2:2">
      <c r="B143" s="9"/>
    </row>
    <row r="144" spans="2:2">
      <c r="B144" s="9"/>
    </row>
    <row r="145" spans="2:2">
      <c r="B145" s="9"/>
    </row>
    <row r="146" spans="2:2">
      <c r="B146" s="9"/>
    </row>
    <row r="147" spans="2:2">
      <c r="B147" s="9"/>
    </row>
    <row r="148" spans="2:2">
      <c r="B148" s="9"/>
    </row>
    <row r="149" spans="2:2">
      <c r="B149" s="9"/>
    </row>
    <row r="150" spans="2:2">
      <c r="B150" s="9"/>
    </row>
    <row r="151" spans="2:2">
      <c r="B151" s="9"/>
    </row>
    <row r="152" spans="2:2">
      <c r="B152" s="9"/>
    </row>
    <row r="153" spans="2:2">
      <c r="B153" s="9"/>
    </row>
    <row r="154" spans="2:2">
      <c r="B154" s="9"/>
    </row>
    <row r="155" spans="2:2">
      <c r="B155" s="9"/>
    </row>
    <row r="156" spans="2:2">
      <c r="B156" s="9"/>
    </row>
    <row r="157" spans="2:2">
      <c r="B157" s="9"/>
    </row>
    <row r="158" spans="2:2">
      <c r="B158" s="9"/>
    </row>
    <row r="159" spans="2:2">
      <c r="B159" s="9"/>
    </row>
    <row r="160" spans="2:2">
      <c r="B160" s="9"/>
    </row>
    <row r="161" spans="2:2">
      <c r="B161" s="9"/>
    </row>
    <row r="162" spans="2:2">
      <c r="B162" s="9"/>
    </row>
    <row r="163" spans="2:2">
      <c r="B163" s="9"/>
    </row>
    <row r="164" spans="2:2">
      <c r="B164" s="9"/>
    </row>
    <row r="165" spans="2:2">
      <c r="B165" s="9"/>
    </row>
    <row r="166" spans="2:2">
      <c r="B166" s="9"/>
    </row>
    <row r="167" spans="2:2">
      <c r="B167" s="9"/>
    </row>
    <row r="168" spans="2:2">
      <c r="B168" s="9"/>
    </row>
    <row r="169" spans="2:2">
      <c r="B169" s="9"/>
    </row>
    <row r="170" spans="2:2">
      <c r="B170" s="9"/>
    </row>
    <row r="171" spans="2:2">
      <c r="B171" s="9"/>
    </row>
    <row r="172" spans="2:2">
      <c r="B172" s="9"/>
    </row>
    <row r="173" spans="2:2">
      <c r="B173" s="9"/>
    </row>
    <row r="174" spans="2:2">
      <c r="B174" s="9"/>
    </row>
    <row r="175" spans="2:2">
      <c r="B175" s="9"/>
    </row>
    <row r="176" spans="2:2">
      <c r="B176" s="9"/>
    </row>
  </sheetData>
  <phoneticPr fontId="4" type="noConversion"/>
  <pageMargins left="0.69930555555555596" right="0.69930555555555596" top="0.75" bottom="0.75" header="0.3" footer="0.3"/>
  <pageSetup paperSize="9" orientation="portrait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5"/>
  <sheetViews>
    <sheetView topLeftCell="A50" workbookViewId="0">
      <selection activeCell="A69" sqref="A69:B75"/>
    </sheetView>
  </sheetViews>
  <sheetFormatPr defaultColWidth="9" defaultRowHeight="13.5"/>
  <cols>
    <col min="1" max="1" width="11.625" bestFit="1" customWidth="1"/>
    <col min="2" max="2" width="13.875" customWidth="1"/>
  </cols>
  <sheetData>
    <row r="1" spans="1:7">
      <c r="A1" t="s">
        <v>0</v>
      </c>
      <c r="B1">
        <v>11241</v>
      </c>
      <c r="C1" t="s">
        <v>1</v>
      </c>
      <c r="D1">
        <v>722</v>
      </c>
    </row>
    <row r="2" spans="1:7">
      <c r="A2" t="s">
        <v>2</v>
      </c>
      <c r="B2">
        <f>4.09212*10^(-10)</f>
        <v>4.0921200000000004E-10</v>
      </c>
    </row>
    <row r="3" spans="1:7">
      <c r="A3" t="s">
        <v>3</v>
      </c>
      <c r="B3">
        <f>-0.000175579</f>
        <v>-1.7557900000000001E-4</v>
      </c>
    </row>
    <row r="4" spans="1:7">
      <c r="A4" t="s">
        <v>4</v>
      </c>
      <c r="B4">
        <f>1.5022773</f>
        <v>1.5022773</v>
      </c>
    </row>
    <row r="5" spans="1:7">
      <c r="A5" t="s">
        <v>5</v>
      </c>
      <c r="B5">
        <f>-0.00310428</f>
        <v>-3.1042800000000001E-3</v>
      </c>
    </row>
    <row r="6" spans="1:7">
      <c r="A6" t="s">
        <v>6</v>
      </c>
      <c r="B6" t="s">
        <v>7</v>
      </c>
      <c r="C6" t="s">
        <v>8</v>
      </c>
      <c r="D6" t="s">
        <v>9</v>
      </c>
      <c r="E6" t="s">
        <v>10</v>
      </c>
      <c r="F6" t="s">
        <v>11</v>
      </c>
      <c r="G6" t="s">
        <v>12</v>
      </c>
    </row>
    <row r="7" spans="1:7">
      <c r="A7" s="7">
        <v>42264</v>
      </c>
      <c r="B7" s="1">
        <v>0.33333333333333298</v>
      </c>
      <c r="C7" s="2">
        <v>8595.1</v>
      </c>
      <c r="D7" s="2">
        <v>15.7</v>
      </c>
      <c r="E7" s="3">
        <f>($B$2*C7^2+$B$3*C7+$B$4)-$B$5*D7</f>
        <v>7.2126274057819864E-2</v>
      </c>
      <c r="G7" t="s">
        <v>13</v>
      </c>
    </row>
    <row r="8" spans="1:7">
      <c r="A8" s="7">
        <v>42265</v>
      </c>
      <c r="B8" s="1">
        <v>0.5625</v>
      </c>
      <c r="C8" s="2">
        <v>7384.8</v>
      </c>
      <c r="D8" s="2">
        <v>13.2</v>
      </c>
      <c r="E8" s="3">
        <f>($B$2*C8^2+$B$3*C8+$B$4)-$B$5*D8-$E$7</f>
        <v>0.19682821007500068</v>
      </c>
      <c r="F8" s="4">
        <f>$D$1+102*E8</f>
        <v>742.07647742765005</v>
      </c>
      <c r="G8" t="s">
        <v>17</v>
      </c>
    </row>
    <row r="9" spans="1:7">
      <c r="A9" s="7">
        <v>42266</v>
      </c>
      <c r="B9" s="1">
        <v>0.6875</v>
      </c>
      <c r="C9" s="2">
        <v>7165.8</v>
      </c>
      <c r="D9" s="2">
        <v>16.5</v>
      </c>
      <c r="E9" s="3">
        <f t="shared" ref="E9:E24" si="0">($B$2*C9^2+$B$3*C9+$B$4)-$B$5*D9-$E$7</f>
        <v>0.24422014772714373</v>
      </c>
      <c r="F9" s="4">
        <f t="shared" ref="F9:F57" si="1">$D$1+102*E9</f>
        <v>746.91045506816863</v>
      </c>
      <c r="G9" t="s">
        <v>14</v>
      </c>
    </row>
    <row r="10" spans="1:7">
      <c r="A10" s="7">
        <v>42267</v>
      </c>
      <c r="B10" s="1">
        <v>0.33333333333333298</v>
      </c>
      <c r="C10" s="2">
        <v>7750.3</v>
      </c>
      <c r="D10" s="2">
        <v>24.2</v>
      </c>
      <c r="E10" s="3">
        <f t="shared" si="0"/>
        <v>0.16906487686480914</v>
      </c>
      <c r="F10" s="4">
        <f t="shared" si="1"/>
        <v>739.2446174402105</v>
      </c>
    </row>
    <row r="11" spans="1:7">
      <c r="A11" s="7">
        <v>42268</v>
      </c>
      <c r="B11" s="1">
        <v>0.33333333333333298</v>
      </c>
      <c r="C11" s="2">
        <v>7785</v>
      </c>
      <c r="D11" s="2">
        <v>27.9</v>
      </c>
      <c r="E11" s="3">
        <f t="shared" si="0"/>
        <v>0.17467871748688002</v>
      </c>
      <c r="F11" s="4">
        <f t="shared" si="1"/>
        <v>739.81722918366177</v>
      </c>
    </row>
    <row r="12" spans="1:7">
      <c r="A12" s="7">
        <v>42269</v>
      </c>
      <c r="B12" s="1">
        <v>0.33333333333333298</v>
      </c>
      <c r="C12" s="2">
        <v>7784.4</v>
      </c>
      <c r="D12" s="2">
        <v>24.2</v>
      </c>
      <c r="E12" s="3">
        <f t="shared" si="0"/>
        <v>0.16329440617569252</v>
      </c>
      <c r="F12" s="4">
        <f t="shared" si="1"/>
        <v>738.65602942992064</v>
      </c>
    </row>
    <row r="13" spans="1:7">
      <c r="A13" s="7">
        <v>42270</v>
      </c>
      <c r="B13" s="1">
        <v>0.33333333333333298</v>
      </c>
      <c r="C13" s="2">
        <v>7756.6</v>
      </c>
      <c r="D13" s="2">
        <v>22.7</v>
      </c>
      <c r="E13" s="3">
        <f t="shared" si="0"/>
        <v>0.16334228650505483</v>
      </c>
      <c r="F13" s="4">
        <f t="shared" si="1"/>
        <v>738.66091322351554</v>
      </c>
    </row>
    <row r="14" spans="1:7">
      <c r="A14" s="7">
        <v>42271</v>
      </c>
      <c r="B14" s="1">
        <v>0.33333333333333298</v>
      </c>
      <c r="C14" s="2">
        <v>7734.4</v>
      </c>
      <c r="D14" s="2">
        <v>21.6</v>
      </c>
      <c r="E14" s="3">
        <f t="shared" si="0"/>
        <v>0.1636847042164124</v>
      </c>
      <c r="F14" s="4">
        <f t="shared" si="1"/>
        <v>738.69583983007408</v>
      </c>
    </row>
    <row r="15" spans="1:7">
      <c r="A15" s="7">
        <v>42272</v>
      </c>
      <c r="B15" s="1">
        <v>0.33333333333333298</v>
      </c>
      <c r="C15" s="2">
        <v>7716.6</v>
      </c>
      <c r="D15" s="2">
        <v>20.5</v>
      </c>
      <c r="E15" s="3">
        <f t="shared" si="0"/>
        <v>0.16328275774031858</v>
      </c>
      <c r="F15" s="4">
        <f t="shared" si="1"/>
        <v>738.65484128951255</v>
      </c>
    </row>
    <row r="16" spans="1:7">
      <c r="A16" s="7">
        <v>42273</v>
      </c>
      <c r="B16" s="1">
        <v>0.33333333333333298</v>
      </c>
      <c r="C16" s="2">
        <v>7682.8</v>
      </c>
      <c r="D16" s="2">
        <v>18.5</v>
      </c>
      <c r="E16" s="3">
        <f t="shared" si="0"/>
        <v>0.16279577320889832</v>
      </c>
      <c r="F16" s="4">
        <f t="shared" si="1"/>
        <v>738.60516886730761</v>
      </c>
    </row>
    <row r="17" spans="1:7">
      <c r="A17" s="7">
        <v>42280</v>
      </c>
      <c r="B17" s="1">
        <v>0.33333333333333298</v>
      </c>
      <c r="C17" s="2">
        <v>7628.4</v>
      </c>
      <c r="D17" s="2">
        <v>15</v>
      </c>
      <c r="E17" s="3">
        <f t="shared" si="0"/>
        <v>0.16114144615237092</v>
      </c>
      <c r="F17" s="4">
        <f t="shared" si="1"/>
        <v>738.43642750754179</v>
      </c>
    </row>
    <row r="18" spans="1:7">
      <c r="A18" s="7">
        <v>42287</v>
      </c>
      <c r="B18" s="1">
        <v>0.33333333333333298</v>
      </c>
      <c r="C18" s="2">
        <v>7599.9</v>
      </c>
      <c r="D18" s="2">
        <v>13.5</v>
      </c>
      <c r="E18" s="3">
        <f t="shared" si="0"/>
        <v>0.16131142696403233</v>
      </c>
      <c r="F18" s="4">
        <f t="shared" si="1"/>
        <v>738.45376555033135</v>
      </c>
    </row>
    <row r="19" spans="1:7">
      <c r="A19" s="7">
        <v>42294</v>
      </c>
      <c r="B19" s="1">
        <v>0.33333333333333298</v>
      </c>
      <c r="C19" s="2">
        <v>7574</v>
      </c>
      <c r="D19" s="2">
        <v>12</v>
      </c>
      <c r="E19" s="3">
        <f t="shared" si="0"/>
        <v>0.16104168110709216</v>
      </c>
      <c r="F19" s="4">
        <f t="shared" si="1"/>
        <v>738.42625147292335</v>
      </c>
      <c r="G19" s="2"/>
    </row>
    <row r="20" spans="1:7">
      <c r="A20" s="7">
        <v>42301</v>
      </c>
      <c r="B20" s="1">
        <v>0.33333333333333298</v>
      </c>
      <c r="C20" s="2">
        <v>7571.5</v>
      </c>
      <c r="D20" s="2">
        <v>11.6</v>
      </c>
      <c r="E20" s="3">
        <f t="shared" si="0"/>
        <v>0.1602234223062271</v>
      </c>
      <c r="F20" s="4">
        <f t="shared" si="1"/>
        <v>738.34278907523515</v>
      </c>
      <c r="G20" s="2"/>
    </row>
    <row r="21" spans="1:7">
      <c r="A21" s="7">
        <v>42308</v>
      </c>
      <c r="B21" s="1">
        <v>0.33333333333333298</v>
      </c>
      <c r="C21" s="2">
        <v>7563.8</v>
      </c>
      <c r="D21" s="2">
        <v>11.2</v>
      </c>
      <c r="E21" s="3">
        <f t="shared" si="0"/>
        <v>0.16028597829907343</v>
      </c>
      <c r="F21" s="4">
        <f t="shared" si="1"/>
        <v>738.34916978650551</v>
      </c>
      <c r="G21" s="2"/>
    </row>
    <row r="22" spans="1:7">
      <c r="A22" s="7">
        <v>42521</v>
      </c>
      <c r="B22" s="1">
        <v>0.33333333333333298</v>
      </c>
      <c r="C22" s="2">
        <v>7528.6</v>
      </c>
      <c r="D22" s="2">
        <v>7.5</v>
      </c>
      <c r="E22" s="3">
        <f t="shared" si="0"/>
        <v>0.15476312820922761</v>
      </c>
      <c r="F22" s="4">
        <f t="shared" si="1"/>
        <v>737.78583907734117</v>
      </c>
      <c r="G22" s="2"/>
    </row>
    <row r="23" spans="1:7">
      <c r="A23" s="7">
        <v>42531</v>
      </c>
      <c r="B23" s="1">
        <v>0.33333333333333298</v>
      </c>
      <c r="C23" s="2">
        <v>7537.1</v>
      </c>
      <c r="D23" s="2">
        <v>7.4</v>
      </c>
      <c r="E23" s="3">
        <f t="shared" si="0"/>
        <v>0.15301268176366911</v>
      </c>
      <c r="F23" s="4">
        <f t="shared" si="1"/>
        <v>737.60729353989427</v>
      </c>
    </row>
    <row r="24" spans="1:7">
      <c r="A24" s="6">
        <v>42544</v>
      </c>
      <c r="B24" s="1">
        <v>0.33333333333333298</v>
      </c>
      <c r="C24" s="2">
        <v>7446.8</v>
      </c>
      <c r="D24" s="2">
        <v>7.3</v>
      </c>
      <c r="E24" s="3">
        <f t="shared" si="0"/>
        <v>0.16800335473435113</v>
      </c>
      <c r="F24" s="4">
        <f t="shared" si="1"/>
        <v>739.13634218290383</v>
      </c>
    </row>
    <row r="25" spans="1:7">
      <c r="A25" s="7">
        <v>42551</v>
      </c>
      <c r="B25" s="9">
        <v>0.33333333333333298</v>
      </c>
      <c r="C25">
        <v>7498.5</v>
      </c>
      <c r="D25">
        <v>7.3</v>
      </c>
      <c r="E25" s="3">
        <f t="shared" ref="E25:E57" si="2">($B$2*C25^2+$B$3*C25+$B$4)-$B$5*D25-$E$7</f>
        <v>0.15924210709290709</v>
      </c>
      <c r="F25" s="4">
        <f t="shared" si="1"/>
        <v>738.24269492347651</v>
      </c>
    </row>
    <row r="26" spans="1:7">
      <c r="A26" s="7">
        <v>42561</v>
      </c>
      <c r="B26" s="9">
        <v>0.33333333333333298</v>
      </c>
      <c r="C26">
        <v>7514.3</v>
      </c>
      <c r="D26">
        <v>6</v>
      </c>
      <c r="E26" s="3">
        <f t="shared" si="2"/>
        <v>0.15252946089594205</v>
      </c>
      <c r="F26" s="4">
        <f t="shared" si="1"/>
        <v>737.55800501138606</v>
      </c>
    </row>
    <row r="27" spans="1:7">
      <c r="A27" s="7">
        <v>42571</v>
      </c>
      <c r="B27" s="9">
        <v>0.33333333333333298</v>
      </c>
      <c r="C27" s="2">
        <v>7531.8</v>
      </c>
      <c r="D27" s="2">
        <v>7.2</v>
      </c>
      <c r="E27" s="3">
        <f t="shared" si="2"/>
        <v>0.15328971267772301</v>
      </c>
      <c r="F27" s="4">
        <f t="shared" si="1"/>
        <v>737.6355506931277</v>
      </c>
    </row>
    <row r="28" spans="1:7">
      <c r="A28" s="7">
        <v>42581</v>
      </c>
      <c r="B28" s="9">
        <v>0.33333333333333298</v>
      </c>
      <c r="C28" s="2">
        <v>7528.5</v>
      </c>
      <c r="D28" s="2">
        <v>7.3</v>
      </c>
      <c r="E28" s="3">
        <f t="shared" si="2"/>
        <v>0.15415921395462706</v>
      </c>
      <c r="F28" s="4">
        <f t="shared" si="1"/>
        <v>737.72423982337193</v>
      </c>
    </row>
    <row r="29" spans="1:7">
      <c r="A29" s="7">
        <v>42653</v>
      </c>
      <c r="B29" s="1">
        <v>0.33333333333333331</v>
      </c>
      <c r="C29" s="2">
        <v>7567.3</v>
      </c>
      <c r="D29" s="2">
        <v>6.9</v>
      </c>
      <c r="E29" s="3">
        <f t="shared" si="2"/>
        <v>0.14634471919599956</v>
      </c>
      <c r="F29" s="4">
        <f t="shared" si="1"/>
        <v>736.92716135799196</v>
      </c>
    </row>
    <row r="30" spans="1:7">
      <c r="A30" s="7">
        <v>42846</v>
      </c>
      <c r="B30" s="1">
        <v>0.54166666666666663</v>
      </c>
      <c r="C30" s="2">
        <v>7535.9</v>
      </c>
      <c r="D30" s="2">
        <v>6.7</v>
      </c>
      <c r="E30" s="3">
        <f t="shared" si="2"/>
        <v>0.15104297890069796</v>
      </c>
      <c r="F30" s="4">
        <f t="shared" si="1"/>
        <v>737.40638384787121</v>
      </c>
    </row>
    <row r="31" spans="1:7">
      <c r="A31" s="7">
        <v>42855</v>
      </c>
      <c r="B31" s="1">
        <v>0.33333333333333331</v>
      </c>
      <c r="C31" s="2">
        <v>7538.9</v>
      </c>
      <c r="D31" s="2">
        <v>6.7</v>
      </c>
      <c r="E31" s="3">
        <f t="shared" si="2"/>
        <v>0.15053474826787072</v>
      </c>
      <c r="F31" s="4">
        <f t="shared" si="1"/>
        <v>737.35454432332278</v>
      </c>
    </row>
    <row r="32" spans="1:7">
      <c r="A32" s="7">
        <v>42865</v>
      </c>
      <c r="B32" s="1">
        <v>0.33333333333333331</v>
      </c>
      <c r="C32" s="2">
        <v>7509.2</v>
      </c>
      <c r="D32" s="2">
        <v>6.7</v>
      </c>
      <c r="E32" s="3">
        <f t="shared" si="2"/>
        <v>0.15556655603388392</v>
      </c>
      <c r="F32" s="4">
        <f t="shared" si="1"/>
        <v>737.86778871545619</v>
      </c>
    </row>
    <row r="33" spans="1:6">
      <c r="A33" s="7">
        <v>42875</v>
      </c>
      <c r="B33" s="1">
        <v>0.33333333333333331</v>
      </c>
      <c r="C33" s="2">
        <v>7520.2</v>
      </c>
      <c r="D33" s="2">
        <v>6.7</v>
      </c>
      <c r="E33" s="3">
        <f t="shared" si="2"/>
        <v>0.15370283935304463</v>
      </c>
      <c r="F33" s="4">
        <f t="shared" si="1"/>
        <v>737.67768961401055</v>
      </c>
    </row>
    <row r="34" spans="1:6">
      <c r="A34" s="7">
        <v>42885</v>
      </c>
      <c r="B34" s="1">
        <v>0.33333333333333331</v>
      </c>
      <c r="C34" s="2">
        <v>7539</v>
      </c>
      <c r="D34" s="2">
        <v>6.7</v>
      </c>
      <c r="E34" s="3">
        <f t="shared" si="2"/>
        <v>0.15051780737363218</v>
      </c>
      <c r="F34" s="4">
        <f t="shared" si="1"/>
        <v>737.35281635211049</v>
      </c>
    </row>
    <row r="35" spans="1:6">
      <c r="A35" s="7">
        <v>42896</v>
      </c>
      <c r="B35" s="1">
        <v>0.33333333333333331</v>
      </c>
      <c r="C35" s="2">
        <v>7538.7</v>
      </c>
      <c r="D35" s="2">
        <v>6.7</v>
      </c>
      <c r="E35" s="3">
        <f t="shared" si="2"/>
        <v>0.15056863008090038</v>
      </c>
      <c r="F35" s="4">
        <f t="shared" si="1"/>
        <v>737.35800026825189</v>
      </c>
    </row>
    <row r="36" spans="1:6">
      <c r="A36" s="7">
        <v>42906</v>
      </c>
      <c r="B36" s="1">
        <v>0.33333333333333331</v>
      </c>
      <c r="C36" s="2">
        <v>7535.8</v>
      </c>
      <c r="D36" s="2">
        <v>6.7</v>
      </c>
      <c r="E36" s="3">
        <f t="shared" si="2"/>
        <v>0.15105992004864777</v>
      </c>
      <c r="F36" s="4">
        <f t="shared" si="1"/>
        <v>737.40811184496204</v>
      </c>
    </row>
    <row r="37" spans="1:6">
      <c r="A37" s="7">
        <v>42916</v>
      </c>
      <c r="B37" s="1">
        <v>0.33333333333333331</v>
      </c>
      <c r="C37" s="2">
        <v>7530.3</v>
      </c>
      <c r="D37" s="2">
        <v>6.7</v>
      </c>
      <c r="E37" s="3">
        <f t="shared" si="2"/>
        <v>0.15199169578962501</v>
      </c>
      <c r="F37" s="4">
        <f t="shared" si="1"/>
        <v>737.50315297054181</v>
      </c>
    </row>
    <row r="38" spans="1:6">
      <c r="A38" s="7">
        <v>42926</v>
      </c>
      <c r="B38" s="1">
        <v>0.33333333333333331</v>
      </c>
      <c r="C38" s="2">
        <v>7542.1</v>
      </c>
      <c r="D38" s="2">
        <v>6.7</v>
      </c>
      <c r="E38" s="3">
        <f t="shared" si="2"/>
        <v>0.14999264371162102</v>
      </c>
      <c r="F38" s="4">
        <f t="shared" si="1"/>
        <v>737.29924965858538</v>
      </c>
    </row>
    <row r="39" spans="1:6">
      <c r="A39" s="7">
        <v>42936</v>
      </c>
      <c r="B39" s="1">
        <v>0.33333333333333331</v>
      </c>
      <c r="C39" s="2">
        <v>7540.1</v>
      </c>
      <c r="D39" s="2">
        <v>6.7</v>
      </c>
      <c r="E39" s="3">
        <f t="shared" si="2"/>
        <v>0.15033145807716819</v>
      </c>
      <c r="F39" s="4">
        <f t="shared" si="1"/>
        <v>737.33380872387113</v>
      </c>
    </row>
    <row r="40" spans="1:6">
      <c r="A40" s="7">
        <v>42946</v>
      </c>
      <c r="B40" s="1">
        <v>0.33333333333333331</v>
      </c>
      <c r="C40" s="2">
        <v>7545.5</v>
      </c>
      <c r="D40" s="2">
        <v>6.7</v>
      </c>
      <c r="E40" s="3">
        <f t="shared" si="2"/>
        <v>0.14941666680332322</v>
      </c>
      <c r="F40" s="4">
        <f t="shared" si="1"/>
        <v>737.24050001393891</v>
      </c>
    </row>
    <row r="41" spans="1:6">
      <c r="A41" s="7">
        <v>42957</v>
      </c>
      <c r="B41" s="1">
        <v>0.33333333333333331</v>
      </c>
      <c r="C41" s="2">
        <v>7538.3</v>
      </c>
      <c r="D41" s="2">
        <v>6.7</v>
      </c>
      <c r="E41" s="3">
        <f t="shared" si="2"/>
        <v>0.15063639380517091</v>
      </c>
      <c r="F41" s="4">
        <f t="shared" si="1"/>
        <v>737.36491216812738</v>
      </c>
    </row>
    <row r="42" spans="1:6">
      <c r="A42" s="7">
        <v>42967</v>
      </c>
      <c r="B42" s="1">
        <v>0.33333333333333331</v>
      </c>
      <c r="C42" s="2">
        <v>7543.3</v>
      </c>
      <c r="D42" s="2">
        <v>6.8</v>
      </c>
      <c r="E42" s="3">
        <f t="shared" si="2"/>
        <v>0.15009978466366675</v>
      </c>
      <c r="F42" s="4">
        <f t="shared" si="1"/>
        <v>737.31017803569398</v>
      </c>
    </row>
    <row r="43" spans="1:6">
      <c r="A43" s="7">
        <v>42977</v>
      </c>
      <c r="B43" s="1">
        <v>0.33333333333333331</v>
      </c>
      <c r="C43" s="2">
        <v>7537.9</v>
      </c>
      <c r="D43" s="2">
        <v>7.5</v>
      </c>
      <c r="E43" s="3">
        <f t="shared" si="2"/>
        <v>0.15318758166038909</v>
      </c>
      <c r="F43" s="4">
        <f t="shared" si="1"/>
        <v>737.62513332935964</v>
      </c>
    </row>
    <row r="44" spans="1:6">
      <c r="A44" s="7">
        <v>42988</v>
      </c>
      <c r="B44" s="1">
        <v>0.33333333333333331</v>
      </c>
      <c r="C44" s="2">
        <v>7536.3</v>
      </c>
      <c r="D44" s="2">
        <v>6.7</v>
      </c>
      <c r="E44" s="3">
        <f t="shared" si="2"/>
        <v>0.15097521439074035</v>
      </c>
      <c r="F44" s="4">
        <f t="shared" si="1"/>
        <v>737.39947186785548</v>
      </c>
    </row>
    <row r="45" spans="1:6">
      <c r="A45" s="7">
        <v>42998</v>
      </c>
      <c r="B45" s="1">
        <v>0.33333333333333331</v>
      </c>
      <c r="C45" s="2">
        <v>7542</v>
      </c>
      <c r="D45" s="2">
        <v>6.7</v>
      </c>
      <c r="E45" s="3">
        <f t="shared" si="2"/>
        <v>0.15000958435214828</v>
      </c>
      <c r="F45" s="4">
        <f t="shared" si="1"/>
        <v>737.30097760391914</v>
      </c>
    </row>
    <row r="46" spans="1:6">
      <c r="A46" s="7">
        <v>43008</v>
      </c>
      <c r="B46" s="1">
        <v>0.33333333333333331</v>
      </c>
      <c r="C46" s="2">
        <v>7550.3</v>
      </c>
      <c r="D46" s="2">
        <v>6.7</v>
      </c>
      <c r="E46" s="3">
        <f t="shared" si="2"/>
        <v>0.14860353903936918</v>
      </c>
      <c r="F46" s="4">
        <f t="shared" si="1"/>
        <v>737.15756098201564</v>
      </c>
    </row>
    <row r="47" spans="1:6">
      <c r="A47" s="7">
        <v>43018</v>
      </c>
      <c r="B47" s="1">
        <v>0.33333333333333331</v>
      </c>
      <c r="C47" s="2">
        <v>7541.7</v>
      </c>
      <c r="D47" s="2">
        <v>6.7</v>
      </c>
      <c r="E47" s="3">
        <f t="shared" si="2"/>
        <v>0.15006040632283479</v>
      </c>
      <c r="F47" s="4">
        <f t="shared" si="1"/>
        <v>737.3061614449291</v>
      </c>
    </row>
    <row r="48" spans="1:6">
      <c r="A48" s="7">
        <v>43230</v>
      </c>
      <c r="B48" s="1">
        <v>0.33333333333333331</v>
      </c>
      <c r="C48" s="2">
        <v>7548.8</v>
      </c>
      <c r="D48" s="2">
        <v>6.8</v>
      </c>
      <c r="E48" s="3">
        <f t="shared" si="2"/>
        <v>0.14916806744000538</v>
      </c>
      <c r="F48" s="4">
        <f t="shared" si="1"/>
        <v>737.21514287888056</v>
      </c>
    </row>
    <row r="49" spans="1:6">
      <c r="A49" s="7">
        <v>43240</v>
      </c>
      <c r="B49" s="1">
        <v>0.33333333333333331</v>
      </c>
      <c r="C49" s="2">
        <v>7551.9</v>
      </c>
      <c r="D49" s="2">
        <v>6.8</v>
      </c>
      <c r="E49" s="3">
        <f t="shared" si="2"/>
        <v>0.14864292864171552</v>
      </c>
      <c r="F49" s="4">
        <f t="shared" si="1"/>
        <v>737.16157872145493</v>
      </c>
    </row>
    <row r="50" spans="1:6">
      <c r="A50" s="7">
        <v>43250</v>
      </c>
      <c r="B50" s="1">
        <v>0.33333333333333331</v>
      </c>
      <c r="C50" s="2">
        <v>7548.1</v>
      </c>
      <c r="D50" s="2">
        <v>7.1</v>
      </c>
      <c r="E50" s="3">
        <f t="shared" si="2"/>
        <v>0.15021793225715535</v>
      </c>
      <c r="F50" s="4">
        <f t="shared" si="1"/>
        <v>737.32222909022983</v>
      </c>
    </row>
    <row r="51" spans="1:6">
      <c r="A51" s="7">
        <v>43261</v>
      </c>
      <c r="B51" s="1">
        <v>0.33333333333333331</v>
      </c>
      <c r="C51" s="2">
        <v>7535.7</v>
      </c>
      <c r="D51" s="2">
        <v>6.8</v>
      </c>
      <c r="E51" s="3">
        <f t="shared" si="2"/>
        <v>0.15138728920478212</v>
      </c>
      <c r="F51" s="4">
        <f t="shared" si="1"/>
        <v>737.44150349888776</v>
      </c>
    </row>
    <row r="52" spans="1:6">
      <c r="A52" s="7">
        <v>43271</v>
      </c>
      <c r="B52" s="1">
        <v>0.33333333333333331</v>
      </c>
      <c r="C52" s="2">
        <v>7478</v>
      </c>
      <c r="D52" s="2">
        <v>6.8</v>
      </c>
      <c r="E52" s="3">
        <f t="shared" si="2"/>
        <v>0.16116370104078809</v>
      </c>
      <c r="F52" s="4">
        <f t="shared" si="1"/>
        <v>738.43869750616034</v>
      </c>
    </row>
    <row r="53" spans="1:6">
      <c r="A53" s="7">
        <v>43281</v>
      </c>
      <c r="B53" s="1">
        <v>0.33333333333333331</v>
      </c>
      <c r="C53" s="2">
        <v>7489.9</v>
      </c>
      <c r="D53" s="2">
        <v>6.9</v>
      </c>
      <c r="E53" s="3">
        <f t="shared" si="2"/>
        <v>0.15945762696789634</v>
      </c>
      <c r="F53" s="4">
        <f t="shared" si="1"/>
        <v>738.2646779507254</v>
      </c>
    </row>
    <row r="54" spans="1:6">
      <c r="A54" s="7">
        <v>43291</v>
      </c>
      <c r="B54" s="1">
        <v>0.33333333333333331</v>
      </c>
      <c r="C54" s="2">
        <v>7508.9</v>
      </c>
      <c r="D54" s="2">
        <v>7</v>
      </c>
      <c r="E54" s="3">
        <f t="shared" si="2"/>
        <v>0.15654867005786266</v>
      </c>
      <c r="F54" s="4">
        <f t="shared" si="1"/>
        <v>737.96796434590203</v>
      </c>
    </row>
    <row r="55" spans="1:6">
      <c r="A55" s="7">
        <v>43301</v>
      </c>
      <c r="B55" s="1">
        <v>0.33333333333333331</v>
      </c>
      <c r="C55" s="2">
        <v>7521.1</v>
      </c>
      <c r="D55" s="2">
        <v>6.9</v>
      </c>
      <c r="E55" s="3">
        <f t="shared" si="2"/>
        <v>0.15417121382545462</v>
      </c>
      <c r="F55" s="4">
        <f t="shared" si="1"/>
        <v>737.7254638101964</v>
      </c>
    </row>
    <row r="56" spans="1:6">
      <c r="A56" s="7">
        <v>43311</v>
      </c>
      <c r="B56" s="1">
        <v>0.33333333333333331</v>
      </c>
      <c r="C56" s="2">
        <v>7519.2</v>
      </c>
      <c r="D56" s="2">
        <v>6.9</v>
      </c>
      <c r="E56" s="3">
        <f t="shared" si="2"/>
        <v>0.15449312005009175</v>
      </c>
      <c r="F56" s="4">
        <f t="shared" si="1"/>
        <v>737.75829824510936</v>
      </c>
    </row>
    <row r="57" spans="1:6">
      <c r="A57" s="7">
        <v>43322</v>
      </c>
      <c r="B57" s="1">
        <v>0.33333333333333331</v>
      </c>
      <c r="C57" s="2">
        <v>7500.8</v>
      </c>
      <c r="D57" s="2">
        <v>6.8</v>
      </c>
      <c r="E57" s="3">
        <f t="shared" si="2"/>
        <v>0.15730025254807584</v>
      </c>
      <c r="F57" s="4">
        <f t="shared" si="1"/>
        <v>738.04462575990374</v>
      </c>
    </row>
    <row r="58" spans="1:6">
      <c r="A58" s="7">
        <v>43332</v>
      </c>
      <c r="B58" s="1">
        <v>0.33333333333333331</v>
      </c>
      <c r="C58" s="2">
        <v>7512.6</v>
      </c>
      <c r="D58" s="2">
        <v>6.9</v>
      </c>
      <c r="E58" s="3">
        <f t="shared" ref="E58:E75" si="3">($B$2*C58^2+$B$3*C58+$B$4)-$B$5*D58-$E$7</f>
        <v>0.15561134357667716</v>
      </c>
      <c r="F58" s="4">
        <f t="shared" ref="F58:F75" si="4">$D$1+102*E58</f>
        <v>737.87235704482111</v>
      </c>
    </row>
    <row r="59" spans="1:6">
      <c r="A59" s="7">
        <v>43342</v>
      </c>
      <c r="B59" s="1">
        <v>0.33333333333333331</v>
      </c>
      <c r="C59" s="2">
        <v>7492.3</v>
      </c>
      <c r="D59" s="2">
        <v>7</v>
      </c>
      <c r="E59" s="3">
        <f t="shared" si="3"/>
        <v>0.15936137951835971</v>
      </c>
      <c r="F59" s="4">
        <f t="shared" si="4"/>
        <v>738.25486071087266</v>
      </c>
    </row>
    <row r="60" spans="1:6">
      <c r="A60" s="7">
        <v>43353</v>
      </c>
      <c r="B60" s="1">
        <v>0.33333333333333331</v>
      </c>
      <c r="C60" s="2">
        <v>7476.9</v>
      </c>
      <c r="D60" s="2">
        <v>6.8</v>
      </c>
      <c r="E60" s="3">
        <f t="shared" si="3"/>
        <v>0.16135010624379548</v>
      </c>
      <c r="F60" s="4">
        <f t="shared" si="4"/>
        <v>738.45771083686714</v>
      </c>
    </row>
    <row r="61" spans="1:6">
      <c r="A61" s="7">
        <v>43363</v>
      </c>
      <c r="B61" s="1">
        <v>0.33333333333333331</v>
      </c>
      <c r="C61" s="2">
        <v>7488.7</v>
      </c>
      <c r="D61" s="2">
        <v>6.8</v>
      </c>
      <c r="E61" s="3">
        <f t="shared" si="3"/>
        <v>0.1593505384604606</v>
      </c>
      <c r="F61" s="4">
        <f t="shared" si="4"/>
        <v>738.253754922967</v>
      </c>
    </row>
    <row r="62" spans="1:6">
      <c r="A62" s="7">
        <v>43373</v>
      </c>
      <c r="B62" s="1">
        <v>0.33333333333333331</v>
      </c>
      <c r="C62" s="2">
        <v>7497.2</v>
      </c>
      <c r="D62" s="2">
        <v>6.7</v>
      </c>
      <c r="E62" s="3">
        <f t="shared" si="3"/>
        <v>0.15759981444640236</v>
      </c>
      <c r="F62" s="4">
        <f t="shared" si="4"/>
        <v>738.07518107353303</v>
      </c>
    </row>
    <row r="63" spans="1:6">
      <c r="A63" s="7">
        <v>43383</v>
      </c>
      <c r="B63" s="1">
        <v>0.33333333333333331</v>
      </c>
      <c r="C63" s="2">
        <v>7499.6</v>
      </c>
      <c r="D63" s="2">
        <v>6.4</v>
      </c>
      <c r="E63" s="3">
        <f t="shared" si="3"/>
        <v>0.15626186933565406</v>
      </c>
      <c r="F63" s="4">
        <f t="shared" si="4"/>
        <v>737.93871067223677</v>
      </c>
    </row>
    <row r="64" spans="1:6">
      <c r="A64" s="7">
        <v>43393</v>
      </c>
      <c r="B64" s="1">
        <v>0.33333333333333331</v>
      </c>
      <c r="C64" s="2">
        <v>7505.2</v>
      </c>
      <c r="D64" s="2">
        <v>6.1</v>
      </c>
      <c r="E64" s="3">
        <f t="shared" si="3"/>
        <v>0.15438172774327258</v>
      </c>
      <c r="F64" s="4">
        <f t="shared" si="4"/>
        <v>737.74693622981385</v>
      </c>
    </row>
    <row r="65" spans="1:6">
      <c r="A65" s="7">
        <v>43605</v>
      </c>
      <c r="B65" s="1">
        <v>0.33333333333333331</v>
      </c>
      <c r="C65" s="2">
        <v>7520.3</v>
      </c>
      <c r="D65" s="2">
        <v>5.8</v>
      </c>
      <c r="E65" s="3">
        <f t="shared" si="3"/>
        <v>0.15089204492835318</v>
      </c>
      <c r="F65" s="4">
        <f t="shared" si="4"/>
        <v>737.39098858269199</v>
      </c>
    </row>
    <row r="66" spans="1:6">
      <c r="A66" s="7">
        <v>43615</v>
      </c>
      <c r="B66" s="1">
        <v>0.33333333333333331</v>
      </c>
      <c r="C66" s="2">
        <v>7522.7</v>
      </c>
      <c r="D66" s="2">
        <v>5.8</v>
      </c>
      <c r="E66" s="3">
        <f t="shared" si="3"/>
        <v>0.15048542919103169</v>
      </c>
      <c r="F66" s="4">
        <f t="shared" si="4"/>
        <v>737.34951377748519</v>
      </c>
    </row>
    <row r="67" spans="1:6">
      <c r="A67" s="7">
        <v>43626</v>
      </c>
      <c r="B67" s="1">
        <v>0.33333333333333331</v>
      </c>
      <c r="C67" s="2">
        <v>7524.6</v>
      </c>
      <c r="D67" s="2">
        <v>6</v>
      </c>
      <c r="E67" s="3">
        <f t="shared" si="3"/>
        <v>0.15078438440891412</v>
      </c>
      <c r="F67" s="4">
        <f t="shared" si="4"/>
        <v>737.38000720970922</v>
      </c>
    </row>
    <row r="68" spans="1:6">
      <c r="A68" s="7">
        <v>43636</v>
      </c>
      <c r="B68" s="1">
        <v>0.33333333333333331</v>
      </c>
      <c r="C68" s="2">
        <v>7527.3</v>
      </c>
      <c r="D68" s="2">
        <v>6.3</v>
      </c>
      <c r="E68" s="3">
        <f t="shared" si="3"/>
        <v>0.15125823553779172</v>
      </c>
      <c r="F68" s="4">
        <f t="shared" si="4"/>
        <v>737.42834002485472</v>
      </c>
    </row>
    <row r="69" spans="1:6">
      <c r="A69" s="7">
        <v>43646</v>
      </c>
      <c r="B69" s="1">
        <v>0.33333333333333331</v>
      </c>
      <c r="C69" s="2">
        <v>7520.5</v>
      </c>
      <c r="D69" s="2">
        <v>6.4</v>
      </c>
      <c r="E69" s="3">
        <f t="shared" si="3"/>
        <v>0.15272072810352316</v>
      </c>
      <c r="F69" s="4">
        <f t="shared" si="4"/>
        <v>737.57751426655932</v>
      </c>
    </row>
    <row r="70" spans="1:6">
      <c r="A70" s="7">
        <v>43656</v>
      </c>
      <c r="B70" s="1">
        <v>0.33333333333333331</v>
      </c>
      <c r="C70" s="2">
        <v>7517.3</v>
      </c>
      <c r="D70" s="2">
        <v>6.4</v>
      </c>
      <c r="E70" s="3">
        <f t="shared" si="3"/>
        <v>0.15326288922923975</v>
      </c>
      <c r="F70" s="4">
        <f t="shared" si="4"/>
        <v>737.63281470138247</v>
      </c>
    </row>
    <row r="71" spans="1:6">
      <c r="A71" s="7">
        <v>43666</v>
      </c>
      <c r="B71" s="1">
        <v>0.33333333333333331</v>
      </c>
      <c r="C71" s="2">
        <v>7514.6</v>
      </c>
      <c r="D71" s="2">
        <v>6.6</v>
      </c>
      <c r="E71" s="3">
        <f t="shared" si="3"/>
        <v>0.15434120019780984</v>
      </c>
      <c r="F71" s="4">
        <f t="shared" si="4"/>
        <v>737.74280242017664</v>
      </c>
    </row>
    <row r="72" spans="1:6">
      <c r="A72" s="7">
        <v>43676</v>
      </c>
      <c r="B72" s="1">
        <v>0.33333333333333331</v>
      </c>
      <c r="C72" s="2">
        <v>7511.1</v>
      </c>
      <c r="D72" s="2">
        <v>6.8</v>
      </c>
      <c r="E72" s="3">
        <f t="shared" si="3"/>
        <v>0.15555506225919064</v>
      </c>
      <c r="F72" s="4">
        <f t="shared" si="4"/>
        <v>737.86661635043743</v>
      </c>
    </row>
    <row r="73" spans="1:6">
      <c r="A73" s="7">
        <v>43687</v>
      </c>
      <c r="B73" s="1">
        <v>0.33333333333333331</v>
      </c>
      <c r="C73" s="2">
        <v>7495.7</v>
      </c>
      <c r="D73" s="2">
        <v>6.8</v>
      </c>
      <c r="E73" s="3">
        <f t="shared" si="3"/>
        <v>0.15816440803450998</v>
      </c>
      <c r="F73" s="4">
        <f t="shared" si="4"/>
        <v>738.13276961951999</v>
      </c>
    </row>
    <row r="74" spans="1:6">
      <c r="A74" s="7">
        <v>43697</v>
      </c>
      <c r="B74" s="1">
        <v>0.33333333333333331</v>
      </c>
      <c r="C74" s="2">
        <v>7478.1</v>
      </c>
      <c r="D74" s="2">
        <v>6.9</v>
      </c>
      <c r="E74" s="3">
        <f t="shared" si="3"/>
        <v>0.16145718316234736</v>
      </c>
      <c r="F74" s="4">
        <f t="shared" si="4"/>
        <v>738.46863268255947</v>
      </c>
    </row>
    <row r="75" spans="1:6">
      <c r="A75" s="7">
        <v>43707</v>
      </c>
      <c r="B75" s="1">
        <v>0.33333333333333331</v>
      </c>
      <c r="C75" s="2">
        <v>7462.3</v>
      </c>
      <c r="D75" s="2">
        <v>6.9</v>
      </c>
      <c r="E75" s="3">
        <f t="shared" si="3"/>
        <v>0.16413473346510343</v>
      </c>
      <c r="F75" s="4">
        <f t="shared" si="4"/>
        <v>738.74174281344051</v>
      </c>
    </row>
  </sheetData>
  <phoneticPr fontId="4" type="noConversion"/>
  <pageMargins left="0.69930555555555596" right="0.69930555555555596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5"/>
  <sheetViews>
    <sheetView topLeftCell="A50" workbookViewId="0">
      <selection activeCell="A69" sqref="A69:B75"/>
    </sheetView>
  </sheetViews>
  <sheetFormatPr defaultColWidth="9" defaultRowHeight="13.5"/>
  <cols>
    <col min="1" max="1" width="11.625" bestFit="1" customWidth="1"/>
    <col min="2" max="2" width="13.875" customWidth="1"/>
  </cols>
  <sheetData>
    <row r="1" spans="1:7">
      <c r="A1" t="s">
        <v>0</v>
      </c>
      <c r="B1">
        <v>11217</v>
      </c>
      <c r="C1" t="s">
        <v>1</v>
      </c>
      <c r="D1">
        <v>716.3</v>
      </c>
    </row>
    <row r="2" spans="1:7">
      <c r="A2" t="s">
        <v>2</v>
      </c>
      <c r="B2">
        <f>3.9201*10^(-10)</f>
        <v>3.9201000000000002E-10</v>
      </c>
    </row>
    <row r="3" spans="1:7">
      <c r="A3" t="s">
        <v>3</v>
      </c>
      <c r="B3">
        <f>-0.000174679</f>
        <v>-1.7467900000000001E-4</v>
      </c>
    </row>
    <row r="4" spans="1:7">
      <c r="A4" t="s">
        <v>4</v>
      </c>
      <c r="B4">
        <f>1.64864053</f>
        <v>1.64864053</v>
      </c>
    </row>
    <row r="5" spans="1:7">
      <c r="A5" t="s">
        <v>5</v>
      </c>
      <c r="B5">
        <f>-0.003043184</f>
        <v>-3.043184E-3</v>
      </c>
    </row>
    <row r="6" spans="1:7">
      <c r="A6" t="s">
        <v>6</v>
      </c>
      <c r="B6" t="s">
        <v>7</v>
      </c>
      <c r="C6" t="s">
        <v>8</v>
      </c>
      <c r="D6" t="s">
        <v>9</v>
      </c>
      <c r="E6" t="s">
        <v>10</v>
      </c>
      <c r="F6" t="s">
        <v>11</v>
      </c>
      <c r="G6" t="s">
        <v>12</v>
      </c>
    </row>
    <row r="7" spans="1:7">
      <c r="A7" s="7">
        <v>42264</v>
      </c>
      <c r="B7" s="1">
        <v>0.33333333333333298</v>
      </c>
      <c r="C7" s="2">
        <v>9505.2999999999993</v>
      </c>
      <c r="D7" s="2">
        <v>15.9</v>
      </c>
      <c r="E7" s="3">
        <f>($B$2*C7^2+$B$3*C7+$B$4)-$B$5*D7</f>
        <v>7.2069245818560945E-2</v>
      </c>
      <c r="G7" t="s">
        <v>13</v>
      </c>
    </row>
    <row r="8" spans="1:7">
      <c r="A8" s="7">
        <v>42265</v>
      </c>
      <c r="B8" s="1">
        <v>0.5625</v>
      </c>
      <c r="C8" s="2">
        <v>7905.1</v>
      </c>
      <c r="D8" s="2">
        <v>14</v>
      </c>
      <c r="E8" s="3">
        <f>($B$2*C8^2+$B$3*C8+$B$4)-$B$5*D8-$E$7</f>
        <v>0.26281783974341894</v>
      </c>
      <c r="F8" s="4">
        <f>$D$1+102*E8</f>
        <v>743.10741965382863</v>
      </c>
      <c r="G8" t="s">
        <v>17</v>
      </c>
    </row>
    <row r="9" spans="1:7">
      <c r="A9" s="7">
        <v>42266</v>
      </c>
      <c r="B9" s="1">
        <v>0.6875</v>
      </c>
      <c r="C9" s="2">
        <v>7596.4</v>
      </c>
      <c r="D9" s="2">
        <v>14</v>
      </c>
      <c r="E9" s="3">
        <f t="shared" ref="E9:E24" si="0">($B$2*C9^2+$B$3*C9+$B$4)-$B$5*D9-$E$7</f>
        <v>0.31486535647468866</v>
      </c>
      <c r="F9" s="4">
        <f t="shared" ref="F9:F57" si="1">$D$1+102*E9</f>
        <v>748.41626636041815</v>
      </c>
      <c r="G9" t="s">
        <v>14</v>
      </c>
    </row>
    <row r="10" spans="1:7">
      <c r="A10" s="7">
        <v>42267</v>
      </c>
      <c r="B10" s="1">
        <v>0.33333333333333298</v>
      </c>
      <c r="C10" s="2">
        <v>8269</v>
      </c>
      <c r="D10" s="2">
        <v>18</v>
      </c>
      <c r="E10" s="3">
        <f t="shared" si="0"/>
        <v>0.2137321624570489</v>
      </c>
      <c r="F10" s="4">
        <f t="shared" si="1"/>
        <v>738.10068057061892</v>
      </c>
    </row>
    <row r="11" spans="1:7">
      <c r="A11" s="7">
        <v>42268</v>
      </c>
      <c r="B11" s="1">
        <v>0.33333333333333298</v>
      </c>
      <c r="C11" s="2">
        <v>8277.1</v>
      </c>
      <c r="D11" s="2">
        <v>17.100000000000001</v>
      </c>
      <c r="E11" s="3">
        <f t="shared" si="0"/>
        <v>0.20963093547400286</v>
      </c>
      <c r="F11" s="4">
        <f t="shared" si="1"/>
        <v>737.68235541834827</v>
      </c>
    </row>
    <row r="12" spans="1:7">
      <c r="A12" s="7">
        <v>42269</v>
      </c>
      <c r="B12" s="1">
        <v>0.33333333333333298</v>
      </c>
      <c r="C12" s="2">
        <v>8268.9</v>
      </c>
      <c r="D12" s="2">
        <v>16.399999999999999</v>
      </c>
      <c r="E12" s="3">
        <f t="shared" si="0"/>
        <v>0.20887988765483118</v>
      </c>
      <c r="F12" s="4">
        <f t="shared" si="1"/>
        <v>737.60574854079277</v>
      </c>
    </row>
    <row r="13" spans="1:7">
      <c r="A13" s="7">
        <v>42270</v>
      </c>
      <c r="B13" s="1">
        <v>0.33333333333333298</v>
      </c>
      <c r="C13" s="2">
        <v>8276.5</v>
      </c>
      <c r="D13" s="2">
        <v>15.8</v>
      </c>
      <c r="E13" s="3">
        <f t="shared" si="0"/>
        <v>0.20577571016796137</v>
      </c>
      <c r="F13" s="4">
        <f t="shared" si="1"/>
        <v>737.28912243713205</v>
      </c>
    </row>
    <row r="14" spans="1:7">
      <c r="A14" s="7">
        <v>42271</v>
      </c>
      <c r="B14" s="1">
        <v>0.33333333333333298</v>
      </c>
      <c r="C14" s="2">
        <v>8233.2999999999993</v>
      </c>
      <c r="D14" s="2">
        <v>14.5</v>
      </c>
      <c r="E14" s="3">
        <f t="shared" si="0"/>
        <v>0.20908611307860797</v>
      </c>
      <c r="F14" s="4">
        <f t="shared" si="1"/>
        <v>737.62678353401793</v>
      </c>
    </row>
    <row r="15" spans="1:7">
      <c r="A15" s="7">
        <v>42272</v>
      </c>
      <c r="B15" s="1">
        <v>0.33333333333333298</v>
      </c>
      <c r="C15" s="2">
        <v>8224.2000000000007</v>
      </c>
      <c r="D15" s="2">
        <v>13.7</v>
      </c>
      <c r="E15" s="3">
        <f t="shared" si="0"/>
        <v>0.20818243608697512</v>
      </c>
      <c r="F15" s="4">
        <f t="shared" si="1"/>
        <v>737.53460848087138</v>
      </c>
    </row>
    <row r="16" spans="1:7">
      <c r="A16" s="7">
        <v>42273</v>
      </c>
      <c r="B16" s="1">
        <v>0.33333333333333298</v>
      </c>
      <c r="C16" s="2">
        <v>8205.5</v>
      </c>
      <c r="D16" s="2">
        <v>12.9</v>
      </c>
      <c r="E16" s="3">
        <f t="shared" si="0"/>
        <v>0.20889394684174128</v>
      </c>
      <c r="F16" s="4">
        <f t="shared" si="1"/>
        <v>737.60718257785754</v>
      </c>
    </row>
    <row r="17" spans="1:6">
      <c r="A17" s="7">
        <v>42280</v>
      </c>
      <c r="B17" s="1">
        <v>0.33333333333333298</v>
      </c>
      <c r="C17" s="2">
        <v>8174.6</v>
      </c>
      <c r="D17" s="2">
        <v>10.6</v>
      </c>
      <c r="E17" s="3">
        <f t="shared" si="0"/>
        <v>0.2070937908050105</v>
      </c>
      <c r="F17" s="4">
        <f t="shared" si="1"/>
        <v>737.42356666211106</v>
      </c>
    </row>
    <row r="18" spans="1:6">
      <c r="A18" s="7">
        <v>42287</v>
      </c>
      <c r="B18" s="1">
        <v>0.33333333333333298</v>
      </c>
      <c r="C18" s="2">
        <v>8159.8</v>
      </c>
      <c r="D18" s="2">
        <v>10.3</v>
      </c>
      <c r="E18" s="3">
        <f t="shared" si="0"/>
        <v>0.20867131673247935</v>
      </c>
      <c r="F18" s="4">
        <f t="shared" si="1"/>
        <v>737.58447430671288</v>
      </c>
    </row>
    <row r="19" spans="1:6">
      <c r="A19" s="7">
        <v>42294</v>
      </c>
      <c r="B19" s="1">
        <v>0.33333333333333298</v>
      </c>
      <c r="C19" s="2">
        <v>8142.7</v>
      </c>
      <c r="D19" s="2">
        <v>8.9</v>
      </c>
      <c r="E19" s="3">
        <f t="shared" si="0"/>
        <v>0.2072885883267519</v>
      </c>
      <c r="F19" s="4">
        <f t="shared" si="1"/>
        <v>737.44343600932871</v>
      </c>
    </row>
    <row r="20" spans="1:6">
      <c r="A20" s="7">
        <v>42301</v>
      </c>
      <c r="B20" s="1">
        <v>0.33333333333333298</v>
      </c>
      <c r="C20" s="2">
        <v>8143.7</v>
      </c>
      <c r="D20" s="2">
        <v>8.6999999999999993</v>
      </c>
      <c r="E20" s="3">
        <f t="shared" si="0"/>
        <v>0.206511656958416</v>
      </c>
      <c r="F20" s="4">
        <f t="shared" si="1"/>
        <v>737.36418900975843</v>
      </c>
    </row>
    <row r="21" spans="1:6">
      <c r="A21" s="7">
        <v>42308</v>
      </c>
      <c r="B21" s="1">
        <v>0.33333333333333298</v>
      </c>
      <c r="C21" s="2">
        <v>8139.1</v>
      </c>
      <c r="D21" s="2">
        <v>8.5</v>
      </c>
      <c r="E21" s="3">
        <f t="shared" si="0"/>
        <v>0.20667718166444704</v>
      </c>
      <c r="F21" s="4">
        <f t="shared" si="1"/>
        <v>737.38107252977352</v>
      </c>
    </row>
    <row r="22" spans="1:6">
      <c r="A22" s="7">
        <v>42521</v>
      </c>
      <c r="B22" s="1">
        <v>0.33333333333333298</v>
      </c>
      <c r="C22" s="2">
        <v>8151.3</v>
      </c>
      <c r="D22" s="2">
        <v>6.8</v>
      </c>
      <c r="E22" s="3">
        <f t="shared" si="0"/>
        <v>0.19945059426083583</v>
      </c>
      <c r="F22" s="4">
        <f t="shared" si="1"/>
        <v>736.64396061460525</v>
      </c>
    </row>
    <row r="23" spans="1:6">
      <c r="A23" s="7">
        <v>42531</v>
      </c>
      <c r="B23" s="1">
        <v>0.33333333333333298</v>
      </c>
      <c r="C23" s="2">
        <v>8156.4</v>
      </c>
      <c r="D23" s="2">
        <v>6.8</v>
      </c>
      <c r="E23" s="3">
        <f t="shared" si="0"/>
        <v>0.19859233454636877</v>
      </c>
      <c r="F23" s="4">
        <f t="shared" si="1"/>
        <v>736.5564181237296</v>
      </c>
    </row>
    <row r="24" spans="1:6">
      <c r="A24" s="6">
        <v>42544</v>
      </c>
      <c r="B24" s="1">
        <v>0.33333333333333298</v>
      </c>
      <c r="C24" s="2">
        <v>8067.5</v>
      </c>
      <c r="D24" s="2">
        <v>6.8</v>
      </c>
      <c r="E24" s="3">
        <f t="shared" si="0"/>
        <v>0.21355589977700157</v>
      </c>
      <c r="F24" s="4">
        <f t="shared" si="1"/>
        <v>738.0827017772541</v>
      </c>
    </row>
    <row r="25" spans="1:6">
      <c r="A25" s="7">
        <v>42551</v>
      </c>
      <c r="B25" s="9">
        <v>0.33333333333333298</v>
      </c>
      <c r="C25">
        <v>8117.9</v>
      </c>
      <c r="D25">
        <v>6.8</v>
      </c>
      <c r="E25" s="3">
        <f t="shared" ref="E25:E57" si="2">($B$2*C25^2+$B$3*C25+$B$4)-$B$5*D25-$E$7</f>
        <v>0.2050718580451632</v>
      </c>
      <c r="F25" s="4">
        <f t="shared" si="1"/>
        <v>737.21732952060665</v>
      </c>
    </row>
    <row r="26" spans="1:6">
      <c r="A26" s="7">
        <v>42561</v>
      </c>
      <c r="B26" s="9">
        <v>0.33333333333333298</v>
      </c>
      <c r="C26">
        <v>8133.4</v>
      </c>
      <c r="D26">
        <v>6.8</v>
      </c>
      <c r="E26" s="3">
        <f t="shared" si="2"/>
        <v>0.20246307896291454</v>
      </c>
      <c r="F26" s="4">
        <f t="shared" si="1"/>
        <v>736.95123405421725</v>
      </c>
    </row>
    <row r="27" spans="1:6">
      <c r="A27" s="7">
        <v>42571</v>
      </c>
      <c r="B27" s="9">
        <v>0.33333333333333298</v>
      </c>
      <c r="C27" s="2">
        <v>8141.9</v>
      </c>
      <c r="D27" s="2">
        <v>6.8</v>
      </c>
      <c r="E27" s="3">
        <f t="shared" si="2"/>
        <v>0.2010325381459151</v>
      </c>
      <c r="F27" s="4">
        <f t="shared" si="1"/>
        <v>736.80531889088331</v>
      </c>
    </row>
    <row r="28" spans="1:6">
      <c r="A28" s="7">
        <v>42581</v>
      </c>
      <c r="B28" s="9">
        <v>0.33333333333333298</v>
      </c>
      <c r="C28" s="2">
        <v>8138.6</v>
      </c>
      <c r="D28" s="2">
        <v>6.9</v>
      </c>
      <c r="E28" s="3">
        <f t="shared" si="2"/>
        <v>0.20189223625385849</v>
      </c>
      <c r="F28" s="4">
        <f t="shared" si="1"/>
        <v>736.89300809789347</v>
      </c>
    </row>
    <row r="29" spans="1:6">
      <c r="A29" s="7">
        <v>42653</v>
      </c>
      <c r="B29" s="1">
        <v>0.33333333333333331</v>
      </c>
      <c r="C29" s="2">
        <v>8155.3</v>
      </c>
      <c r="D29" s="2">
        <v>6.6</v>
      </c>
      <c r="E29" s="3">
        <f t="shared" si="2"/>
        <v>0.1981688108618998</v>
      </c>
      <c r="F29" s="4">
        <f t="shared" si="1"/>
        <v>736.51321870791378</v>
      </c>
    </row>
    <row r="30" spans="1:6">
      <c r="A30" s="7">
        <v>42846</v>
      </c>
      <c r="B30" s="1">
        <v>0.54166666666666663</v>
      </c>
      <c r="C30" s="2">
        <v>8140.5</v>
      </c>
      <c r="D30" s="2">
        <v>6.5</v>
      </c>
      <c r="E30" s="3">
        <f t="shared" si="2"/>
        <v>0.20035519753684145</v>
      </c>
      <c r="F30" s="4">
        <f t="shared" si="1"/>
        <v>736.73623014875773</v>
      </c>
    </row>
    <row r="31" spans="1:6">
      <c r="A31" s="7">
        <v>42855</v>
      </c>
      <c r="B31" s="1">
        <v>0.33333333333333331</v>
      </c>
      <c r="C31" s="2">
        <v>8143.4</v>
      </c>
      <c r="D31" s="2">
        <v>6.1</v>
      </c>
      <c r="E31" s="3">
        <f t="shared" si="2"/>
        <v>0.19864986684659464</v>
      </c>
      <c r="F31" s="4">
        <f t="shared" si="1"/>
        <v>736.56228641835264</v>
      </c>
    </row>
    <row r="32" spans="1:6">
      <c r="A32" s="7">
        <v>42865</v>
      </c>
      <c r="B32" s="1">
        <v>0.33333333333333331</v>
      </c>
      <c r="C32" s="2">
        <v>8125</v>
      </c>
      <c r="D32" s="2">
        <v>6.5</v>
      </c>
      <c r="E32" s="3">
        <f t="shared" si="2"/>
        <v>0.20296389033768897</v>
      </c>
      <c r="F32" s="4">
        <f t="shared" si="1"/>
        <v>737.00231681444427</v>
      </c>
    </row>
    <row r="33" spans="1:6">
      <c r="A33" s="7">
        <v>42875</v>
      </c>
      <c r="B33" s="1">
        <v>0.33333333333333331</v>
      </c>
      <c r="C33" s="2">
        <v>8121.4</v>
      </c>
      <c r="D33" s="2">
        <v>6.5</v>
      </c>
      <c r="E33" s="3">
        <f t="shared" si="2"/>
        <v>0.20356980723313872</v>
      </c>
      <c r="F33" s="4">
        <f t="shared" si="1"/>
        <v>737.06412033778008</v>
      </c>
    </row>
    <row r="34" spans="1:6">
      <c r="A34" s="7">
        <v>42885</v>
      </c>
      <c r="B34" s="1">
        <v>0.33333333333333331</v>
      </c>
      <c r="C34" s="2">
        <v>8139.6</v>
      </c>
      <c r="D34" s="2">
        <v>6.5</v>
      </c>
      <c r="E34" s="3">
        <f t="shared" si="2"/>
        <v>0.20050666487104057</v>
      </c>
      <c r="F34" s="4">
        <f t="shared" si="1"/>
        <v>736.75167981684604</v>
      </c>
    </row>
    <row r="35" spans="1:6">
      <c r="A35" s="7">
        <v>42896</v>
      </c>
      <c r="B35" s="1">
        <v>0.33333333333333331</v>
      </c>
      <c r="C35" s="2">
        <v>8141.3</v>
      </c>
      <c r="D35" s="2">
        <v>6.5</v>
      </c>
      <c r="E35" s="3">
        <f t="shared" si="2"/>
        <v>0.20022056043957576</v>
      </c>
      <c r="F35" s="4">
        <f t="shared" si="1"/>
        <v>736.72249716483668</v>
      </c>
    </row>
    <row r="36" spans="1:6">
      <c r="A36" s="7">
        <v>42906</v>
      </c>
      <c r="B36" s="1">
        <v>0.33333333333333331</v>
      </c>
      <c r="C36" s="2">
        <v>8139.3</v>
      </c>
      <c r="D36" s="2">
        <v>6.5</v>
      </c>
      <c r="E36" s="3">
        <f t="shared" si="2"/>
        <v>0.20055715412356384</v>
      </c>
      <c r="F36" s="4">
        <f t="shared" si="1"/>
        <v>736.75682972060349</v>
      </c>
    </row>
    <row r="37" spans="1:6">
      <c r="A37" s="7">
        <v>42916</v>
      </c>
      <c r="B37" s="1">
        <v>0.33333333333333331</v>
      </c>
      <c r="C37" s="2">
        <v>8132.2</v>
      </c>
      <c r="D37" s="2">
        <v>6.5</v>
      </c>
      <c r="E37" s="3">
        <f t="shared" si="2"/>
        <v>0.20175208702948738</v>
      </c>
      <c r="F37" s="4">
        <f t="shared" si="1"/>
        <v>736.87871287700762</v>
      </c>
    </row>
    <row r="38" spans="1:6">
      <c r="A38" s="7">
        <v>42926</v>
      </c>
      <c r="B38" s="1">
        <v>0.33333333333333331</v>
      </c>
      <c r="C38" s="2">
        <v>8143.4</v>
      </c>
      <c r="D38" s="2">
        <v>6.5</v>
      </c>
      <c r="E38" s="3">
        <f t="shared" si="2"/>
        <v>0.19986714044659465</v>
      </c>
      <c r="F38" s="4">
        <f t="shared" si="1"/>
        <v>736.68644832555265</v>
      </c>
    </row>
    <row r="39" spans="1:6">
      <c r="A39" s="7">
        <v>42936</v>
      </c>
      <c r="B39" s="1">
        <v>0.33333333333333331</v>
      </c>
      <c r="C39" s="2">
        <v>8142.7</v>
      </c>
      <c r="D39" s="2">
        <v>6.5</v>
      </c>
      <c r="E39" s="3">
        <f t="shared" si="2"/>
        <v>0.19998494672675188</v>
      </c>
      <c r="F39" s="4">
        <f t="shared" si="1"/>
        <v>736.69846456612868</v>
      </c>
    </row>
    <row r="40" spans="1:6">
      <c r="A40" s="7">
        <v>42946</v>
      </c>
      <c r="B40" s="1">
        <v>0.33333333333333331</v>
      </c>
      <c r="C40" s="2">
        <v>8147.8</v>
      </c>
      <c r="D40" s="2">
        <v>6.5</v>
      </c>
      <c r="E40" s="3">
        <f t="shared" si="2"/>
        <v>0.19912665262516743</v>
      </c>
      <c r="F40" s="4">
        <f t="shared" si="1"/>
        <v>736.61091856776704</v>
      </c>
    </row>
    <row r="41" spans="1:6">
      <c r="A41" s="7">
        <v>42957</v>
      </c>
      <c r="B41" s="1">
        <v>0.33333333333333331</v>
      </c>
      <c r="C41" s="2">
        <v>8141.1</v>
      </c>
      <c r="D41" s="2">
        <v>6.5</v>
      </c>
      <c r="E41" s="3">
        <f t="shared" si="2"/>
        <v>0.20025421966685092</v>
      </c>
      <c r="F41" s="4">
        <f t="shared" si="1"/>
        <v>736.72593040601873</v>
      </c>
    </row>
    <row r="42" spans="1:6">
      <c r="A42" s="7">
        <v>42967</v>
      </c>
      <c r="B42" s="1">
        <v>0.33333333333333331</v>
      </c>
      <c r="C42" s="2">
        <v>8145.9</v>
      </c>
      <c r="D42" s="2">
        <v>6.5</v>
      </c>
      <c r="E42" s="3">
        <f t="shared" si="2"/>
        <v>0.19944640686782705</v>
      </c>
      <c r="F42" s="4">
        <f t="shared" si="1"/>
        <v>736.64353350051829</v>
      </c>
    </row>
    <row r="43" spans="1:6">
      <c r="A43" s="7">
        <v>42977</v>
      </c>
      <c r="B43" s="1">
        <v>0.33333333333333331</v>
      </c>
      <c r="C43" s="2">
        <v>8140.7</v>
      </c>
      <c r="D43" s="2">
        <v>7.1</v>
      </c>
      <c r="E43" s="3">
        <f t="shared" si="2"/>
        <v>0.20214744861548378</v>
      </c>
      <c r="F43" s="4">
        <f t="shared" si="1"/>
        <v>736.91903975877926</v>
      </c>
    </row>
    <row r="44" spans="1:6">
      <c r="A44" s="7">
        <v>42988</v>
      </c>
      <c r="B44" s="1">
        <v>0.33333333333333331</v>
      </c>
      <c r="C44" s="2">
        <v>8137.4</v>
      </c>
      <c r="D44" s="2">
        <v>6.5</v>
      </c>
      <c r="E44" s="3">
        <f t="shared" si="2"/>
        <v>0.20087692102814653</v>
      </c>
      <c r="F44" s="4">
        <f t="shared" si="1"/>
        <v>736.78944594487086</v>
      </c>
    </row>
    <row r="45" spans="1:6">
      <c r="A45" s="7">
        <v>42998</v>
      </c>
      <c r="B45" s="1">
        <v>0.33333333333333331</v>
      </c>
      <c r="C45" s="2">
        <v>8143.9</v>
      </c>
      <c r="D45" s="2">
        <v>6.5</v>
      </c>
      <c r="E45" s="3">
        <f t="shared" si="2"/>
        <v>0.19978299333883115</v>
      </c>
      <c r="F45" s="4">
        <f t="shared" si="1"/>
        <v>736.67786532056073</v>
      </c>
    </row>
    <row r="46" spans="1:6">
      <c r="A46" s="7">
        <v>43008</v>
      </c>
      <c r="B46" s="1">
        <v>0.33333333333333331</v>
      </c>
      <c r="C46" s="2">
        <v>8145.7</v>
      </c>
      <c r="D46" s="2">
        <v>6.5</v>
      </c>
      <c r="E46" s="3">
        <f t="shared" si="2"/>
        <v>0.19948006537380386</v>
      </c>
      <c r="F46" s="4">
        <f t="shared" si="1"/>
        <v>736.6469666681279</v>
      </c>
    </row>
    <row r="47" spans="1:6">
      <c r="A47" s="7">
        <v>43018</v>
      </c>
      <c r="B47" s="1">
        <v>0.33333333333333331</v>
      </c>
      <c r="C47" s="2">
        <v>8143.7</v>
      </c>
      <c r="D47" s="2">
        <v>6.5</v>
      </c>
      <c r="E47" s="3">
        <f t="shared" si="2"/>
        <v>0.19981665215841599</v>
      </c>
      <c r="F47" s="4">
        <f t="shared" si="1"/>
        <v>736.68129852015841</v>
      </c>
    </row>
    <row r="48" spans="1:6">
      <c r="A48" s="7">
        <v>43230</v>
      </c>
      <c r="B48" s="1">
        <v>0.33333333333333331</v>
      </c>
      <c r="C48" s="2">
        <v>8150.9</v>
      </c>
      <c r="D48" s="2">
        <v>6.5</v>
      </c>
      <c r="E48" s="3">
        <f t="shared" si="2"/>
        <v>0.19860495441066722</v>
      </c>
      <c r="F48" s="4">
        <f t="shared" si="1"/>
        <v>736.55770534988801</v>
      </c>
    </row>
    <row r="49" spans="1:6">
      <c r="A49" s="7">
        <v>43240</v>
      </c>
      <c r="B49" s="1">
        <v>0.33333333333333331</v>
      </c>
      <c r="C49" s="2">
        <v>8153.9</v>
      </c>
      <c r="D49" s="2">
        <v>6.5</v>
      </c>
      <c r="E49" s="3">
        <f t="shared" si="2"/>
        <v>0.19810009234461107</v>
      </c>
      <c r="F49" s="4">
        <f t="shared" si="1"/>
        <v>736.50620941915031</v>
      </c>
    </row>
    <row r="50" spans="1:6">
      <c r="A50" s="7">
        <v>43250</v>
      </c>
      <c r="B50" s="1">
        <v>0.33333333333333331</v>
      </c>
      <c r="C50" s="2">
        <v>8150.3</v>
      </c>
      <c r="D50" s="2">
        <v>6.7</v>
      </c>
      <c r="E50" s="3">
        <f t="shared" si="2"/>
        <v>0.19931456447061985</v>
      </c>
      <c r="F50" s="4">
        <f t="shared" si="1"/>
        <v>736.63008557600313</v>
      </c>
    </row>
    <row r="51" spans="1:6">
      <c r="A51" s="7">
        <v>43261</v>
      </c>
      <c r="B51" s="1">
        <v>0.33333333333333331</v>
      </c>
      <c r="C51" s="2">
        <v>8141</v>
      </c>
      <c r="D51" s="2">
        <v>6.6</v>
      </c>
      <c r="E51" s="3">
        <f t="shared" si="2"/>
        <v>0.20057536769224887</v>
      </c>
      <c r="F51" s="4">
        <f t="shared" si="1"/>
        <v>736.75868750460938</v>
      </c>
    </row>
    <row r="52" spans="1:6">
      <c r="A52" s="7">
        <v>43271</v>
      </c>
      <c r="B52" s="1">
        <v>0.33333333333333331</v>
      </c>
      <c r="C52" s="2">
        <v>8082.1</v>
      </c>
      <c r="D52" s="2">
        <v>6.7</v>
      </c>
      <c r="E52" s="3">
        <f t="shared" si="2"/>
        <v>0.21079369772556295</v>
      </c>
      <c r="F52" s="4">
        <f t="shared" si="1"/>
        <v>737.80095716800736</v>
      </c>
    </row>
    <row r="53" spans="1:6">
      <c r="A53" s="7">
        <v>43281</v>
      </c>
      <c r="B53" s="1">
        <v>0.33333333333333331</v>
      </c>
      <c r="C53" s="2">
        <v>8092.7</v>
      </c>
      <c r="D53" s="2">
        <v>6.8</v>
      </c>
      <c r="E53" s="3">
        <f t="shared" si="2"/>
        <v>0.20931362996905195</v>
      </c>
      <c r="F53" s="4">
        <f t="shared" si="1"/>
        <v>737.64999025684324</v>
      </c>
    </row>
    <row r="54" spans="1:6">
      <c r="A54" s="7">
        <v>43291</v>
      </c>
      <c r="B54" s="1">
        <v>0.33333333333333331</v>
      </c>
      <c r="C54" s="2">
        <v>8107</v>
      </c>
      <c r="D54" s="2">
        <v>6.7</v>
      </c>
      <c r="E54" s="3">
        <f t="shared" si="2"/>
        <v>0.20660221322392897</v>
      </c>
      <c r="F54" s="4">
        <f t="shared" si="1"/>
        <v>737.37342574884076</v>
      </c>
    </row>
    <row r="55" spans="1:6">
      <c r="A55" s="7">
        <v>43301</v>
      </c>
      <c r="B55" s="1">
        <v>0.33333333333333331</v>
      </c>
      <c r="C55" s="2">
        <v>8123.2</v>
      </c>
      <c r="D55" s="2">
        <v>6.7</v>
      </c>
      <c r="E55" s="3">
        <f t="shared" si="2"/>
        <v>0.20387548431530128</v>
      </c>
      <c r="F55" s="4">
        <f t="shared" si="1"/>
        <v>737.09529940016068</v>
      </c>
    </row>
    <row r="56" spans="1:6">
      <c r="A56" s="7">
        <v>43311</v>
      </c>
      <c r="B56" s="1">
        <v>0.33333333333333331</v>
      </c>
      <c r="C56" s="2">
        <v>8120</v>
      </c>
      <c r="D56" s="2">
        <v>6.6</v>
      </c>
      <c r="E56" s="3">
        <f t="shared" si="2"/>
        <v>0.20410976272543874</v>
      </c>
      <c r="F56" s="4">
        <f t="shared" si="1"/>
        <v>737.11919579799473</v>
      </c>
    </row>
    <row r="57" spans="1:6">
      <c r="A57" s="7">
        <v>43322</v>
      </c>
      <c r="B57" s="1">
        <v>0.33333333333333331</v>
      </c>
      <c r="C57" s="2">
        <v>8103.1</v>
      </c>
      <c r="D57" s="2">
        <v>6.5</v>
      </c>
      <c r="E57" s="3">
        <f t="shared" si="2"/>
        <v>0.20665004189085506</v>
      </c>
      <c r="F57" s="4">
        <f t="shared" si="1"/>
        <v>737.37830427286713</v>
      </c>
    </row>
    <row r="58" spans="1:6">
      <c r="A58" s="7">
        <v>43332</v>
      </c>
      <c r="B58" s="1">
        <v>0.33333333333333331</v>
      </c>
      <c r="C58" s="2">
        <v>8113.4</v>
      </c>
      <c r="D58" s="2">
        <v>6.6</v>
      </c>
      <c r="E58" s="3">
        <f t="shared" ref="E58:E75" si="3">($B$2*C58^2+$B$3*C58+$B$4)-$B$5*D58-$E$7</f>
        <v>0.20522064400155454</v>
      </c>
      <c r="F58" s="4">
        <f t="shared" ref="F58:F75" si="4">$D$1+102*E58</f>
        <v>737.23250568815854</v>
      </c>
    </row>
    <row r="59" spans="1:6">
      <c r="A59" s="7">
        <v>43342</v>
      </c>
      <c r="B59" s="1">
        <v>0.33333333333333331</v>
      </c>
      <c r="C59" s="2">
        <v>8097.3</v>
      </c>
      <c r="D59" s="2">
        <v>6.6</v>
      </c>
      <c r="E59" s="3">
        <f t="shared" si="3"/>
        <v>0.2079306643217918</v>
      </c>
      <c r="F59" s="4">
        <f t="shared" si="4"/>
        <v>737.50892776082276</v>
      </c>
    </row>
    <row r="60" spans="1:6">
      <c r="A60" s="7">
        <v>43353</v>
      </c>
      <c r="B60" s="1">
        <v>0.33333333333333331</v>
      </c>
      <c r="C60" s="2">
        <v>8088.2</v>
      </c>
      <c r="D60" s="2">
        <v>6.5</v>
      </c>
      <c r="E60" s="3">
        <f t="shared" si="3"/>
        <v>0.20915818643331124</v>
      </c>
      <c r="F60" s="4">
        <f t="shared" si="4"/>
        <v>737.63413501619766</v>
      </c>
    </row>
    <row r="61" spans="1:6">
      <c r="A61" s="7">
        <v>43363</v>
      </c>
      <c r="B61" s="1">
        <v>0.33333333333333331</v>
      </c>
      <c r="C61" s="2">
        <v>8089.8</v>
      </c>
      <c r="D61" s="2">
        <v>6.6</v>
      </c>
      <c r="E61" s="3">
        <f t="shared" si="3"/>
        <v>0.20919316553375938</v>
      </c>
      <c r="F61" s="4">
        <f t="shared" si="4"/>
        <v>737.63770288444346</v>
      </c>
    </row>
    <row r="62" spans="1:6">
      <c r="A62" s="7">
        <v>43373</v>
      </c>
      <c r="B62" s="1">
        <v>0.33333333333333331</v>
      </c>
      <c r="C62" s="2">
        <v>8092.7</v>
      </c>
      <c r="D62" s="2">
        <v>6.4</v>
      </c>
      <c r="E62" s="3">
        <f t="shared" si="3"/>
        <v>0.20809635636905194</v>
      </c>
      <c r="F62" s="4">
        <f t="shared" si="4"/>
        <v>737.52582834964323</v>
      </c>
    </row>
    <row r="63" spans="1:6">
      <c r="A63" s="7">
        <v>43383</v>
      </c>
      <c r="B63" s="1">
        <v>0.33333333333333331</v>
      </c>
      <c r="C63" s="2">
        <v>8097.3</v>
      </c>
      <c r="D63" s="2">
        <v>6.2</v>
      </c>
      <c r="E63" s="3">
        <f t="shared" si="3"/>
        <v>0.20671339072179179</v>
      </c>
      <c r="F63" s="4">
        <f t="shared" si="4"/>
        <v>737.38476585362275</v>
      </c>
    </row>
    <row r="64" spans="1:6">
      <c r="A64" s="7">
        <v>43393</v>
      </c>
      <c r="B64" s="1">
        <v>0.33333333333333331</v>
      </c>
      <c r="C64" s="2">
        <v>8102.7</v>
      </c>
      <c r="D64" s="2">
        <v>6.1</v>
      </c>
      <c r="E64" s="3">
        <f t="shared" si="3"/>
        <v>0.20550009875659186</v>
      </c>
      <c r="F64" s="4">
        <f t="shared" si="4"/>
        <v>737.26101007317232</v>
      </c>
    </row>
    <row r="65" spans="1:6">
      <c r="A65" s="7">
        <v>43605</v>
      </c>
      <c r="B65" s="1">
        <v>0.33333333333333331</v>
      </c>
      <c r="C65" s="2">
        <v>8127.3</v>
      </c>
      <c r="D65" s="2">
        <v>6.2</v>
      </c>
      <c r="E65" s="3">
        <f t="shared" si="3"/>
        <v>0.20166382688517165</v>
      </c>
      <c r="F65" s="4">
        <f t="shared" si="4"/>
        <v>736.86971034228748</v>
      </c>
    </row>
    <row r="66" spans="1:6">
      <c r="A66" s="7">
        <v>43615</v>
      </c>
      <c r="B66" s="1">
        <v>0.33333333333333331</v>
      </c>
      <c r="C66" s="2">
        <v>8129.2</v>
      </c>
      <c r="D66" s="2">
        <v>6.2</v>
      </c>
      <c r="E66" s="3">
        <f t="shared" si="3"/>
        <v>0.20134404493524533</v>
      </c>
      <c r="F66" s="4">
        <f t="shared" si="4"/>
        <v>736.83709258339502</v>
      </c>
    </row>
    <row r="67" spans="1:6">
      <c r="A67" s="7">
        <v>43626</v>
      </c>
      <c r="B67" s="1">
        <v>0.33333333333333331</v>
      </c>
      <c r="C67" s="2">
        <v>8131.4</v>
      </c>
      <c r="D67" s="2">
        <v>6.4</v>
      </c>
      <c r="E67" s="3">
        <f t="shared" si="3"/>
        <v>0.20158241143441852</v>
      </c>
      <c r="F67" s="4">
        <f t="shared" si="4"/>
        <v>736.8614059663106</v>
      </c>
    </row>
    <row r="68" spans="1:6">
      <c r="A68" s="7">
        <v>43636</v>
      </c>
      <c r="B68" s="1">
        <v>0.33333333333333331</v>
      </c>
      <c r="C68" s="2">
        <v>8132.6</v>
      </c>
      <c r="D68" s="2">
        <v>6.7</v>
      </c>
      <c r="E68" s="3">
        <f t="shared" si="3"/>
        <v>0.20229340261518641</v>
      </c>
      <c r="F68" s="4">
        <f t="shared" si="4"/>
        <v>736.93392706674899</v>
      </c>
    </row>
    <row r="69" spans="1:6">
      <c r="A69" s="7">
        <v>43646</v>
      </c>
      <c r="B69" s="1">
        <v>0.33333333333333331</v>
      </c>
      <c r="C69" s="2">
        <v>8127.3</v>
      </c>
      <c r="D69" s="2">
        <v>6.7</v>
      </c>
      <c r="E69" s="3">
        <f t="shared" si="3"/>
        <v>0.20318541888517166</v>
      </c>
      <c r="F69" s="4">
        <f t="shared" si="4"/>
        <v>737.02491272628743</v>
      </c>
    </row>
    <row r="70" spans="1:6">
      <c r="A70" s="7">
        <v>43656</v>
      </c>
      <c r="B70" s="1">
        <v>0.33333333333333331</v>
      </c>
      <c r="C70" s="2">
        <v>8121.4</v>
      </c>
      <c r="D70" s="2">
        <v>6.8</v>
      </c>
      <c r="E70" s="3">
        <f t="shared" si="3"/>
        <v>0.20448276243313873</v>
      </c>
      <c r="F70" s="4">
        <f t="shared" si="4"/>
        <v>737.15724176818014</v>
      </c>
    </row>
    <row r="71" spans="1:6">
      <c r="A71" s="7">
        <v>43666</v>
      </c>
      <c r="B71" s="1">
        <v>0.33333333333333331</v>
      </c>
      <c r="C71" s="2">
        <v>8118.6</v>
      </c>
      <c r="D71" s="2">
        <v>6.8</v>
      </c>
      <c r="E71" s="3">
        <f t="shared" si="3"/>
        <v>0.20495403815441843</v>
      </c>
      <c r="F71" s="4">
        <f t="shared" si="4"/>
        <v>737.20531189175063</v>
      </c>
    </row>
    <row r="72" spans="1:6">
      <c r="A72" s="7">
        <v>43676</v>
      </c>
      <c r="B72" s="1">
        <v>0.33333333333333331</v>
      </c>
      <c r="C72" s="2">
        <v>8114.9</v>
      </c>
      <c r="D72" s="2">
        <v>6.6</v>
      </c>
      <c r="E72" s="3">
        <f t="shared" si="3"/>
        <v>0.20496816798537904</v>
      </c>
      <c r="F72" s="4">
        <f t="shared" si="4"/>
        <v>737.20675313450863</v>
      </c>
    </row>
    <row r="73" spans="1:6">
      <c r="A73" s="7">
        <v>43687</v>
      </c>
      <c r="B73" s="1">
        <v>0.33333333333333331</v>
      </c>
      <c r="C73" s="2">
        <v>8109.2</v>
      </c>
      <c r="D73" s="2">
        <v>6.7</v>
      </c>
      <c r="E73" s="3">
        <f t="shared" si="3"/>
        <v>0.20623190463156554</v>
      </c>
      <c r="F73" s="4">
        <f t="shared" si="4"/>
        <v>737.33565427241967</v>
      </c>
    </row>
    <row r="74" spans="1:6">
      <c r="A74" s="7">
        <v>43697</v>
      </c>
      <c r="B74" s="1">
        <v>0.33333333333333331</v>
      </c>
      <c r="C74" s="2">
        <v>8095.3</v>
      </c>
      <c r="D74" s="2">
        <v>6.7</v>
      </c>
      <c r="E74" s="3">
        <f t="shared" si="3"/>
        <v>0.20857164539953993</v>
      </c>
      <c r="F74" s="4">
        <f t="shared" si="4"/>
        <v>737.57430783075301</v>
      </c>
    </row>
    <row r="75" spans="1:6">
      <c r="A75" s="7">
        <v>43707</v>
      </c>
      <c r="B75" s="1">
        <v>0.33333333333333331</v>
      </c>
      <c r="C75" s="2">
        <v>8068.4</v>
      </c>
      <c r="D75" s="2">
        <v>6.6</v>
      </c>
      <c r="E75" s="3">
        <f t="shared" si="3"/>
        <v>0.21279574476774449</v>
      </c>
      <c r="F75" s="4">
        <f t="shared" si="4"/>
        <v>738.00516596630985</v>
      </c>
    </row>
  </sheetData>
  <phoneticPr fontId="4" type="noConversion"/>
  <pageMargins left="0.69930555555555596" right="0.69930555555555596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4"/>
  <sheetViews>
    <sheetView topLeftCell="A41" workbookViewId="0">
      <selection activeCell="A58" sqref="A58:B64"/>
    </sheetView>
  </sheetViews>
  <sheetFormatPr defaultColWidth="9" defaultRowHeight="13.5"/>
  <cols>
    <col min="1" max="1" width="11.5" customWidth="1"/>
    <col min="2" max="2" width="13.875" customWidth="1"/>
  </cols>
  <sheetData>
    <row r="1" spans="1:7">
      <c r="A1" t="s">
        <v>0</v>
      </c>
      <c r="B1">
        <v>11243</v>
      </c>
      <c r="C1" t="s">
        <v>1</v>
      </c>
      <c r="D1">
        <v>737.7</v>
      </c>
    </row>
    <row r="2" spans="1:7">
      <c r="A2" t="s">
        <v>2</v>
      </c>
      <c r="B2" s="10">
        <v>2.9910599999999998E-10</v>
      </c>
    </row>
    <row r="3" spans="1:7">
      <c r="A3" t="s">
        <v>3</v>
      </c>
      <c r="B3">
        <v>-1.6870399999999999E-4</v>
      </c>
    </row>
    <row r="4" spans="1:7">
      <c r="A4" t="s">
        <v>4</v>
      </c>
      <c r="B4">
        <v>1.55334017</v>
      </c>
    </row>
    <row r="5" spans="1:7">
      <c r="A5" t="s">
        <v>5</v>
      </c>
      <c r="B5">
        <v>-2.9464159999999999E-3</v>
      </c>
    </row>
    <row r="6" spans="1:7">
      <c r="A6" t="s">
        <v>6</v>
      </c>
      <c r="B6" t="s">
        <v>7</v>
      </c>
      <c r="C6" t="s">
        <v>8</v>
      </c>
      <c r="D6" t="s">
        <v>9</v>
      </c>
      <c r="E6" t="s">
        <v>10</v>
      </c>
      <c r="F6" t="s">
        <v>11</v>
      </c>
      <c r="G6" t="s">
        <v>12</v>
      </c>
    </row>
    <row r="7" spans="1:7">
      <c r="A7" s="7">
        <v>42608</v>
      </c>
      <c r="B7" s="1">
        <v>0.72916666666666696</v>
      </c>
      <c r="C7" s="2">
        <v>9239.9</v>
      </c>
      <c r="D7" s="2">
        <v>15.5</v>
      </c>
      <c r="E7" s="3">
        <f>($B$2*C7^2+$B$3*C7+$B$4)-$B$5*D7</f>
        <v>6.5737928080703167E-2</v>
      </c>
      <c r="G7" t="s">
        <v>13</v>
      </c>
    </row>
    <row r="8" spans="1:7">
      <c r="A8" s="7">
        <v>42609</v>
      </c>
      <c r="B8" s="1">
        <v>0.39583333333333298</v>
      </c>
      <c r="C8" s="2">
        <v>8998.1</v>
      </c>
      <c r="D8" s="2">
        <v>11.8</v>
      </c>
      <c r="E8" s="3">
        <f t="shared" ref="E8:E46" si="0">($B$2*C8^2+$B$3*C8+$B$4)-$B$5*D8-$E$7</f>
        <v>2.8571845973869442E-2</v>
      </c>
      <c r="F8" s="4">
        <f>$D$1+102*E8</f>
        <v>740.61432828933471</v>
      </c>
      <c r="G8" t="s">
        <v>14</v>
      </c>
    </row>
    <row r="9" spans="1:7">
      <c r="A9" s="7">
        <v>42610</v>
      </c>
      <c r="B9" s="1">
        <v>0.33333333333333298</v>
      </c>
      <c r="C9" s="2">
        <v>9001.4</v>
      </c>
      <c r="D9" s="2">
        <v>11.4</v>
      </c>
      <c r="E9" s="3">
        <f t="shared" si="0"/>
        <v>2.6854322776744655E-2</v>
      </c>
      <c r="F9" s="4">
        <f t="shared" ref="F9:F46" si="1">$D$1+102*E9</f>
        <v>740.43914092322802</v>
      </c>
    </row>
    <row r="10" spans="1:7">
      <c r="A10" s="7">
        <v>42611</v>
      </c>
      <c r="B10" s="1">
        <v>0.33333333333333298</v>
      </c>
      <c r="C10" s="2">
        <v>9004.2000000000007</v>
      </c>
      <c r="D10" s="2">
        <v>10.5</v>
      </c>
      <c r="E10" s="3">
        <f t="shared" si="0"/>
        <v>2.3745256809126675E-2</v>
      </c>
      <c r="F10" s="4">
        <f t="shared" si="1"/>
        <v>740.12201619453094</v>
      </c>
    </row>
    <row r="11" spans="1:7">
      <c r="A11" s="7">
        <v>42612</v>
      </c>
      <c r="B11" s="1">
        <v>0.33333333333333298</v>
      </c>
      <c r="C11" s="2">
        <v>9006.2999999999993</v>
      </c>
      <c r="D11" s="2">
        <v>10</v>
      </c>
      <c r="E11" s="3">
        <f t="shared" si="0"/>
        <v>2.1929083211214104E-2</v>
      </c>
      <c r="F11" s="4">
        <f t="shared" si="1"/>
        <v>739.93676648754388</v>
      </c>
    </row>
    <row r="12" spans="1:7">
      <c r="A12" s="7">
        <v>42613</v>
      </c>
      <c r="B12" s="1">
        <v>0.33333333333333298</v>
      </c>
      <c r="C12" s="2">
        <v>9045.2999999999993</v>
      </c>
      <c r="D12" s="2">
        <v>9.9</v>
      </c>
      <c r="E12" s="3">
        <f t="shared" si="0"/>
        <v>1.5265559944128607E-2</v>
      </c>
      <c r="F12" s="4">
        <f t="shared" si="1"/>
        <v>739.25708711430116</v>
      </c>
    </row>
    <row r="13" spans="1:7">
      <c r="A13" s="7">
        <v>42614</v>
      </c>
      <c r="B13" s="1">
        <v>0.33333333333333298</v>
      </c>
      <c r="C13" s="2">
        <v>9077.1</v>
      </c>
      <c r="D13" s="2">
        <v>9.6999999999999993</v>
      </c>
      <c r="E13" s="3">
        <f t="shared" si="0"/>
        <v>9.4838620347943159E-3</v>
      </c>
      <c r="F13" s="4">
        <f t="shared" si="1"/>
        <v>738.66735392754902</v>
      </c>
    </row>
    <row r="14" spans="1:7">
      <c r="A14" s="7">
        <v>42615</v>
      </c>
      <c r="B14" s="1">
        <v>0.33333333333333298</v>
      </c>
      <c r="C14" s="2">
        <v>9077.1</v>
      </c>
      <c r="D14" s="2">
        <v>10</v>
      </c>
      <c r="E14" s="3">
        <f t="shared" si="0"/>
        <v>1.0367786834794321E-2</v>
      </c>
      <c r="F14" s="4">
        <f t="shared" si="1"/>
        <v>738.75751425714907</v>
      </c>
    </row>
    <row r="15" spans="1:7">
      <c r="A15" s="7">
        <v>42623</v>
      </c>
      <c r="B15" s="1">
        <v>0.33333333333333298</v>
      </c>
      <c r="C15" s="2">
        <v>9067.4</v>
      </c>
      <c r="D15" s="2">
        <v>10.5</v>
      </c>
      <c r="E15" s="3">
        <f t="shared" si="0"/>
        <v>1.3424780485269544E-2</v>
      </c>
      <c r="F15" s="4">
        <f t="shared" si="1"/>
        <v>739.06932760949758</v>
      </c>
    </row>
    <row r="16" spans="1:7">
      <c r="A16" s="7">
        <v>42633</v>
      </c>
      <c r="B16" s="1">
        <v>0.33333333333333331</v>
      </c>
      <c r="C16" s="2">
        <v>9057.7000000000007</v>
      </c>
      <c r="D16" s="2">
        <v>10.7</v>
      </c>
      <c r="E16" s="3">
        <f t="shared" si="0"/>
        <v>1.5597905621511504E-2</v>
      </c>
      <c r="F16" s="4">
        <f t="shared" si="1"/>
        <v>739.29098637339416</v>
      </c>
    </row>
    <row r="17" spans="1:6">
      <c r="A17" s="7">
        <v>42643</v>
      </c>
      <c r="B17" s="1">
        <v>0.33333333333333331</v>
      </c>
      <c r="C17" s="2">
        <v>9103.5</v>
      </c>
      <c r="D17" s="2">
        <v>11.2</v>
      </c>
      <c r="E17" s="3">
        <f t="shared" si="0"/>
        <v>9.5932616955453215E-3</v>
      </c>
      <c r="F17" s="4">
        <f t="shared" si="1"/>
        <v>738.67851269294567</v>
      </c>
    </row>
    <row r="18" spans="1:6">
      <c r="A18" s="7">
        <v>42653</v>
      </c>
      <c r="B18" s="1">
        <v>0.33333333333333331</v>
      </c>
      <c r="C18" s="2">
        <v>9147.2999999999993</v>
      </c>
      <c r="D18" s="2">
        <v>11.2</v>
      </c>
      <c r="E18" s="3">
        <f t="shared" si="0"/>
        <v>2.4431273573198992E-3</v>
      </c>
      <c r="F18" s="4">
        <f t="shared" si="1"/>
        <v>737.94919899044669</v>
      </c>
    </row>
    <row r="19" spans="1:6">
      <c r="A19" s="7">
        <v>42846</v>
      </c>
      <c r="B19" s="1">
        <v>0.54166666666666663</v>
      </c>
      <c r="C19" s="2">
        <v>9027.7999999999993</v>
      </c>
      <c r="D19" s="2">
        <v>4.8</v>
      </c>
      <c r="E19" s="3">
        <f t="shared" si="0"/>
        <v>3.0965573227779986E-3</v>
      </c>
      <c r="F19" s="4">
        <f t="shared" si="1"/>
        <v>738.0158488469234</v>
      </c>
    </row>
    <row r="20" spans="1:6">
      <c r="A20" s="7">
        <v>42855</v>
      </c>
      <c r="B20" s="1">
        <v>0.33333333333333331</v>
      </c>
      <c r="C20" s="2">
        <v>9020.5</v>
      </c>
      <c r="D20" s="2">
        <v>4.3</v>
      </c>
      <c r="E20" s="3">
        <f t="shared" si="0"/>
        <v>2.8154805325935339E-3</v>
      </c>
      <c r="F20" s="4">
        <f t="shared" si="1"/>
        <v>737.98717901432462</v>
      </c>
    </row>
    <row r="21" spans="1:6">
      <c r="A21" s="7">
        <v>42865</v>
      </c>
      <c r="B21" s="1">
        <v>0.33333333333333331</v>
      </c>
      <c r="C21" s="2">
        <v>8987.1</v>
      </c>
      <c r="D21" s="2">
        <v>4.3</v>
      </c>
      <c r="E21" s="3">
        <f t="shared" si="0"/>
        <v>8.2702956803262506E-3</v>
      </c>
      <c r="F21" s="4">
        <f t="shared" si="1"/>
        <v>738.54357015939331</v>
      </c>
    </row>
    <row r="22" spans="1:6">
      <c r="A22" s="7">
        <v>42875</v>
      </c>
      <c r="B22" s="1">
        <v>0.33333333333333331</v>
      </c>
      <c r="C22" s="2">
        <v>8996.4</v>
      </c>
      <c r="D22" s="2">
        <v>3.8</v>
      </c>
      <c r="E22" s="3">
        <f t="shared" si="0"/>
        <v>5.2781649269108971E-3</v>
      </c>
      <c r="F22" s="4">
        <f t="shared" si="1"/>
        <v>738.23837282254499</v>
      </c>
    </row>
    <row r="23" spans="1:6">
      <c r="A23" s="6">
        <v>42885</v>
      </c>
      <c r="B23" s="1">
        <v>0.33333333333333331</v>
      </c>
      <c r="C23" s="2">
        <v>9016</v>
      </c>
      <c r="D23" s="2">
        <v>3.8</v>
      </c>
      <c r="E23" s="3">
        <f t="shared" si="0"/>
        <v>2.0771638184329116E-3</v>
      </c>
      <c r="F23" s="4">
        <f t="shared" si="1"/>
        <v>737.91187070948024</v>
      </c>
    </row>
    <row r="24" spans="1:6">
      <c r="A24" s="6">
        <v>42896</v>
      </c>
      <c r="B24" s="1">
        <v>0.33333333333333331</v>
      </c>
      <c r="C24" s="2">
        <v>9014.2000000000007</v>
      </c>
      <c r="D24" s="2">
        <v>3.8</v>
      </c>
      <c r="E24" s="3">
        <f t="shared" si="0"/>
        <v>2.371123724630872E-3</v>
      </c>
      <c r="F24" s="4">
        <f t="shared" si="1"/>
        <v>737.94185461991242</v>
      </c>
    </row>
    <row r="25" spans="1:6">
      <c r="A25" s="7">
        <v>42906</v>
      </c>
      <c r="B25" s="9">
        <v>0.33333333333333331</v>
      </c>
      <c r="C25" s="2">
        <v>9011.7999999999993</v>
      </c>
      <c r="D25" s="2">
        <v>3.9</v>
      </c>
      <c r="E25" s="3">
        <f t="shared" si="0"/>
        <v>3.0577148812164778E-3</v>
      </c>
      <c r="F25" s="4">
        <f t="shared" si="1"/>
        <v>738.01188691788411</v>
      </c>
    </row>
    <row r="26" spans="1:6">
      <c r="A26" s="7">
        <v>42916</v>
      </c>
      <c r="B26" s="9">
        <v>0.33333333333333331</v>
      </c>
      <c r="C26" s="2">
        <v>9005.7000000000007</v>
      </c>
      <c r="D26" s="2">
        <v>3.8</v>
      </c>
      <c r="E26" s="3">
        <f t="shared" si="0"/>
        <v>3.759293912850778E-3</v>
      </c>
      <c r="F26" s="4">
        <f t="shared" si="1"/>
        <v>738.08344797911082</v>
      </c>
    </row>
    <row r="27" spans="1:6">
      <c r="A27" s="7">
        <v>42926</v>
      </c>
      <c r="B27" s="9">
        <v>0.33333333333333331</v>
      </c>
      <c r="C27" s="2">
        <v>9021.2000000000007</v>
      </c>
      <c r="D27" s="2">
        <v>4</v>
      </c>
      <c r="E27" s="3">
        <f t="shared" si="0"/>
        <v>1.8172403990973918E-3</v>
      </c>
      <c r="F27" s="4">
        <f t="shared" si="1"/>
        <v>737.885358520708</v>
      </c>
    </row>
    <row r="28" spans="1:6">
      <c r="A28" s="7">
        <v>42936</v>
      </c>
      <c r="B28" s="9">
        <v>0.33333333333333331</v>
      </c>
      <c r="C28" s="2">
        <v>9021.9</v>
      </c>
      <c r="D28" s="2">
        <v>4.0999999999999996</v>
      </c>
      <c r="E28" s="3">
        <f t="shared" si="0"/>
        <v>1.9975669587256467E-3</v>
      </c>
      <c r="F28" s="4">
        <f t="shared" si="1"/>
        <v>737.90375182979005</v>
      </c>
    </row>
    <row r="29" spans="1:6">
      <c r="A29" s="7">
        <v>42946</v>
      </c>
      <c r="B29" s="1">
        <v>0.33333333333333331</v>
      </c>
      <c r="C29" s="2">
        <v>9032.2000000000007</v>
      </c>
      <c r="D29" s="2">
        <v>4.4000000000000004</v>
      </c>
      <c r="E29" s="3">
        <f t="shared" si="0"/>
        <v>1.1994614819619276E-3</v>
      </c>
      <c r="F29" s="4">
        <f t="shared" si="1"/>
        <v>737.82234507116016</v>
      </c>
    </row>
    <row r="30" spans="1:6">
      <c r="A30" s="7">
        <v>42957</v>
      </c>
      <c r="B30" s="1">
        <v>0.33333333333333331</v>
      </c>
      <c r="C30" s="2">
        <v>9031.5</v>
      </c>
      <c r="D30" s="2">
        <v>4.8</v>
      </c>
      <c r="E30" s="3">
        <f t="shared" si="0"/>
        <v>2.4923386092255695E-3</v>
      </c>
      <c r="F30" s="4">
        <f t="shared" si="1"/>
        <v>737.95421853814105</v>
      </c>
    </row>
    <row r="31" spans="1:6">
      <c r="A31" s="7">
        <v>42967</v>
      </c>
      <c r="B31" s="1">
        <v>0.33333333333333331</v>
      </c>
      <c r="C31" s="2">
        <v>9041.2999999999993</v>
      </c>
      <c r="D31" s="2">
        <v>5.6</v>
      </c>
      <c r="E31" s="3">
        <f t="shared" si="0"/>
        <v>3.2491479018099956E-3</v>
      </c>
      <c r="F31" s="4">
        <f t="shared" si="1"/>
        <v>738.0314130859847</v>
      </c>
    </row>
    <row r="32" spans="1:6">
      <c r="A32" s="7">
        <v>42977</v>
      </c>
      <c r="B32" s="1">
        <v>0.33333333333333331</v>
      </c>
      <c r="C32" s="2">
        <v>9040.7000000000007</v>
      </c>
      <c r="D32" s="2">
        <v>5.4</v>
      </c>
      <c r="E32" s="3">
        <f t="shared" si="0"/>
        <v>2.757842040994718E-3</v>
      </c>
      <c r="F32" s="4">
        <f t="shared" si="1"/>
        <v>737.98129988818152</v>
      </c>
    </row>
    <row r="33" spans="1:6">
      <c r="A33" s="7">
        <v>42988</v>
      </c>
      <c r="B33" s="1">
        <v>0.33333333333333331</v>
      </c>
      <c r="C33" s="2">
        <v>9045.7000000000007</v>
      </c>
      <c r="D33" s="2">
        <v>5.7</v>
      </c>
      <c r="E33" s="3">
        <f t="shared" si="0"/>
        <v>2.8252955947867253E-3</v>
      </c>
      <c r="F33" s="4">
        <f t="shared" si="1"/>
        <v>737.98818015066831</v>
      </c>
    </row>
    <row r="34" spans="1:6">
      <c r="A34" s="7">
        <v>42998</v>
      </c>
      <c r="B34" s="1">
        <v>0.33333333333333331</v>
      </c>
      <c r="C34" s="2">
        <v>9053.9</v>
      </c>
      <c r="D34" s="2">
        <v>5.9</v>
      </c>
      <c r="E34" s="3">
        <f t="shared" si="0"/>
        <v>2.0755983262394223E-3</v>
      </c>
      <c r="F34" s="4">
        <f t="shared" si="1"/>
        <v>737.91171102927649</v>
      </c>
    </row>
    <row r="35" spans="1:6">
      <c r="A35" s="7">
        <v>43008</v>
      </c>
      <c r="B35" s="1">
        <v>0.33333333333333331</v>
      </c>
      <c r="C35" s="2">
        <v>9055.2999999999993</v>
      </c>
      <c r="D35" s="2">
        <v>5.9</v>
      </c>
      <c r="E35" s="3">
        <f t="shared" si="0"/>
        <v>1.8469959247646023E-3</v>
      </c>
      <c r="F35" s="4">
        <f t="shared" si="1"/>
        <v>737.88839358432608</v>
      </c>
    </row>
    <row r="36" spans="1:6">
      <c r="A36" s="7">
        <v>43018</v>
      </c>
      <c r="B36" s="1">
        <v>0.33333333333333331</v>
      </c>
      <c r="C36" s="2">
        <v>9059.2000000000007</v>
      </c>
      <c r="D36" s="2">
        <v>6.2</v>
      </c>
      <c r="E36" s="3">
        <f t="shared" si="0"/>
        <v>2.09410593174858E-3</v>
      </c>
      <c r="F36" s="4">
        <f t="shared" si="1"/>
        <v>737.91359880503842</v>
      </c>
    </row>
    <row r="37" spans="1:6">
      <c r="A37" s="7">
        <v>43230</v>
      </c>
      <c r="B37" s="1">
        <v>0.33333333333333331</v>
      </c>
      <c r="C37" s="2">
        <v>9089.4</v>
      </c>
      <c r="D37" s="2">
        <v>6.1</v>
      </c>
      <c r="E37" s="3">
        <f t="shared" si="0"/>
        <v>-3.1314601426727651E-3</v>
      </c>
      <c r="F37" s="4">
        <f t="shared" si="1"/>
        <v>737.38059106544745</v>
      </c>
    </row>
    <row r="38" spans="1:6">
      <c r="A38" s="7">
        <v>43240</v>
      </c>
      <c r="B38" s="1">
        <v>0.33333333333333331</v>
      </c>
      <c r="C38" s="2">
        <v>9091.5</v>
      </c>
      <c r="D38" s="2">
        <v>7.8</v>
      </c>
      <c r="E38" s="3">
        <f t="shared" si="0"/>
        <v>1.5345884915053953E-3</v>
      </c>
      <c r="F38" s="4">
        <f t="shared" si="1"/>
        <v>737.85652802613356</v>
      </c>
    </row>
    <row r="39" spans="1:6">
      <c r="A39" s="7">
        <v>43250</v>
      </c>
      <c r="B39" s="1">
        <v>0.33333333333333331</v>
      </c>
      <c r="C39" s="2">
        <v>9086.7000000000007</v>
      </c>
      <c r="D39" s="2">
        <v>7.7</v>
      </c>
      <c r="E39" s="3">
        <f t="shared" si="0"/>
        <v>2.0236274897971057E-3</v>
      </c>
      <c r="F39" s="4">
        <f t="shared" si="1"/>
        <v>737.90641000395931</v>
      </c>
    </row>
    <row r="40" spans="1:6">
      <c r="A40" s="7">
        <v>43261</v>
      </c>
      <c r="B40" s="1">
        <v>0.33333333333333331</v>
      </c>
      <c r="C40" s="2">
        <v>9069.7999999999993</v>
      </c>
      <c r="D40" s="2">
        <v>7.5</v>
      </c>
      <c r="E40" s="3">
        <f t="shared" si="0"/>
        <v>4.1936627540933302E-3</v>
      </c>
      <c r="F40" s="4">
        <f t="shared" si="1"/>
        <v>738.12775360091757</v>
      </c>
    </row>
    <row r="41" spans="1:6">
      <c r="A41" s="7">
        <v>43271</v>
      </c>
      <c r="B41" s="1">
        <v>0.33333333333333331</v>
      </c>
      <c r="C41" s="2">
        <v>9003.7999999999993</v>
      </c>
      <c r="D41" s="2">
        <v>7</v>
      </c>
      <c r="E41" s="3">
        <f t="shared" si="0"/>
        <v>1.349812788878757E-2</v>
      </c>
      <c r="F41" s="4">
        <f t="shared" si="1"/>
        <v>739.07680904465633</v>
      </c>
    </row>
    <row r="42" spans="1:6">
      <c r="A42" s="7">
        <v>43281</v>
      </c>
      <c r="B42" s="1">
        <v>0.33333333333333331</v>
      </c>
      <c r="C42" s="2">
        <v>9018</v>
      </c>
      <c r="D42" s="2">
        <v>7.2</v>
      </c>
      <c r="E42" s="3">
        <f t="shared" si="0"/>
        <v>1.1768358373641152E-2</v>
      </c>
      <c r="F42" s="4">
        <f t="shared" si="1"/>
        <v>738.90037255411141</v>
      </c>
    </row>
    <row r="43" spans="1:6">
      <c r="A43" s="7">
        <v>43291</v>
      </c>
      <c r="B43" s="1">
        <v>0.33333333333333331</v>
      </c>
      <c r="C43" s="2">
        <v>9038.7999999999993</v>
      </c>
      <c r="D43" s="2">
        <v>7.1</v>
      </c>
      <c r="E43" s="3">
        <f t="shared" si="0"/>
        <v>8.0770122358337637E-3</v>
      </c>
      <c r="F43" s="4">
        <f t="shared" si="1"/>
        <v>738.52385524805504</v>
      </c>
    </row>
    <row r="44" spans="1:6">
      <c r="A44" s="7">
        <v>43301</v>
      </c>
      <c r="B44" s="1">
        <v>0.33333333333333331</v>
      </c>
      <c r="C44" s="2">
        <v>9049.2999999999993</v>
      </c>
      <c r="D44" s="2">
        <v>7.4</v>
      </c>
      <c r="E44" s="3">
        <f t="shared" si="0"/>
        <v>7.2463527578388864E-3</v>
      </c>
      <c r="F44" s="4">
        <f t="shared" si="1"/>
        <v>738.43912798129963</v>
      </c>
    </row>
    <row r="45" spans="1:6">
      <c r="A45" s="7">
        <v>43311</v>
      </c>
      <c r="B45" s="1">
        <v>0.33333333333333331</v>
      </c>
      <c r="C45" s="2">
        <v>9043.6</v>
      </c>
      <c r="D45" s="2">
        <v>6.9</v>
      </c>
      <c r="E45" s="3">
        <f t="shared" si="0"/>
        <v>6.703910896638729E-3</v>
      </c>
      <c r="F45" s="4">
        <f t="shared" si="1"/>
        <v>738.38379891145723</v>
      </c>
    </row>
    <row r="46" spans="1:6">
      <c r="A46" s="7">
        <v>43322</v>
      </c>
      <c r="B46" s="1">
        <v>0.33333333333333331</v>
      </c>
      <c r="C46" s="2">
        <v>9019.9</v>
      </c>
      <c r="D46" s="2">
        <v>6.5</v>
      </c>
      <c r="E46" s="3">
        <f t="shared" si="0"/>
        <v>9.3955805374640877E-3</v>
      </c>
      <c r="F46" s="4">
        <f t="shared" si="1"/>
        <v>738.65834921482133</v>
      </c>
    </row>
    <row r="47" spans="1:6">
      <c r="A47" s="7">
        <v>43332</v>
      </c>
      <c r="B47" s="1">
        <v>0.33333333333333331</v>
      </c>
      <c r="C47" s="2">
        <v>9034.1</v>
      </c>
      <c r="D47" s="2">
        <v>6.7</v>
      </c>
      <c r="E47" s="3">
        <f t="shared" ref="E47:E64" si="2">($B$2*C47^2+$B$3*C47+$B$4)-$B$5*D47-$E$7</f>
        <v>7.6659477855446356E-3</v>
      </c>
      <c r="F47" s="4">
        <f t="shared" ref="F47:F64" si="3">$D$1+102*E47</f>
        <v>738.48192667412559</v>
      </c>
    </row>
    <row r="48" spans="1:6">
      <c r="A48" s="7">
        <v>43342</v>
      </c>
      <c r="B48" s="1">
        <v>0.33333333333333331</v>
      </c>
      <c r="C48" s="2">
        <v>9002.2999999999993</v>
      </c>
      <c r="D48" s="2">
        <v>6.6</v>
      </c>
      <c r="E48" s="3">
        <f t="shared" si="2"/>
        <v>1.2564538889967919E-2</v>
      </c>
      <c r="F48" s="4">
        <f t="shared" si="3"/>
        <v>738.98158296677673</v>
      </c>
    </row>
    <row r="49" spans="1:6">
      <c r="A49" s="7">
        <v>43353</v>
      </c>
      <c r="B49" s="1">
        <v>0.33333333333333331</v>
      </c>
      <c r="C49" s="2">
        <v>8995.7999999999993</v>
      </c>
      <c r="D49" s="2">
        <v>6.6</v>
      </c>
      <c r="E49" s="3">
        <f t="shared" si="2"/>
        <v>1.3626123181926714E-2</v>
      </c>
      <c r="F49" s="4">
        <f t="shared" si="3"/>
        <v>739.08986456455659</v>
      </c>
    </row>
    <row r="50" spans="1:6">
      <c r="A50" s="7">
        <v>43363</v>
      </c>
      <c r="B50" s="1">
        <v>0.33333333333333331</v>
      </c>
      <c r="C50" s="2">
        <v>9012.2999999999993</v>
      </c>
      <c r="D50" s="2">
        <v>6.8</v>
      </c>
      <c r="E50" s="3">
        <f t="shared" si="2"/>
        <v>1.1520664839443764E-2</v>
      </c>
      <c r="F50" s="4">
        <f t="shared" si="3"/>
        <v>738.87510781362334</v>
      </c>
    </row>
    <row r="51" spans="1:6">
      <c r="A51" s="7">
        <v>43373</v>
      </c>
      <c r="B51" s="1">
        <v>0.33333333333333331</v>
      </c>
      <c r="C51" s="2">
        <v>9018.7000000000007</v>
      </c>
      <c r="D51" s="2">
        <v>6.7</v>
      </c>
      <c r="E51" s="3">
        <f t="shared" si="2"/>
        <v>1.0180833993273963E-2</v>
      </c>
      <c r="F51" s="4">
        <f t="shared" si="3"/>
        <v>738.73844506731405</v>
      </c>
    </row>
    <row r="52" spans="1:6">
      <c r="A52" s="7">
        <v>43383</v>
      </c>
      <c r="B52" s="1">
        <v>0.33333333333333331</v>
      </c>
      <c r="C52" s="2">
        <v>9021.4</v>
      </c>
      <c r="D52" s="2">
        <v>6.5</v>
      </c>
      <c r="E52" s="3">
        <f t="shared" si="2"/>
        <v>9.1506189290808115E-3</v>
      </c>
      <c r="F52" s="4">
        <f t="shared" si="3"/>
        <v>738.63336313076627</v>
      </c>
    </row>
    <row r="53" spans="1:6">
      <c r="A53" s="7">
        <v>43393</v>
      </c>
      <c r="B53" s="1">
        <v>0.33333333333333331</v>
      </c>
      <c r="C53" s="2">
        <v>9025.7000000000007</v>
      </c>
      <c r="D53" s="2">
        <v>6.2</v>
      </c>
      <c r="E53" s="3">
        <f t="shared" si="2"/>
        <v>7.5644783114188763E-3</v>
      </c>
      <c r="F53" s="4">
        <f t="shared" si="3"/>
        <v>738.47157678776477</v>
      </c>
    </row>
    <row r="54" spans="1:6">
      <c r="A54" s="7">
        <v>43605</v>
      </c>
      <c r="B54" s="1">
        <v>0.33333333333333331</v>
      </c>
      <c r="C54" s="2">
        <v>9062.4</v>
      </c>
      <c r="D54" s="2">
        <v>6</v>
      </c>
      <c r="E54" s="3">
        <f t="shared" si="2"/>
        <v>9.8231482547540827E-4</v>
      </c>
      <c r="F54" s="4">
        <f t="shared" si="3"/>
        <v>737.80019611219859</v>
      </c>
    </row>
    <row r="55" spans="1:6">
      <c r="A55" s="7">
        <v>43615</v>
      </c>
      <c r="B55" s="1">
        <v>0.33333333333333331</v>
      </c>
      <c r="C55" s="2">
        <v>9065.2999999999993</v>
      </c>
      <c r="D55" s="2">
        <v>6</v>
      </c>
      <c r="E55" s="3">
        <f t="shared" si="2"/>
        <v>5.0879732660082111E-4</v>
      </c>
      <c r="F55" s="4">
        <f t="shared" si="3"/>
        <v>737.75189732731337</v>
      </c>
    </row>
    <row r="56" spans="1:6">
      <c r="A56" s="7">
        <v>43626</v>
      </c>
      <c r="B56" s="1">
        <v>0.33333333333333331</v>
      </c>
      <c r="C56" s="2">
        <v>9069.6</v>
      </c>
      <c r="D56" s="2">
        <v>6.2</v>
      </c>
      <c r="E56" s="3">
        <f t="shared" si="2"/>
        <v>3.9597763341775449E-4</v>
      </c>
      <c r="F56" s="4">
        <f t="shared" si="3"/>
        <v>737.74038971860864</v>
      </c>
    </row>
    <row r="57" spans="1:6">
      <c r="A57" s="7">
        <v>43636</v>
      </c>
      <c r="B57" s="1">
        <v>0.33333333333333331</v>
      </c>
      <c r="C57" s="2">
        <v>9072.2999999999993</v>
      </c>
      <c r="D57" s="2">
        <v>6.4</v>
      </c>
      <c r="E57" s="3">
        <f t="shared" si="2"/>
        <v>5.444111814998237E-4</v>
      </c>
      <c r="F57" s="4">
        <f t="shared" si="3"/>
        <v>737.75552994051304</v>
      </c>
    </row>
    <row r="58" spans="1:6">
      <c r="A58" s="7">
        <v>43646</v>
      </c>
      <c r="B58" s="1">
        <v>0.33333333333333331</v>
      </c>
      <c r="C58" s="2">
        <v>9074.6</v>
      </c>
      <c r="D58" s="2">
        <v>6.3</v>
      </c>
      <c r="E58" s="3">
        <f t="shared" si="2"/>
        <v>-1.2576557115615006E-4</v>
      </c>
      <c r="F58" s="4">
        <f t="shared" si="3"/>
        <v>737.6871719117421</v>
      </c>
    </row>
    <row r="59" spans="1:6">
      <c r="A59" s="7">
        <v>43656</v>
      </c>
      <c r="B59" s="1">
        <v>0.33333333333333331</v>
      </c>
      <c r="C59" s="2">
        <v>9078.2999999999993</v>
      </c>
      <c r="D59" s="2">
        <v>6.3</v>
      </c>
      <c r="E59" s="3">
        <f t="shared" si="2"/>
        <v>-7.2988069831844693E-4</v>
      </c>
      <c r="F59" s="4">
        <f t="shared" si="3"/>
        <v>737.62555216877161</v>
      </c>
    </row>
    <row r="60" spans="1:6">
      <c r="A60" s="7">
        <v>43666</v>
      </c>
      <c r="B60" s="1">
        <v>0.33333333333333331</v>
      </c>
      <c r="C60" s="2">
        <v>9081.4</v>
      </c>
      <c r="D60" s="2">
        <v>6.2</v>
      </c>
      <c r="E60" s="3">
        <f t="shared" si="2"/>
        <v>-1.5306665051113E-3</v>
      </c>
      <c r="F60" s="4">
        <f t="shared" si="3"/>
        <v>737.54387201647864</v>
      </c>
    </row>
    <row r="61" spans="1:6">
      <c r="A61" s="7">
        <v>43676</v>
      </c>
      <c r="B61" s="1">
        <v>0.33333333333333331</v>
      </c>
      <c r="C61" s="2">
        <v>9085.1</v>
      </c>
      <c r="D61" s="2">
        <v>6.2</v>
      </c>
      <c r="E61" s="3">
        <f t="shared" si="2"/>
        <v>-2.1347665812600503E-3</v>
      </c>
      <c r="F61" s="4">
        <f t="shared" si="3"/>
        <v>737.48225380871156</v>
      </c>
    </row>
    <row r="62" spans="1:6">
      <c r="A62" s="7">
        <v>43687</v>
      </c>
      <c r="B62" s="1">
        <v>0.33333333333333331</v>
      </c>
      <c r="C62" s="2">
        <v>9025.2000000000007</v>
      </c>
      <c r="D62" s="2">
        <v>6.3</v>
      </c>
      <c r="E62" s="3">
        <f t="shared" si="2"/>
        <v>7.9407723451710155E-3</v>
      </c>
      <c r="F62" s="4">
        <f t="shared" si="3"/>
        <v>738.50995877920752</v>
      </c>
    </row>
    <row r="63" spans="1:6">
      <c r="A63" s="7">
        <v>43697</v>
      </c>
      <c r="B63" s="1">
        <v>0.33333333333333331</v>
      </c>
      <c r="C63" s="2">
        <v>8992.6</v>
      </c>
      <c r="D63" s="2">
        <v>6.2</v>
      </c>
      <c r="E63" s="3">
        <f t="shared" si="2"/>
        <v>1.2970192179141249E-2</v>
      </c>
      <c r="F63" s="4">
        <f t="shared" si="3"/>
        <v>739.02295960227241</v>
      </c>
    </row>
    <row r="64" spans="1:6">
      <c r="A64" s="7">
        <v>43707</v>
      </c>
      <c r="B64" s="1">
        <v>0.33333333333333331</v>
      </c>
      <c r="C64" s="2">
        <v>8971.2000000000007</v>
      </c>
      <c r="D64" s="2">
        <v>6.2</v>
      </c>
      <c r="E64" s="3">
        <f t="shared" si="2"/>
        <v>1.6465473859377522E-2</v>
      </c>
      <c r="F64" s="4">
        <f t="shared" si="3"/>
        <v>739.37947833365661</v>
      </c>
    </row>
  </sheetData>
  <phoneticPr fontId="4" type="noConversion"/>
  <pageMargins left="0.69930555555555596" right="0.69930555555555596" top="0.75" bottom="0.75" header="0.3" footer="0.3"/>
  <drawing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4"/>
  <sheetViews>
    <sheetView topLeftCell="A43" workbookViewId="0">
      <selection activeCell="A58" sqref="A58:B64"/>
    </sheetView>
  </sheetViews>
  <sheetFormatPr defaultColWidth="9" defaultRowHeight="13.5"/>
  <cols>
    <col min="1" max="1" width="11.125" customWidth="1"/>
    <col min="2" max="2" width="13.875" customWidth="1"/>
    <col min="3" max="3" width="9.5" bestFit="1" customWidth="1"/>
  </cols>
  <sheetData>
    <row r="1" spans="1:7">
      <c r="A1" t="s">
        <v>0</v>
      </c>
      <c r="B1">
        <v>11266</v>
      </c>
      <c r="C1" t="s">
        <v>1</v>
      </c>
      <c r="D1">
        <v>733</v>
      </c>
    </row>
    <row r="2" spans="1:7">
      <c r="A2" t="s">
        <v>2</v>
      </c>
      <c r="B2" s="10">
        <v>1.30399E-10</v>
      </c>
    </row>
    <row r="3" spans="1:7">
      <c r="A3" t="s">
        <v>3</v>
      </c>
      <c r="B3">
        <v>-1.75871E-4</v>
      </c>
    </row>
    <row r="4" spans="1:7">
      <c r="A4" t="s">
        <v>4</v>
      </c>
      <c r="B4">
        <v>1.5996368999999999</v>
      </c>
    </row>
    <row r="5" spans="1:7">
      <c r="A5" t="s">
        <v>5</v>
      </c>
      <c r="B5">
        <v>-3.071898E-3</v>
      </c>
    </row>
    <row r="6" spans="1:7">
      <c r="A6" t="s">
        <v>6</v>
      </c>
      <c r="B6" t="s">
        <v>7</v>
      </c>
      <c r="C6" t="s">
        <v>8</v>
      </c>
      <c r="D6" t="s">
        <v>9</v>
      </c>
      <c r="E6" t="s">
        <v>10</v>
      </c>
      <c r="F6" t="s">
        <v>11</v>
      </c>
      <c r="G6" t="s">
        <v>12</v>
      </c>
    </row>
    <row r="7" spans="1:7">
      <c r="A7" s="7">
        <v>42608</v>
      </c>
      <c r="B7" s="1">
        <v>0.72916666666666696</v>
      </c>
      <c r="C7" s="2">
        <v>9058</v>
      </c>
      <c r="D7" s="2">
        <v>15.7</v>
      </c>
      <c r="E7" s="3">
        <f>($B$2*C7^2+$B$3*C7+$B$4)-$B$5*D7</f>
        <v>6.5525074818236037E-2</v>
      </c>
      <c r="G7" t="s">
        <v>13</v>
      </c>
    </row>
    <row r="8" spans="1:7">
      <c r="A8" s="7">
        <v>42609</v>
      </c>
      <c r="B8" s="1">
        <v>0.39583333333333298</v>
      </c>
      <c r="C8" s="2">
        <v>8039.1</v>
      </c>
      <c r="D8" s="2">
        <v>7.5</v>
      </c>
      <c r="E8" s="3">
        <f t="shared" ref="E8:E46" si="0">($B$2*C8^2+$B$3*C8+$B$4)-$B$5*D8-$E$7</f>
        <v>0.15173381705145894</v>
      </c>
      <c r="F8" s="4">
        <f>$D$1+102*E8</f>
        <v>748.47684933924882</v>
      </c>
      <c r="G8" t="s">
        <v>14</v>
      </c>
    </row>
    <row r="9" spans="1:7">
      <c r="A9" s="7">
        <v>42610</v>
      </c>
      <c r="B9" s="1">
        <v>0.33333333333333298</v>
      </c>
      <c r="C9" s="2">
        <v>8150.7</v>
      </c>
      <c r="D9" s="2">
        <v>7.2</v>
      </c>
      <c r="E9" s="3">
        <f t="shared" si="0"/>
        <v>0.13142064657574937</v>
      </c>
      <c r="F9" s="4">
        <f t="shared" ref="F9:F46" si="1">$D$1+102*E9</f>
        <v>746.4049059507264</v>
      </c>
    </row>
    <row r="10" spans="1:7">
      <c r="A10" s="7">
        <v>42611</v>
      </c>
      <c r="B10" s="1">
        <v>0.33333333333333298</v>
      </c>
      <c r="C10" s="2">
        <v>8242.1</v>
      </c>
      <c r="D10" s="2">
        <v>6.4</v>
      </c>
      <c r="E10" s="3">
        <f t="shared" si="0"/>
        <v>0.1130838958478154</v>
      </c>
      <c r="F10" s="4">
        <f t="shared" si="1"/>
        <v>744.53455737647721</v>
      </c>
    </row>
    <row r="11" spans="1:7">
      <c r="A11" s="7">
        <v>42612</v>
      </c>
      <c r="B11" s="1">
        <v>0.33333333333333298</v>
      </c>
      <c r="C11" s="2">
        <v>8301.7000000000007</v>
      </c>
      <c r="D11" s="2">
        <v>6.1</v>
      </c>
      <c r="E11" s="3">
        <f t="shared" si="0"/>
        <v>0.10180898962839698</v>
      </c>
      <c r="F11" s="4">
        <f t="shared" si="1"/>
        <v>743.38451694209652</v>
      </c>
    </row>
    <row r="12" spans="1:7">
      <c r="A12" s="7">
        <v>42613</v>
      </c>
      <c r="B12" s="1">
        <v>0.33333333333333298</v>
      </c>
      <c r="C12" s="2">
        <v>8307.4</v>
      </c>
      <c r="D12" s="2">
        <v>6</v>
      </c>
      <c r="E12" s="3">
        <f t="shared" si="0"/>
        <v>0.10051168024557307</v>
      </c>
      <c r="F12" s="4">
        <f t="shared" si="1"/>
        <v>743.25219138504849</v>
      </c>
    </row>
    <row r="13" spans="1:7">
      <c r="A13" s="7">
        <v>42614</v>
      </c>
      <c r="B13" s="1">
        <v>0.33333333333333298</v>
      </c>
      <c r="C13" s="2">
        <v>8311.2999999999993</v>
      </c>
      <c r="D13" s="2">
        <v>6.1</v>
      </c>
      <c r="E13" s="3">
        <f t="shared" si="0"/>
        <v>0.10014142468683225</v>
      </c>
      <c r="F13" s="4">
        <f t="shared" si="1"/>
        <v>743.2144253180569</v>
      </c>
    </row>
    <row r="14" spans="1:7">
      <c r="A14" s="7">
        <v>42615</v>
      </c>
      <c r="B14" s="1">
        <v>0.33333333333333298</v>
      </c>
      <c r="C14" s="2">
        <v>8305.4</v>
      </c>
      <c r="D14" s="2">
        <v>6.1</v>
      </c>
      <c r="E14" s="3">
        <f t="shared" si="0"/>
        <v>0.10116627946055885</v>
      </c>
      <c r="F14" s="4">
        <f t="shared" si="1"/>
        <v>743.31896050497699</v>
      </c>
    </row>
    <row r="15" spans="1:7">
      <c r="A15" s="7">
        <v>42623</v>
      </c>
      <c r="B15" s="1">
        <v>0.33333333333333298</v>
      </c>
      <c r="C15" s="2">
        <v>8291.2999999999993</v>
      </c>
      <c r="D15" s="2">
        <v>6.3</v>
      </c>
      <c r="E15" s="3">
        <f t="shared" si="0"/>
        <v>0.10422992503808436</v>
      </c>
      <c r="F15" s="4">
        <f t="shared" si="1"/>
        <v>743.63145235388458</v>
      </c>
    </row>
    <row r="16" spans="1:7">
      <c r="A16" s="7">
        <v>42633</v>
      </c>
      <c r="B16" s="1">
        <v>0.33333333333333331</v>
      </c>
      <c r="C16" s="2">
        <v>8284.4</v>
      </c>
      <c r="D16" s="2">
        <v>6.7</v>
      </c>
      <c r="E16" s="3">
        <f t="shared" si="0"/>
        <v>0.10665728010062457</v>
      </c>
      <c r="F16" s="4">
        <f t="shared" si="1"/>
        <v>743.87904257026366</v>
      </c>
    </row>
    <row r="17" spans="1:6">
      <c r="A17" s="7">
        <v>42643</v>
      </c>
      <c r="B17" s="1">
        <v>0.33333333333333331</v>
      </c>
      <c r="C17" s="2">
        <v>8317.7000000000007</v>
      </c>
      <c r="D17" s="2">
        <v>7.2</v>
      </c>
      <c r="E17" s="3">
        <f t="shared" si="0"/>
        <v>0.10240881587864638</v>
      </c>
      <c r="F17" s="4">
        <f t="shared" si="1"/>
        <v>743.44569921962193</v>
      </c>
    </row>
    <row r="18" spans="1:6">
      <c r="A18" s="27">
        <v>42653</v>
      </c>
      <c r="B18" s="1">
        <v>0.33333333333333331</v>
      </c>
      <c r="C18" s="2">
        <v>8353</v>
      </c>
      <c r="D18" s="2">
        <v>7.4</v>
      </c>
      <c r="E18" s="3">
        <f t="shared" si="0"/>
        <v>9.6891685822754772E-2</v>
      </c>
      <c r="F18" s="4">
        <f t="shared" si="1"/>
        <v>742.88295195392095</v>
      </c>
    </row>
    <row r="19" spans="1:6">
      <c r="A19" s="7">
        <v>42846</v>
      </c>
      <c r="B19" s="1">
        <v>0.54166666666666663</v>
      </c>
      <c r="C19" s="2">
        <v>8352.7999999999993</v>
      </c>
      <c r="D19" s="2">
        <v>7.8</v>
      </c>
      <c r="E19" s="3">
        <f t="shared" si="0"/>
        <v>9.8155183538832277E-2</v>
      </c>
      <c r="F19" s="4">
        <f t="shared" si="1"/>
        <v>743.01182872096092</v>
      </c>
    </row>
    <row r="20" spans="1:6">
      <c r="A20" s="7">
        <v>42855</v>
      </c>
      <c r="B20" s="1">
        <v>0.33333333333333331</v>
      </c>
      <c r="C20" s="2">
        <v>8354.7999999999993</v>
      </c>
      <c r="D20" s="2">
        <v>7.8</v>
      </c>
      <c r="E20" s="3">
        <f t="shared" si="0"/>
        <v>9.7807798847497171E-2</v>
      </c>
      <c r="F20" s="4">
        <f t="shared" si="1"/>
        <v>742.97639548244467</v>
      </c>
    </row>
    <row r="21" spans="1:6">
      <c r="A21" s="7">
        <v>42865</v>
      </c>
      <c r="B21" s="1">
        <v>0.33333333333333331</v>
      </c>
      <c r="C21" s="2">
        <v>8334.2999999999993</v>
      </c>
      <c r="D21" s="2">
        <v>7.8</v>
      </c>
      <c r="E21" s="3">
        <f t="shared" si="0"/>
        <v>0.10136854138750355</v>
      </c>
      <c r="F21" s="4">
        <f t="shared" si="1"/>
        <v>743.33959122152532</v>
      </c>
    </row>
    <row r="22" spans="1:6">
      <c r="A22" s="7">
        <v>42875</v>
      </c>
      <c r="B22" s="1">
        <v>0.33333333333333331</v>
      </c>
      <c r="C22" s="2">
        <v>8333.2999999999993</v>
      </c>
      <c r="D22" s="2">
        <v>7.7</v>
      </c>
      <c r="E22" s="3">
        <f t="shared" si="0"/>
        <v>0.1012350491491311</v>
      </c>
      <c r="F22" s="4">
        <f t="shared" si="1"/>
        <v>743.3259750132114</v>
      </c>
    </row>
    <row r="23" spans="1:6">
      <c r="A23" s="6">
        <v>42885</v>
      </c>
      <c r="B23" s="1">
        <v>0.33333333333333331</v>
      </c>
      <c r="C23" s="2">
        <v>8350.2999999999993</v>
      </c>
      <c r="D23" s="2">
        <v>7.7</v>
      </c>
      <c r="E23" s="3">
        <f t="shared" si="0"/>
        <v>9.8282226069989972E-2</v>
      </c>
      <c r="F23" s="4">
        <f t="shared" si="1"/>
        <v>743.02478705913893</v>
      </c>
    </row>
    <row r="24" spans="1:6">
      <c r="A24" s="6">
        <v>42896</v>
      </c>
      <c r="B24" s="1">
        <v>0.33333333333333331</v>
      </c>
      <c r="C24" s="2">
        <v>8350.9</v>
      </c>
      <c r="D24" s="2">
        <v>7.6</v>
      </c>
      <c r="E24" s="3">
        <f t="shared" si="0"/>
        <v>9.7870820361857139E-2</v>
      </c>
      <c r="F24" s="4">
        <f t="shared" si="1"/>
        <v>742.98282367690945</v>
      </c>
    </row>
    <row r="25" spans="1:6">
      <c r="A25" s="7">
        <v>42906</v>
      </c>
      <c r="B25" s="9">
        <v>0.33333333333333331</v>
      </c>
      <c r="C25" s="2">
        <v>8347.7999999999993</v>
      </c>
      <c r="D25" s="2">
        <v>7.6</v>
      </c>
      <c r="E25" s="3">
        <f t="shared" si="0"/>
        <v>9.8409270231135118E-2</v>
      </c>
      <c r="F25" s="4">
        <f t="shared" si="1"/>
        <v>743.03774556357575</v>
      </c>
    </row>
    <row r="26" spans="1:6">
      <c r="A26" s="7">
        <v>42916</v>
      </c>
      <c r="B26" s="9">
        <v>0.33333333333333331</v>
      </c>
      <c r="C26" s="2">
        <v>8340.4</v>
      </c>
      <c r="D26" s="2">
        <v>7.5</v>
      </c>
      <c r="E26" s="3">
        <f t="shared" si="0"/>
        <v>9.9387422509155679E-2</v>
      </c>
      <c r="F26" s="4">
        <f t="shared" si="1"/>
        <v>743.13751709593384</v>
      </c>
    </row>
    <row r="27" spans="1:6">
      <c r="A27" s="7">
        <v>42926</v>
      </c>
      <c r="B27" s="9">
        <v>0.33333333333333331</v>
      </c>
      <c r="C27" s="2">
        <v>8351.2000000000007</v>
      </c>
      <c r="D27" s="2">
        <v>7.5</v>
      </c>
      <c r="E27" s="3">
        <f t="shared" si="0"/>
        <v>9.7511522642998241E-2</v>
      </c>
      <c r="F27" s="4">
        <f t="shared" si="1"/>
        <v>742.94617530958578</v>
      </c>
    </row>
    <row r="28" spans="1:6">
      <c r="A28" s="7">
        <v>42936</v>
      </c>
      <c r="B28" s="9">
        <v>0.33333333333333331</v>
      </c>
      <c r="C28" s="2">
        <v>8349</v>
      </c>
      <c r="D28" s="2">
        <v>7.4</v>
      </c>
      <c r="E28" s="3">
        <f t="shared" si="0"/>
        <v>9.7586458126362921E-2</v>
      </c>
      <c r="F28" s="4">
        <f t="shared" si="1"/>
        <v>742.95381872888902</v>
      </c>
    </row>
    <row r="29" spans="1:6">
      <c r="A29" s="7">
        <v>42946</v>
      </c>
      <c r="B29" s="1">
        <v>0.33333333333333331</v>
      </c>
      <c r="C29" s="2">
        <v>8353.7000000000007</v>
      </c>
      <c r="D29" s="2">
        <v>7.4</v>
      </c>
      <c r="E29" s="3">
        <f t="shared" si="0"/>
        <v>9.6770101098636055E-2</v>
      </c>
      <c r="F29" s="4">
        <f t="shared" si="1"/>
        <v>742.87055031206091</v>
      </c>
    </row>
    <row r="30" spans="1:6">
      <c r="A30" s="7">
        <v>42957</v>
      </c>
      <c r="B30" s="1">
        <v>0.33333333333333331</v>
      </c>
      <c r="C30" s="2">
        <v>8345.6</v>
      </c>
      <c r="D30" s="2">
        <v>7.3</v>
      </c>
      <c r="E30" s="3">
        <f t="shared" si="0"/>
        <v>9.7869828065268463E-2</v>
      </c>
      <c r="F30" s="4">
        <f t="shared" si="1"/>
        <v>742.98272246265742</v>
      </c>
    </row>
    <row r="31" spans="1:6">
      <c r="A31" s="7">
        <v>42967</v>
      </c>
      <c r="B31" s="1">
        <v>0.33333333333333331</v>
      </c>
      <c r="C31" s="2">
        <v>8350.2999999999993</v>
      </c>
      <c r="D31" s="2">
        <v>7.9</v>
      </c>
      <c r="E31" s="3">
        <f t="shared" si="0"/>
        <v>9.8896605669989965E-2</v>
      </c>
      <c r="F31" s="4">
        <f t="shared" si="1"/>
        <v>743.08745377833895</v>
      </c>
    </row>
    <row r="32" spans="1:6">
      <c r="A32" s="7">
        <v>42977</v>
      </c>
      <c r="B32" s="1">
        <v>0.33333333333333331</v>
      </c>
      <c r="C32" s="2">
        <v>8343.6</v>
      </c>
      <c r="D32" s="2">
        <v>7.4</v>
      </c>
      <c r="E32" s="3">
        <f t="shared" si="0"/>
        <v>9.8524407355287016E-2</v>
      </c>
      <c r="F32" s="4">
        <f t="shared" si="1"/>
        <v>743.04948955023929</v>
      </c>
    </row>
    <row r="33" spans="1:6">
      <c r="A33" s="7">
        <v>42988</v>
      </c>
      <c r="B33" s="1">
        <v>0.33333333333333331</v>
      </c>
      <c r="C33" s="2">
        <v>8340.2999999999993</v>
      </c>
      <c r="D33" s="2">
        <v>7.2</v>
      </c>
      <c r="E33" s="3">
        <f t="shared" si="0"/>
        <v>9.8483222694495956E-2</v>
      </c>
      <c r="F33" s="4">
        <f t="shared" si="1"/>
        <v>743.04528871483853</v>
      </c>
    </row>
    <row r="34" spans="1:6">
      <c r="A34" s="7">
        <v>42998</v>
      </c>
      <c r="B34" s="1">
        <v>0.33333333333333331</v>
      </c>
      <c r="C34" s="2">
        <v>8346.2000000000007</v>
      </c>
      <c r="D34" s="2">
        <v>7.2</v>
      </c>
      <c r="E34" s="3">
        <f t="shared" si="0"/>
        <v>9.745842162168529E-2</v>
      </c>
      <c r="F34" s="4">
        <f t="shared" si="1"/>
        <v>742.94075900541191</v>
      </c>
    </row>
    <row r="35" spans="1:6">
      <c r="A35" s="7">
        <v>43008</v>
      </c>
      <c r="B35" s="1">
        <v>0.33333333333333331</v>
      </c>
      <c r="C35" s="2">
        <v>8351.4</v>
      </c>
      <c r="D35" s="2">
        <v>7.4</v>
      </c>
      <c r="E35" s="3">
        <f t="shared" si="0"/>
        <v>9.7169594243465954E-2</v>
      </c>
      <c r="F35" s="4">
        <f t="shared" si="1"/>
        <v>742.91129861283355</v>
      </c>
    </row>
    <row r="36" spans="1:6">
      <c r="A36" s="7">
        <v>43018</v>
      </c>
      <c r="B36" s="1">
        <v>0.33333333333333331</v>
      </c>
      <c r="C36" s="2">
        <v>8344.5</v>
      </c>
      <c r="D36" s="2">
        <v>7.1</v>
      </c>
      <c r="E36" s="3">
        <f t="shared" si="0"/>
        <v>9.7446512555683498E-2</v>
      </c>
      <c r="F36" s="4">
        <f t="shared" si="1"/>
        <v>742.93954428067968</v>
      </c>
    </row>
    <row r="37" spans="1:6">
      <c r="A37" s="7">
        <v>43230</v>
      </c>
      <c r="B37" s="1">
        <v>0.33333333333333331</v>
      </c>
      <c r="C37" s="2">
        <v>8349.1</v>
      </c>
      <c r="D37" s="2">
        <v>6.9</v>
      </c>
      <c r="E37" s="3">
        <f t="shared" si="0"/>
        <v>9.6033139767917178E-2</v>
      </c>
      <c r="F37" s="4">
        <f t="shared" si="1"/>
        <v>742.79538025632758</v>
      </c>
    </row>
    <row r="38" spans="1:6">
      <c r="A38" s="7">
        <v>43240</v>
      </c>
      <c r="B38" s="1">
        <v>0.33333333333333331</v>
      </c>
      <c r="C38" s="2">
        <v>8351.7999999999993</v>
      </c>
      <c r="D38" s="2">
        <v>7</v>
      </c>
      <c r="E38" s="3">
        <f t="shared" si="0"/>
        <v>9.5871357875696797E-2</v>
      </c>
      <c r="F38" s="4">
        <f t="shared" si="1"/>
        <v>742.77887850332104</v>
      </c>
    </row>
    <row r="39" spans="1:6">
      <c r="A39" s="7">
        <v>43250</v>
      </c>
      <c r="B39" s="1">
        <v>0.33333333333333331</v>
      </c>
      <c r="C39" s="2">
        <v>8348.6</v>
      </c>
      <c r="D39" s="2">
        <v>7.2</v>
      </c>
      <c r="E39" s="3">
        <f t="shared" si="0"/>
        <v>9.7041555986225783E-2</v>
      </c>
      <c r="F39" s="4">
        <f t="shared" si="1"/>
        <v>742.89823871059502</v>
      </c>
    </row>
    <row r="40" spans="1:6">
      <c r="A40" s="7">
        <v>43261</v>
      </c>
      <c r="B40" s="1">
        <v>0.33333333333333331</v>
      </c>
      <c r="C40" s="2">
        <v>8338.4</v>
      </c>
      <c r="D40" s="2">
        <v>7.1</v>
      </c>
      <c r="E40" s="3">
        <f t="shared" si="0"/>
        <v>9.8506055511473525E-2</v>
      </c>
      <c r="F40" s="4">
        <f t="shared" si="1"/>
        <v>743.0476176621703</v>
      </c>
    </row>
    <row r="41" spans="1:6">
      <c r="A41" s="7">
        <v>43271</v>
      </c>
      <c r="B41" s="1">
        <v>0.33333333333333331</v>
      </c>
      <c r="C41" s="2">
        <v>8281.4</v>
      </c>
      <c r="D41" s="2">
        <v>7.1</v>
      </c>
      <c r="E41" s="3">
        <f t="shared" si="0"/>
        <v>0.10840717180936212</v>
      </c>
      <c r="F41" s="4">
        <f t="shared" si="1"/>
        <v>744.05753152455497</v>
      </c>
    </row>
    <row r="42" spans="1:6">
      <c r="A42" s="7">
        <v>43281</v>
      </c>
      <c r="B42" s="1">
        <v>0.33333333333333331</v>
      </c>
      <c r="C42" s="2">
        <v>8292.2999999999993</v>
      </c>
      <c r="D42" s="2">
        <v>7.2</v>
      </c>
      <c r="E42" s="3">
        <f t="shared" si="0"/>
        <v>0.1068209247229407</v>
      </c>
      <c r="F42" s="4">
        <f t="shared" si="1"/>
        <v>743.89573432173995</v>
      </c>
    </row>
    <row r="43" spans="1:6">
      <c r="A43" s="7">
        <v>43291</v>
      </c>
      <c r="B43" s="1">
        <v>0.33333333333333331</v>
      </c>
      <c r="C43" s="2">
        <v>8307.7999999999993</v>
      </c>
      <c r="D43" s="2">
        <v>7.1</v>
      </c>
      <c r="E43" s="3">
        <f t="shared" si="0"/>
        <v>0.10382128628775934</v>
      </c>
      <c r="F43" s="4">
        <f t="shared" si="1"/>
        <v>743.58977120135148</v>
      </c>
    </row>
    <row r="44" spans="1:6">
      <c r="A44" s="7">
        <v>43301</v>
      </c>
      <c r="B44" s="1">
        <v>0.33333333333333331</v>
      </c>
      <c r="C44" s="2">
        <v>8321.7999999999993</v>
      </c>
      <c r="D44" s="2">
        <v>7.7</v>
      </c>
      <c r="E44" s="3">
        <f t="shared" si="0"/>
        <v>0.10323258985270482</v>
      </c>
      <c r="F44" s="4">
        <f t="shared" si="1"/>
        <v>743.52972416497585</v>
      </c>
    </row>
    <row r="45" spans="1:6">
      <c r="A45" s="7">
        <v>43311</v>
      </c>
      <c r="B45" s="1">
        <v>0.33333333333333331</v>
      </c>
      <c r="C45" s="2">
        <v>8319.4</v>
      </c>
      <c r="D45" s="2">
        <v>7.1</v>
      </c>
      <c r="E45" s="3">
        <f t="shared" si="0"/>
        <v>0.10180633346269165</v>
      </c>
      <c r="F45" s="4">
        <f t="shared" si="1"/>
        <v>743.38424601319457</v>
      </c>
    </row>
    <row r="46" spans="1:6">
      <c r="A46" s="7">
        <v>43322</v>
      </c>
      <c r="B46" s="1">
        <v>0.33333333333333331</v>
      </c>
      <c r="C46" s="2">
        <v>8302.6</v>
      </c>
      <c r="D46" s="2">
        <v>7</v>
      </c>
      <c r="E46" s="3">
        <f t="shared" si="0"/>
        <v>0.10441736259410107</v>
      </c>
      <c r="F46" s="4">
        <f t="shared" si="1"/>
        <v>743.65057098459829</v>
      </c>
    </row>
    <row r="47" spans="1:6">
      <c r="A47" s="7">
        <v>43332</v>
      </c>
      <c r="B47" s="1">
        <v>0.33333333333333331</v>
      </c>
      <c r="C47" s="2">
        <v>8313.1</v>
      </c>
      <c r="D47" s="2">
        <v>6.8</v>
      </c>
      <c r="E47" s="3">
        <f t="shared" ref="E47:E64" si="2">($B$2*C47^2+$B$3*C47+$B$4)-$B$5*D47-$E$7</f>
        <v>0.1019790875360763</v>
      </c>
      <c r="F47" s="4">
        <f t="shared" ref="F47:F64" si="3">$D$1+102*E47</f>
        <v>743.40186692867974</v>
      </c>
    </row>
    <row r="48" spans="1:6">
      <c r="A48" s="7">
        <v>43342</v>
      </c>
      <c r="B48" s="1">
        <v>0.33333333333333331</v>
      </c>
      <c r="C48" s="2">
        <v>8297.6</v>
      </c>
      <c r="D48" s="2">
        <v>6.7</v>
      </c>
      <c r="E48" s="3">
        <f t="shared" si="2"/>
        <v>0.10436432494670221</v>
      </c>
      <c r="F48" s="4">
        <f t="shared" si="3"/>
        <v>743.64516114456364</v>
      </c>
    </row>
    <row r="49" spans="1:6">
      <c r="A49" s="7">
        <v>43353</v>
      </c>
      <c r="B49" s="1">
        <v>0.33333333333333331</v>
      </c>
      <c r="C49" s="2">
        <v>8285.6</v>
      </c>
      <c r="D49" s="2">
        <v>6.9</v>
      </c>
      <c r="E49" s="3">
        <f t="shared" si="2"/>
        <v>0.10706320735434062</v>
      </c>
      <c r="F49" s="4">
        <f t="shared" si="3"/>
        <v>743.92044715014276</v>
      </c>
    </row>
    <row r="50" spans="1:6">
      <c r="A50" s="7">
        <v>43363</v>
      </c>
      <c r="B50" s="1">
        <v>0.33333333333333331</v>
      </c>
      <c r="C50" s="2">
        <v>8290.2000000000007</v>
      </c>
      <c r="D50" s="2">
        <v>7</v>
      </c>
      <c r="E50" s="3">
        <f t="shared" si="2"/>
        <v>0.10657133330596359</v>
      </c>
      <c r="F50" s="4">
        <f t="shared" si="3"/>
        <v>743.8702759972083</v>
      </c>
    </row>
    <row r="51" spans="1:6">
      <c r="A51" s="7">
        <v>43373</v>
      </c>
      <c r="B51" s="1">
        <v>0.33333333333333331</v>
      </c>
      <c r="C51" s="2">
        <v>8297.7000000000007</v>
      </c>
      <c r="D51" s="2">
        <v>6.7</v>
      </c>
      <c r="E51" s="3">
        <f t="shared" si="2"/>
        <v>0.10434695424775452</v>
      </c>
      <c r="F51" s="4">
        <f t="shared" si="3"/>
        <v>743.64338933327099</v>
      </c>
    </row>
    <row r="52" spans="1:6">
      <c r="A52" s="7">
        <v>43383</v>
      </c>
      <c r="B52" s="1">
        <v>0.33333333333333331</v>
      </c>
      <c r="C52" s="2">
        <v>8300.4</v>
      </c>
      <c r="D52" s="2">
        <v>6.5</v>
      </c>
      <c r="E52" s="3">
        <f t="shared" si="2"/>
        <v>0.10326356676198777</v>
      </c>
      <c r="F52" s="4">
        <f t="shared" si="3"/>
        <v>743.53288380972276</v>
      </c>
    </row>
    <row r="53" spans="1:6">
      <c r="A53" s="7">
        <v>43393</v>
      </c>
      <c r="B53" s="1">
        <v>0.33333333333333331</v>
      </c>
      <c r="C53" s="2">
        <v>8304.5</v>
      </c>
      <c r="D53" s="2">
        <v>6.2</v>
      </c>
      <c r="E53" s="3">
        <f t="shared" si="2"/>
        <v>0.1016298038376436</v>
      </c>
      <c r="F53" s="4">
        <f t="shared" si="3"/>
        <v>743.36623999143967</v>
      </c>
    </row>
    <row r="54" spans="1:6">
      <c r="A54" s="7">
        <v>43605</v>
      </c>
      <c r="B54" s="1">
        <v>0.33333333333333331</v>
      </c>
      <c r="C54" s="2">
        <v>8327.2000000000007</v>
      </c>
      <c r="D54" s="2">
        <v>5.7</v>
      </c>
      <c r="E54" s="3">
        <f t="shared" si="2"/>
        <v>9.615081392263998E-2</v>
      </c>
      <c r="F54" s="4">
        <f t="shared" si="3"/>
        <v>742.80738302010923</v>
      </c>
    </row>
    <row r="55" spans="1:6">
      <c r="A55" s="7">
        <v>43615</v>
      </c>
      <c r="B55" s="1">
        <v>0.33333333333333331</v>
      </c>
      <c r="C55" s="2">
        <v>8329.1</v>
      </c>
      <c r="D55" s="2">
        <v>5.9</v>
      </c>
      <c r="E55" s="3">
        <f t="shared" si="2"/>
        <v>9.6435165355880884E-2</v>
      </c>
      <c r="F55" s="4">
        <f t="shared" si="3"/>
        <v>742.8363868662999</v>
      </c>
    </row>
    <row r="56" spans="1:6">
      <c r="A56" s="7">
        <v>43626</v>
      </c>
      <c r="B56" s="1">
        <v>0.33333333333333331</v>
      </c>
      <c r="C56" s="2">
        <v>8331.4</v>
      </c>
      <c r="D56" s="2">
        <v>6.1</v>
      </c>
      <c r="E56" s="3">
        <f t="shared" si="2"/>
        <v>9.6650038434722044E-2</v>
      </c>
      <c r="F56" s="4">
        <f t="shared" si="3"/>
        <v>742.85830392034165</v>
      </c>
    </row>
    <row r="57" spans="1:6">
      <c r="A57" s="7">
        <v>43636</v>
      </c>
      <c r="B57" s="1">
        <v>0.33333333333333331</v>
      </c>
      <c r="C57" s="2">
        <v>8332.6</v>
      </c>
      <c r="D57" s="2">
        <v>6.1</v>
      </c>
      <c r="E57" s="3">
        <f t="shared" si="2"/>
        <v>9.6441600797445196E-2</v>
      </c>
      <c r="F57" s="4">
        <f t="shared" si="3"/>
        <v>742.83704328133945</v>
      </c>
    </row>
    <row r="58" spans="1:6">
      <c r="A58" s="7">
        <v>43646</v>
      </c>
      <c r="B58" s="1">
        <v>0.33333333333333331</v>
      </c>
      <c r="C58" s="2">
        <v>8340.1</v>
      </c>
      <c r="D58" s="2">
        <v>6.2</v>
      </c>
      <c r="E58" s="3">
        <f t="shared" si="2"/>
        <v>9.5446063872999767E-2</v>
      </c>
      <c r="F58" s="4">
        <f t="shared" si="3"/>
        <v>742.73549851504595</v>
      </c>
    </row>
    <row r="59" spans="1:6">
      <c r="A59" s="7">
        <v>43656</v>
      </c>
      <c r="B59" s="1">
        <v>0.33333333333333331</v>
      </c>
      <c r="C59" s="2">
        <v>8345.2999999999993</v>
      </c>
      <c r="D59" s="2">
        <v>6.2</v>
      </c>
      <c r="E59" s="3">
        <f t="shared" si="2"/>
        <v>9.4542848622267986E-2</v>
      </c>
      <c r="F59" s="4">
        <f t="shared" si="3"/>
        <v>742.64337055947135</v>
      </c>
    </row>
    <row r="60" spans="1:6">
      <c r="A60" s="7">
        <v>43666</v>
      </c>
      <c r="B60" s="1">
        <v>0.33333333333333331</v>
      </c>
      <c r="C60" s="2">
        <v>8339.2000000000007</v>
      </c>
      <c r="D60" s="2">
        <v>6.4</v>
      </c>
      <c r="E60" s="3">
        <f t="shared" si="2"/>
        <v>9.6216769905363195E-2</v>
      </c>
      <c r="F60" s="4">
        <f t="shared" si="3"/>
        <v>742.81411053034708</v>
      </c>
    </row>
    <row r="61" spans="1:6">
      <c r="A61" s="7">
        <v>43676</v>
      </c>
      <c r="B61" s="1">
        <v>0.33333333333333331</v>
      </c>
      <c r="C61" s="2">
        <v>8319.6</v>
      </c>
      <c r="D61" s="2">
        <v>6.3</v>
      </c>
      <c r="E61" s="3">
        <f t="shared" si="2"/>
        <v>9.9314074804483496E-2</v>
      </c>
      <c r="F61" s="4">
        <f t="shared" si="3"/>
        <v>743.13003563005736</v>
      </c>
    </row>
    <row r="62" spans="1:6">
      <c r="A62" s="7">
        <v>43687</v>
      </c>
      <c r="B62" s="1">
        <v>0.33333333333333331</v>
      </c>
      <c r="C62" s="2">
        <v>8305.2999999999993</v>
      </c>
      <c r="D62" s="2">
        <v>6.5</v>
      </c>
      <c r="E62" s="3">
        <f t="shared" si="2"/>
        <v>0.10241240915869208</v>
      </c>
      <c r="F62" s="4">
        <f t="shared" si="3"/>
        <v>743.44606573418662</v>
      </c>
    </row>
    <row r="63" spans="1:6">
      <c r="A63" s="7">
        <v>43697</v>
      </c>
      <c r="B63" s="1">
        <v>0.33333333333333331</v>
      </c>
      <c r="C63" s="2">
        <v>8290.7999999999993</v>
      </c>
      <c r="D63" s="2">
        <v>6.7</v>
      </c>
      <c r="E63" s="3">
        <f t="shared" si="2"/>
        <v>0.10554553859345527</v>
      </c>
      <c r="F63" s="4">
        <f t="shared" si="3"/>
        <v>743.76564493653245</v>
      </c>
    </row>
    <row r="64" spans="1:6">
      <c r="A64" s="7">
        <v>43707</v>
      </c>
      <c r="B64" s="1">
        <v>0.33333333333333331</v>
      </c>
      <c r="C64" s="2">
        <v>8267.7999999999993</v>
      </c>
      <c r="D64" s="2">
        <v>6.9</v>
      </c>
      <c r="E64" s="3">
        <f t="shared" si="2"/>
        <v>0.11015528902118334</v>
      </c>
      <c r="F64" s="4">
        <f t="shared" si="3"/>
        <v>744.23583948016073</v>
      </c>
    </row>
  </sheetData>
  <phoneticPr fontId="4" type="noConversion"/>
  <pageMargins left="0.69930555555555596" right="0.69930555555555596" top="0.75" bottom="0.75" header="0.3" footer="0.3"/>
  <pageSetup paperSize="9" orientation="portrait" verticalDpi="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4"/>
  <sheetViews>
    <sheetView topLeftCell="A42" workbookViewId="0">
      <selection activeCell="A58" sqref="A58:B64"/>
    </sheetView>
  </sheetViews>
  <sheetFormatPr defaultColWidth="9" defaultRowHeight="13.5"/>
  <cols>
    <col min="1" max="1" width="11.375" customWidth="1"/>
    <col min="2" max="2" width="13.875" customWidth="1"/>
  </cols>
  <sheetData>
    <row r="1" spans="1:7">
      <c r="A1" t="s">
        <v>0</v>
      </c>
      <c r="B1">
        <v>11262</v>
      </c>
      <c r="C1" t="s">
        <v>1</v>
      </c>
      <c r="D1">
        <v>728</v>
      </c>
    </row>
    <row r="2" spans="1:7">
      <c r="A2" t="s">
        <v>2</v>
      </c>
      <c r="B2" s="10">
        <v>7.0191100000000002E-10</v>
      </c>
    </row>
    <row r="3" spans="1:7">
      <c r="A3" t="s">
        <v>3</v>
      </c>
      <c r="B3">
        <v>-1.9717899999999999E-4</v>
      </c>
    </row>
    <row r="4" spans="1:7">
      <c r="A4" t="s">
        <v>4</v>
      </c>
      <c r="B4">
        <v>1.9069456899999999</v>
      </c>
    </row>
    <row r="5" spans="1:7">
      <c r="A5" t="s">
        <v>5</v>
      </c>
      <c r="B5">
        <v>-3.3424549999999998E-3</v>
      </c>
    </row>
    <row r="6" spans="1:7">
      <c r="A6" t="s">
        <v>6</v>
      </c>
      <c r="B6" t="s">
        <v>7</v>
      </c>
      <c r="C6" t="s">
        <v>8</v>
      </c>
      <c r="D6" t="s">
        <v>9</v>
      </c>
      <c r="E6" t="s">
        <v>10</v>
      </c>
      <c r="F6" t="s">
        <v>11</v>
      </c>
      <c r="G6" t="s">
        <v>12</v>
      </c>
    </row>
    <row r="7" spans="1:7">
      <c r="A7" s="7">
        <v>42608</v>
      </c>
      <c r="B7" s="1">
        <v>0.72916666666666696</v>
      </c>
      <c r="C7" s="2">
        <v>9949.2000000000007</v>
      </c>
      <c r="D7" s="2">
        <v>17.399999999999999</v>
      </c>
      <c r="E7" s="3">
        <f>($B$2*C7^2+$B$3*C7+$B$4)-$B$5*D7</f>
        <v>7.2810870003603007E-2</v>
      </c>
      <c r="G7" t="s">
        <v>13</v>
      </c>
    </row>
    <row r="8" spans="1:7">
      <c r="A8" s="7">
        <v>42609</v>
      </c>
      <c r="B8" s="1">
        <v>0.39583333333333298</v>
      </c>
      <c r="C8" s="2">
        <v>8946.7999999999993</v>
      </c>
      <c r="D8" s="2">
        <v>7.5</v>
      </c>
      <c r="E8" s="3">
        <f t="shared" ref="E8:E46" si="0">($B$2*C8^2+$B$3*C8+$B$4)-$B$5*D8-$E$7</f>
        <v>0.15126678289938583</v>
      </c>
      <c r="F8" s="4">
        <f>$D$1+102*E8</f>
        <v>743.42921185573732</v>
      </c>
      <c r="G8" t="s">
        <v>14</v>
      </c>
    </row>
    <row r="9" spans="1:7">
      <c r="A9" s="7">
        <v>42610</v>
      </c>
      <c r="B9" s="1">
        <v>0.33333333333333298</v>
      </c>
      <c r="C9" s="2">
        <v>9036.2999999999993</v>
      </c>
      <c r="D9" s="2">
        <v>7.2</v>
      </c>
      <c r="E9" s="3">
        <f t="shared" si="0"/>
        <v>0.13374624284490277</v>
      </c>
      <c r="F9" s="4">
        <f t="shared" ref="F9:F46" si="1">$D$1+102*E9</f>
        <v>741.64211677018011</v>
      </c>
    </row>
    <row r="10" spans="1:7">
      <c r="A10" s="7">
        <v>42611</v>
      </c>
      <c r="B10" s="1">
        <v>0.33333333333333298</v>
      </c>
      <c r="C10" s="2">
        <v>9105.7000000000007</v>
      </c>
      <c r="D10" s="2">
        <v>6.7</v>
      </c>
      <c r="E10" s="3">
        <f t="shared" si="0"/>
        <v>0.11927453715862538</v>
      </c>
      <c r="F10" s="4">
        <f t="shared" si="1"/>
        <v>740.16600279017985</v>
      </c>
    </row>
    <row r="11" spans="1:7">
      <c r="A11" s="7">
        <v>42612</v>
      </c>
      <c r="B11" s="1">
        <v>0.33333333333333298</v>
      </c>
      <c r="C11" s="2">
        <v>9166.5</v>
      </c>
      <c r="D11" s="2">
        <v>6.1</v>
      </c>
      <c r="E11" s="3">
        <f t="shared" si="0"/>
        <v>0.10606036881561676</v>
      </c>
      <c r="F11" s="4">
        <f t="shared" si="1"/>
        <v>738.8181576191929</v>
      </c>
    </row>
    <row r="12" spans="1:7">
      <c r="A12" s="7">
        <v>42613</v>
      </c>
      <c r="B12" s="1">
        <v>0.33333333333333298</v>
      </c>
      <c r="C12" s="2">
        <v>9170.4</v>
      </c>
      <c r="D12" s="2">
        <v>6.2</v>
      </c>
      <c r="E12" s="3">
        <f t="shared" si="0"/>
        <v>0.105675812615699</v>
      </c>
      <c r="F12" s="4">
        <f t="shared" si="1"/>
        <v>738.77893288680127</v>
      </c>
    </row>
    <row r="13" spans="1:7">
      <c r="A13" s="7">
        <v>42614</v>
      </c>
      <c r="B13" s="1">
        <v>0.33333333333333298</v>
      </c>
      <c r="C13" s="2">
        <v>9175.7000000000007</v>
      </c>
      <c r="D13" s="2">
        <v>6.1</v>
      </c>
      <c r="E13" s="3">
        <f t="shared" si="0"/>
        <v>0.10436476826150343</v>
      </c>
      <c r="F13" s="4">
        <f t="shared" si="1"/>
        <v>738.64520636267332</v>
      </c>
    </row>
    <row r="14" spans="1:7">
      <c r="A14" s="7">
        <v>42615</v>
      </c>
      <c r="B14" s="1">
        <v>0.33333333333333298</v>
      </c>
      <c r="C14" s="2">
        <v>9169.9</v>
      </c>
      <c r="D14" s="2">
        <v>6.1</v>
      </c>
      <c r="E14" s="3">
        <f t="shared" si="0"/>
        <v>0.10543371998654205</v>
      </c>
      <c r="F14" s="4">
        <f t="shared" si="1"/>
        <v>738.75423943862734</v>
      </c>
    </row>
    <row r="15" spans="1:7">
      <c r="A15" s="7">
        <v>42623</v>
      </c>
      <c r="B15" s="1">
        <v>0.33333333333333298</v>
      </c>
      <c r="C15" s="2">
        <v>9156.2999999999993</v>
      </c>
      <c r="D15" s="2">
        <v>6.3</v>
      </c>
      <c r="E15" s="3">
        <f t="shared" si="0"/>
        <v>0.10860890367193457</v>
      </c>
      <c r="F15" s="4">
        <f t="shared" si="1"/>
        <v>739.07810817453731</v>
      </c>
    </row>
    <row r="16" spans="1:7">
      <c r="A16" s="7">
        <v>42633</v>
      </c>
      <c r="B16" s="1">
        <v>0.33333333333333331</v>
      </c>
      <c r="C16" s="2">
        <v>9149.2999999999993</v>
      </c>
      <c r="D16" s="2">
        <v>6.6</v>
      </c>
      <c r="E16" s="3">
        <f t="shared" si="0"/>
        <v>0.11090195085792351</v>
      </c>
      <c r="F16" s="4">
        <f t="shared" si="1"/>
        <v>739.31199898750822</v>
      </c>
    </row>
    <row r="17" spans="1:6">
      <c r="A17" s="7">
        <v>42643</v>
      </c>
      <c r="B17" s="1">
        <v>0.33333333333333331</v>
      </c>
      <c r="C17" s="2">
        <v>9180.6</v>
      </c>
      <c r="D17" s="2">
        <v>7</v>
      </c>
      <c r="E17" s="3">
        <f t="shared" si="0"/>
        <v>0.10646993465706087</v>
      </c>
      <c r="F17" s="4">
        <f t="shared" si="1"/>
        <v>738.85993333502017</v>
      </c>
    </row>
    <row r="18" spans="1:6">
      <c r="A18" s="27">
        <v>42653</v>
      </c>
      <c r="B18" s="1">
        <v>0.33333333333333331</v>
      </c>
      <c r="C18" s="2">
        <v>9215.4</v>
      </c>
      <c r="D18" s="2">
        <v>7.3</v>
      </c>
      <c r="E18" s="3">
        <f t="shared" si="0"/>
        <v>0.10106019190256982</v>
      </c>
      <c r="F18" s="4">
        <f t="shared" si="1"/>
        <v>738.30813957406212</v>
      </c>
    </row>
    <row r="19" spans="1:6">
      <c r="A19" s="7">
        <v>42846</v>
      </c>
      <c r="B19" s="1">
        <v>0.54166666666666663</v>
      </c>
      <c r="C19" s="2">
        <v>9219.2999999999993</v>
      </c>
      <c r="D19" s="2">
        <v>7.9</v>
      </c>
      <c r="E19" s="3">
        <f t="shared" si="0"/>
        <v>0.10234713092554545</v>
      </c>
      <c r="F19" s="4">
        <f t="shared" si="1"/>
        <v>738.4394073544056</v>
      </c>
    </row>
    <row r="20" spans="1:6">
      <c r="A20" s="7">
        <v>42855</v>
      </c>
      <c r="B20" s="1">
        <v>0.33333333333333331</v>
      </c>
      <c r="C20" s="2">
        <v>9221.5</v>
      </c>
      <c r="D20" s="2">
        <v>7.9</v>
      </c>
      <c r="E20" s="3">
        <f t="shared" si="0"/>
        <v>0.10194181348635675</v>
      </c>
      <c r="F20" s="4">
        <f t="shared" si="1"/>
        <v>738.39806497560835</v>
      </c>
    </row>
    <row r="21" spans="1:6">
      <c r="A21" s="7">
        <v>42865</v>
      </c>
      <c r="B21" s="1">
        <v>0.33333333333333331</v>
      </c>
      <c r="C21" s="2">
        <v>9202</v>
      </c>
      <c r="D21" s="2">
        <v>7.9</v>
      </c>
      <c r="E21" s="3">
        <f t="shared" si="0"/>
        <v>0.10553463666884097</v>
      </c>
      <c r="F21" s="4">
        <f t="shared" si="1"/>
        <v>738.76453294022178</v>
      </c>
    </row>
    <row r="22" spans="1:6">
      <c r="A22" s="7">
        <v>42875</v>
      </c>
      <c r="B22" s="1">
        <v>0.33333333333333331</v>
      </c>
      <c r="C22" s="2">
        <v>9201.4</v>
      </c>
      <c r="D22" s="2">
        <v>7.9</v>
      </c>
      <c r="E22" s="3">
        <f t="shared" si="0"/>
        <v>0.10564519353950261</v>
      </c>
      <c r="F22" s="4">
        <f t="shared" si="1"/>
        <v>738.77580974102932</v>
      </c>
    </row>
    <row r="23" spans="1:6">
      <c r="A23" s="6">
        <v>42885</v>
      </c>
      <c r="B23" s="1">
        <v>0.33333333333333331</v>
      </c>
      <c r="C23" s="2">
        <v>9217.7999999999993</v>
      </c>
      <c r="D23" s="2">
        <v>7.8</v>
      </c>
      <c r="E23" s="3">
        <f t="shared" si="0"/>
        <v>0.1022892421205982</v>
      </c>
      <c r="F23" s="4">
        <f t="shared" si="1"/>
        <v>738.43350269630105</v>
      </c>
    </row>
    <row r="24" spans="1:6">
      <c r="A24" s="6">
        <v>42896</v>
      </c>
      <c r="B24" s="1">
        <v>0.33333333333333331</v>
      </c>
      <c r="C24" s="2">
        <v>9218.4</v>
      </c>
      <c r="D24" s="2">
        <v>7.8</v>
      </c>
      <c r="E24" s="3">
        <f t="shared" si="0"/>
        <v>0.10217869906354526</v>
      </c>
      <c r="F24" s="4">
        <f t="shared" si="1"/>
        <v>738.42222730448157</v>
      </c>
    </row>
    <row r="25" spans="1:6">
      <c r="A25" s="7">
        <v>42906</v>
      </c>
      <c r="B25" s="9">
        <v>0.33333333333333331</v>
      </c>
      <c r="C25" s="2">
        <v>9215.2999999999993</v>
      </c>
      <c r="D25" s="2">
        <v>7.7</v>
      </c>
      <c r="E25" s="3">
        <f t="shared" si="0"/>
        <v>0.102415598131463</v>
      </c>
      <c r="F25" s="4">
        <f t="shared" si="1"/>
        <v>738.44639100940924</v>
      </c>
    </row>
    <row r="26" spans="1:6">
      <c r="A26" s="7">
        <v>42916</v>
      </c>
      <c r="B26" s="9">
        <v>0.33333333333333331</v>
      </c>
      <c r="C26" s="2">
        <v>9208.5</v>
      </c>
      <c r="D26" s="2">
        <v>7.7</v>
      </c>
      <c r="E26" s="3">
        <f t="shared" si="0"/>
        <v>0.10366847862986678</v>
      </c>
      <c r="F26" s="4">
        <f t="shared" si="1"/>
        <v>738.57418482024639</v>
      </c>
    </row>
    <row r="27" spans="1:6">
      <c r="A27" s="7">
        <v>42926</v>
      </c>
      <c r="B27" s="9">
        <v>0.33333333333333331</v>
      </c>
      <c r="C27" s="2">
        <v>9218.7000000000007</v>
      </c>
      <c r="D27" s="2">
        <v>7.6</v>
      </c>
      <c r="E27" s="3">
        <f t="shared" si="0"/>
        <v>0.10145493672453432</v>
      </c>
      <c r="F27" s="4">
        <f t="shared" si="1"/>
        <v>738.34840354590256</v>
      </c>
    </row>
    <row r="28" spans="1:6">
      <c r="A28" s="7">
        <v>42936</v>
      </c>
      <c r="B28" s="9">
        <v>0.33333333333333331</v>
      </c>
      <c r="C28" s="2">
        <v>9217.1</v>
      </c>
      <c r="D28" s="2">
        <v>7.6</v>
      </c>
      <c r="E28" s="3">
        <f t="shared" si="0"/>
        <v>0.10174971865923244</v>
      </c>
      <c r="F28" s="4">
        <f t="shared" si="1"/>
        <v>738.37847130324167</v>
      </c>
    </row>
    <row r="29" spans="1:6">
      <c r="A29" s="7">
        <v>42946</v>
      </c>
      <c r="B29" s="1">
        <v>0.33333333333333331</v>
      </c>
      <c r="C29" s="2">
        <v>9221.2000000000007</v>
      </c>
      <c r="D29" s="2">
        <v>7.6</v>
      </c>
      <c r="E29" s="3">
        <f t="shared" si="0"/>
        <v>0.10099434714615674</v>
      </c>
      <c r="F29" s="4">
        <f t="shared" si="1"/>
        <v>738.30142340890802</v>
      </c>
    </row>
    <row r="30" spans="1:6">
      <c r="A30" s="7">
        <v>42957</v>
      </c>
      <c r="B30" s="1">
        <v>0.33333333333333331</v>
      </c>
      <c r="C30" s="2">
        <v>9213.6</v>
      </c>
      <c r="D30" s="2">
        <v>7.8</v>
      </c>
      <c r="E30" s="3">
        <f t="shared" si="0"/>
        <v>0.10306305767049528</v>
      </c>
      <c r="F30" s="4">
        <f t="shared" si="1"/>
        <v>738.5124318823905</v>
      </c>
    </row>
    <row r="31" spans="1:6">
      <c r="A31" s="7">
        <v>42967</v>
      </c>
      <c r="B31" s="1">
        <v>0.33333333333333331</v>
      </c>
      <c r="C31" s="2">
        <v>9218.1</v>
      </c>
      <c r="D31" s="2">
        <v>7.3</v>
      </c>
      <c r="E31" s="3">
        <f t="shared" si="0"/>
        <v>0.10056274302889961</v>
      </c>
      <c r="F31" s="4">
        <f t="shared" si="1"/>
        <v>738.25739978894774</v>
      </c>
    </row>
    <row r="32" spans="1:6">
      <c r="A32" s="7">
        <v>42977</v>
      </c>
      <c r="B32" s="1">
        <v>0.33333333333333331</v>
      </c>
      <c r="C32" s="2">
        <v>9211.7999999999993</v>
      </c>
      <c r="D32" s="2">
        <v>7.9</v>
      </c>
      <c r="E32" s="3">
        <f t="shared" si="0"/>
        <v>0.10372894598680468</v>
      </c>
      <c r="F32" s="4">
        <f t="shared" si="1"/>
        <v>738.58035249065404</v>
      </c>
    </row>
    <row r="33" spans="1:6">
      <c r="A33" s="7">
        <v>42988</v>
      </c>
      <c r="B33" s="1">
        <v>0.33333333333333331</v>
      </c>
      <c r="C33" s="2">
        <v>9208.5</v>
      </c>
      <c r="D33" s="2">
        <v>7.5</v>
      </c>
      <c r="E33" s="3">
        <f t="shared" si="0"/>
        <v>0.10299998762986678</v>
      </c>
      <c r="F33" s="4">
        <f t="shared" si="1"/>
        <v>738.50599873824638</v>
      </c>
    </row>
    <row r="34" spans="1:6">
      <c r="A34" s="7">
        <v>42998</v>
      </c>
      <c r="B34" s="1">
        <v>0.33333333333333331</v>
      </c>
      <c r="C34" s="2">
        <v>9214.2000000000007</v>
      </c>
      <c r="D34" s="2">
        <v>7.4</v>
      </c>
      <c r="E34" s="3">
        <f t="shared" si="0"/>
        <v>0.10161552907581084</v>
      </c>
      <c r="F34" s="4">
        <f t="shared" si="1"/>
        <v>738.36478396573273</v>
      </c>
    </row>
    <row r="35" spans="1:6">
      <c r="A35" s="7">
        <v>43008</v>
      </c>
      <c r="B35" s="1">
        <v>0.33333333333333331</v>
      </c>
      <c r="C35" s="2">
        <v>9218.7000000000007</v>
      </c>
      <c r="D35" s="2">
        <v>7.1</v>
      </c>
      <c r="E35" s="3">
        <f t="shared" si="0"/>
        <v>9.9783709224534306E-2</v>
      </c>
      <c r="F35" s="4">
        <f t="shared" si="1"/>
        <v>738.17793834090253</v>
      </c>
    </row>
    <row r="36" spans="1:6">
      <c r="A36" s="7">
        <v>43018</v>
      </c>
      <c r="B36" s="1">
        <v>0.33333333333333331</v>
      </c>
      <c r="C36" s="2">
        <v>9212.5</v>
      </c>
      <c r="D36" s="2">
        <v>7.3</v>
      </c>
      <c r="E36" s="3">
        <f t="shared" si="0"/>
        <v>0.10159450023999078</v>
      </c>
      <c r="F36" s="4">
        <f t="shared" si="1"/>
        <v>738.36263902447911</v>
      </c>
    </row>
    <row r="37" spans="1:6">
      <c r="A37" s="7">
        <v>43230</v>
      </c>
      <c r="B37" s="1">
        <v>0.33333333333333331</v>
      </c>
      <c r="C37" s="2">
        <v>9216.2999999999993</v>
      </c>
      <c r="D37" s="2">
        <v>7.2</v>
      </c>
      <c r="E37" s="3">
        <f t="shared" si="0"/>
        <v>0.1005601289742506</v>
      </c>
      <c r="F37" s="4">
        <f t="shared" si="1"/>
        <v>738.25713315537359</v>
      </c>
    </row>
    <row r="38" spans="1:6">
      <c r="A38" s="7">
        <v>43240</v>
      </c>
      <c r="B38" s="1">
        <v>0.33333333333333331</v>
      </c>
      <c r="C38" s="2">
        <v>9219.2000000000007</v>
      </c>
      <c r="D38" s="2">
        <v>7.3</v>
      </c>
      <c r="E38" s="3">
        <f t="shared" si="0"/>
        <v>0.10036008160694793</v>
      </c>
      <c r="F38" s="4">
        <f t="shared" si="1"/>
        <v>738.23672832390866</v>
      </c>
    </row>
    <row r="39" spans="1:6">
      <c r="A39" s="7">
        <v>43250</v>
      </c>
      <c r="B39" s="1">
        <v>0.33333333333333331</v>
      </c>
      <c r="C39" s="2">
        <v>9215.9</v>
      </c>
      <c r="D39" s="2">
        <v>7.5</v>
      </c>
      <c r="E39" s="3">
        <f t="shared" si="0"/>
        <v>0.10163656196867693</v>
      </c>
      <c r="F39" s="4">
        <f t="shared" si="1"/>
        <v>738.36692932080507</v>
      </c>
    </row>
    <row r="40" spans="1:6">
      <c r="A40" s="7">
        <v>43261</v>
      </c>
      <c r="B40" s="1">
        <v>0.33333333333333331</v>
      </c>
      <c r="C40" s="2">
        <v>9206.2999999999993</v>
      </c>
      <c r="D40" s="2">
        <v>7.3</v>
      </c>
      <c r="E40" s="3">
        <f t="shared" si="0"/>
        <v>0.1027368542183647</v>
      </c>
      <c r="F40" s="4">
        <f t="shared" si="1"/>
        <v>738.47915913027316</v>
      </c>
    </row>
    <row r="41" spans="1:6">
      <c r="A41" s="7">
        <v>43271</v>
      </c>
      <c r="B41" s="1">
        <v>0.33333333333333331</v>
      </c>
      <c r="C41" s="2">
        <v>9152.2999999999993</v>
      </c>
      <c r="D41" s="2">
        <v>7.2</v>
      </c>
      <c r="E41" s="3">
        <f t="shared" si="0"/>
        <v>0.11235442514099647</v>
      </c>
      <c r="F41" s="4">
        <f t="shared" si="1"/>
        <v>739.46015136438166</v>
      </c>
    </row>
    <row r="42" spans="1:6">
      <c r="A42" s="7">
        <v>43281</v>
      </c>
      <c r="B42" s="1">
        <v>0.33333333333333331</v>
      </c>
      <c r="C42" s="2">
        <v>9162.9</v>
      </c>
      <c r="D42" s="2">
        <v>7.3</v>
      </c>
      <c r="E42" s="3">
        <f t="shared" si="0"/>
        <v>0.11073484302867659</v>
      </c>
      <c r="F42" s="4">
        <f t="shared" si="1"/>
        <v>739.29495398892504</v>
      </c>
    </row>
    <row r="43" spans="1:6">
      <c r="A43" s="7">
        <v>43291</v>
      </c>
      <c r="B43" s="1">
        <v>0.33333333333333331</v>
      </c>
      <c r="C43" s="2">
        <v>9177.2999999999993</v>
      </c>
      <c r="D43" s="2">
        <v>7.3</v>
      </c>
      <c r="E43" s="3">
        <f t="shared" si="0"/>
        <v>0.10808083933763629</v>
      </c>
      <c r="F43" s="4">
        <f t="shared" si="1"/>
        <v>739.0242456124389</v>
      </c>
    </row>
    <row r="44" spans="1:6">
      <c r="A44" s="7">
        <v>43301</v>
      </c>
      <c r="B44" s="1">
        <v>0.33333333333333331</v>
      </c>
      <c r="C44" s="2">
        <v>9190.7000000000007</v>
      </c>
      <c r="D44" s="2">
        <v>7.8</v>
      </c>
      <c r="E44" s="3">
        <f t="shared" si="0"/>
        <v>0.10728263043435915</v>
      </c>
      <c r="F44" s="4">
        <f t="shared" si="1"/>
        <v>738.94282830430461</v>
      </c>
    </row>
    <row r="45" spans="1:6">
      <c r="A45" s="7">
        <v>43311</v>
      </c>
      <c r="B45" s="1">
        <v>0.33333333333333331</v>
      </c>
      <c r="C45" s="2">
        <v>9188.2999999999993</v>
      </c>
      <c r="D45" s="2">
        <v>7.3</v>
      </c>
      <c r="E45" s="3">
        <f t="shared" si="0"/>
        <v>0.10605367152091377</v>
      </c>
      <c r="F45" s="4">
        <f t="shared" si="1"/>
        <v>738.81747449513318</v>
      </c>
    </row>
    <row r="46" spans="1:6">
      <c r="A46" s="7">
        <v>43322</v>
      </c>
      <c r="B46" s="1">
        <v>0.33333333333333331</v>
      </c>
      <c r="C46" s="2">
        <v>9172.6</v>
      </c>
      <c r="D46" s="2">
        <v>7.1</v>
      </c>
      <c r="E46" s="3">
        <f t="shared" si="0"/>
        <v>0.10827855365333919</v>
      </c>
      <c r="F46" s="4">
        <f t="shared" si="1"/>
        <v>739.0444124726406</v>
      </c>
    </row>
    <row r="47" spans="1:6">
      <c r="A47" s="7">
        <v>43332</v>
      </c>
      <c r="B47" s="1">
        <v>0.33333333333333331</v>
      </c>
      <c r="C47" s="2">
        <v>9182</v>
      </c>
      <c r="D47" s="2">
        <v>6</v>
      </c>
      <c r="E47" s="3">
        <f t="shared" ref="E47:E64" si="2">($B$2*C47^2+$B$3*C47+$B$4)-$B$5*D47-$E$7</f>
        <v>0.10286947353236092</v>
      </c>
      <c r="F47" s="4">
        <f t="shared" ref="F47:F64" si="3">$D$1+102*E47</f>
        <v>738.49268630030076</v>
      </c>
    </row>
    <row r="48" spans="1:6">
      <c r="A48" s="7">
        <v>43342</v>
      </c>
      <c r="B48" s="1">
        <v>0.33333333333333331</v>
      </c>
      <c r="C48" s="2">
        <v>9172.2999999999993</v>
      </c>
      <c r="D48" s="2">
        <v>6.6</v>
      </c>
      <c r="E48" s="3">
        <f t="shared" si="2"/>
        <v>0.10666261690720832</v>
      </c>
      <c r="F48" s="4">
        <f t="shared" si="3"/>
        <v>738.87958692453526</v>
      </c>
    </row>
    <row r="49" spans="1:6">
      <c r="A49" s="7">
        <v>43353</v>
      </c>
      <c r="B49" s="1">
        <v>0.33333333333333331</v>
      </c>
      <c r="C49" s="2">
        <v>9156.1</v>
      </c>
      <c r="D49" s="2">
        <v>7.1</v>
      </c>
      <c r="E49" s="3">
        <f t="shared" si="2"/>
        <v>0.11131973273693521</v>
      </c>
      <c r="F49" s="4">
        <f t="shared" si="3"/>
        <v>739.35461273916735</v>
      </c>
    </row>
    <row r="50" spans="1:6">
      <c r="A50" s="7">
        <v>43363</v>
      </c>
      <c r="B50" s="1">
        <v>0.33333333333333331</v>
      </c>
      <c r="C50" s="2">
        <v>9160.6</v>
      </c>
      <c r="D50" s="2">
        <v>7.1</v>
      </c>
      <c r="E50" s="3">
        <f t="shared" si="2"/>
        <v>0.11049028235639682</v>
      </c>
      <c r="F50" s="4">
        <f t="shared" si="3"/>
        <v>739.27000880035246</v>
      </c>
    </row>
    <row r="51" spans="1:6">
      <c r="A51" s="7">
        <v>43373</v>
      </c>
      <c r="B51" s="1">
        <v>0.33333333333333331</v>
      </c>
      <c r="C51" s="2">
        <v>9172.2999999999993</v>
      </c>
      <c r="D51" s="2">
        <v>6.9</v>
      </c>
      <c r="E51" s="3">
        <f t="shared" si="2"/>
        <v>0.10766535340720831</v>
      </c>
      <c r="F51" s="4">
        <f t="shared" si="3"/>
        <v>738.98186604753528</v>
      </c>
    </row>
    <row r="52" spans="1:6">
      <c r="A52" s="7">
        <v>43383</v>
      </c>
      <c r="B52" s="1">
        <v>0.33333333333333331</v>
      </c>
      <c r="C52" s="2">
        <v>9174.7999999999993</v>
      </c>
      <c r="D52" s="2">
        <v>6.8</v>
      </c>
      <c r="E52" s="3">
        <f t="shared" si="2"/>
        <v>0.1068703554854786</v>
      </c>
      <c r="F52" s="4">
        <f t="shared" si="3"/>
        <v>738.90077625951881</v>
      </c>
    </row>
    <row r="53" spans="1:6">
      <c r="A53" s="7">
        <v>43393</v>
      </c>
      <c r="B53" s="1">
        <v>0.33333333333333331</v>
      </c>
      <c r="C53" s="2">
        <v>9177.2000000000007</v>
      </c>
      <c r="D53" s="2">
        <v>6.4</v>
      </c>
      <c r="E53" s="3">
        <f t="shared" si="2"/>
        <v>0.10509105941509131</v>
      </c>
      <c r="F53" s="4">
        <f t="shared" si="3"/>
        <v>738.7192880603393</v>
      </c>
    </row>
    <row r="54" spans="1:6">
      <c r="A54" s="7">
        <v>43605</v>
      </c>
      <c r="B54" s="1">
        <v>0.33333333333333331</v>
      </c>
      <c r="C54" s="2">
        <v>9202.7000000000007</v>
      </c>
      <c r="D54" s="2">
        <v>6.2</v>
      </c>
      <c r="E54" s="3">
        <f t="shared" si="2"/>
        <v>9.9723480791808011E-2</v>
      </c>
      <c r="F54" s="4">
        <f t="shared" si="3"/>
        <v>738.17179504076444</v>
      </c>
    </row>
    <row r="55" spans="1:6">
      <c r="A55" s="7">
        <v>43615</v>
      </c>
      <c r="B55" s="1">
        <v>0.33333333333333331</v>
      </c>
      <c r="C55" s="2">
        <v>9206.2000000000007</v>
      </c>
      <c r="D55" s="2">
        <v>6.2</v>
      </c>
      <c r="E55" s="3">
        <f t="shared" si="2"/>
        <v>9.9078579224735591E-2</v>
      </c>
      <c r="F55" s="4">
        <f t="shared" si="3"/>
        <v>738.10601508092304</v>
      </c>
    </row>
    <row r="56" spans="1:6">
      <c r="A56" s="7">
        <v>43626</v>
      </c>
      <c r="B56" s="1">
        <v>0.33333333333333331</v>
      </c>
      <c r="C56" s="2">
        <v>9210.2999999999993</v>
      </c>
      <c r="D56" s="2">
        <v>6.4</v>
      </c>
      <c r="E56" s="3">
        <f t="shared" si="2"/>
        <v>9.8991635974855247E-2</v>
      </c>
      <c r="F56" s="4">
        <f t="shared" si="3"/>
        <v>738.09714686943528</v>
      </c>
    </row>
    <row r="57" spans="1:6">
      <c r="A57" s="7">
        <v>43636</v>
      </c>
      <c r="B57" s="1">
        <v>0.33333333333333331</v>
      </c>
      <c r="C57" s="2">
        <v>9213.7000000000007</v>
      </c>
      <c r="D57" s="2">
        <v>6.5</v>
      </c>
      <c r="E57" s="3">
        <f t="shared" si="2"/>
        <v>9.8699441702952556E-2</v>
      </c>
      <c r="F57" s="4">
        <f t="shared" si="3"/>
        <v>738.06734305370117</v>
      </c>
    </row>
    <row r="58" spans="1:6">
      <c r="A58" s="7">
        <v>43646</v>
      </c>
      <c r="B58" s="1">
        <v>0.33333333333333331</v>
      </c>
      <c r="C58" s="2">
        <v>9215.9</v>
      </c>
      <c r="D58" s="2">
        <v>6.5</v>
      </c>
      <c r="E58" s="3">
        <f t="shared" si="2"/>
        <v>9.8294106968676936E-2</v>
      </c>
      <c r="F58" s="4">
        <f t="shared" si="3"/>
        <v>738.02599891080501</v>
      </c>
    </row>
    <row r="59" spans="1:6">
      <c r="A59" s="7">
        <v>43656</v>
      </c>
      <c r="B59" s="1">
        <v>0.33333333333333331</v>
      </c>
      <c r="C59" s="2">
        <v>9218.2999999999993</v>
      </c>
      <c r="D59" s="2">
        <v>6.7</v>
      </c>
      <c r="E59" s="3">
        <f t="shared" si="2"/>
        <v>9.8520422371292021E-2</v>
      </c>
      <c r="F59" s="4">
        <f t="shared" si="3"/>
        <v>738.0490830818718</v>
      </c>
    </row>
    <row r="60" spans="1:6">
      <c r="A60" s="7">
        <v>43666</v>
      </c>
      <c r="B60" s="1">
        <v>0.33333333333333331</v>
      </c>
      <c r="C60" s="2">
        <v>9220.5</v>
      </c>
      <c r="D60" s="2">
        <v>6.7</v>
      </c>
      <c r="E60" s="3">
        <f t="shared" si="2"/>
        <v>9.811510184369468E-2</v>
      </c>
      <c r="F60" s="4">
        <f t="shared" si="3"/>
        <v>738.00774038805685</v>
      </c>
    </row>
    <row r="61" spans="1:6">
      <c r="A61" s="7">
        <v>43676</v>
      </c>
      <c r="B61" s="1">
        <v>0.33333333333333331</v>
      </c>
      <c r="C61" s="2">
        <v>9210.2999999999993</v>
      </c>
      <c r="D61" s="2">
        <v>6.9</v>
      </c>
      <c r="E61" s="3">
        <f t="shared" si="2"/>
        <v>0.10066286347485523</v>
      </c>
      <c r="F61" s="4">
        <f t="shared" si="3"/>
        <v>738.26761207443519</v>
      </c>
    </row>
    <row r="62" spans="1:6">
      <c r="A62" s="7">
        <v>43687</v>
      </c>
      <c r="B62" s="1">
        <v>0.33333333333333331</v>
      </c>
      <c r="C62" s="2">
        <v>9195.2000000000007</v>
      </c>
      <c r="D62" s="2">
        <v>7.2</v>
      </c>
      <c r="E62" s="3">
        <f t="shared" si="2"/>
        <v>0.10444792562890615</v>
      </c>
      <c r="F62" s="4">
        <f t="shared" si="3"/>
        <v>738.65368841414841</v>
      </c>
    </row>
    <row r="63" spans="1:6">
      <c r="A63" s="7">
        <v>43697</v>
      </c>
      <c r="B63" s="1">
        <v>0.33333333333333331</v>
      </c>
      <c r="C63" s="2">
        <v>9178.2000000000007</v>
      </c>
      <c r="D63" s="2">
        <v>7.4</v>
      </c>
      <c r="E63" s="3">
        <f t="shared" si="2"/>
        <v>0.1082492192722605</v>
      </c>
      <c r="F63" s="4">
        <f t="shared" si="3"/>
        <v>739.04142036577059</v>
      </c>
    </row>
    <row r="64" spans="1:6">
      <c r="A64" s="7">
        <v>43707</v>
      </c>
      <c r="B64" s="1">
        <v>0.33333333333333331</v>
      </c>
      <c r="C64" s="2">
        <v>9140.5</v>
      </c>
      <c r="D64" s="2">
        <v>7.5</v>
      </c>
      <c r="E64" s="3">
        <f t="shared" si="2"/>
        <v>0.11553236281401474</v>
      </c>
      <c r="F64" s="4">
        <f t="shared" si="3"/>
        <v>739.78430100702951</v>
      </c>
    </row>
  </sheetData>
  <phoneticPr fontId="4" type="noConversion"/>
  <pageMargins left="0.69930555555555596" right="0.69930555555555596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4"/>
  <sheetViews>
    <sheetView topLeftCell="A40" workbookViewId="0">
      <selection activeCell="A58" sqref="A58:B64"/>
    </sheetView>
  </sheetViews>
  <sheetFormatPr defaultColWidth="9" defaultRowHeight="13.5"/>
  <cols>
    <col min="1" max="1" width="11.25" customWidth="1"/>
    <col min="2" max="2" width="13.875" customWidth="1"/>
  </cols>
  <sheetData>
    <row r="1" spans="1:7">
      <c r="A1" t="s">
        <v>0</v>
      </c>
      <c r="B1">
        <v>11256</v>
      </c>
      <c r="C1" t="s">
        <v>1</v>
      </c>
      <c r="D1">
        <v>722</v>
      </c>
    </row>
    <row r="2" spans="1:7">
      <c r="A2" t="s">
        <v>2</v>
      </c>
      <c r="B2" s="10">
        <v>9.6641899999999995E-10</v>
      </c>
    </row>
    <row r="3" spans="1:7">
      <c r="A3" t="s">
        <v>3</v>
      </c>
      <c r="B3">
        <v>-1.7003400000000001E-4</v>
      </c>
    </row>
    <row r="4" spans="1:7">
      <c r="A4" t="s">
        <v>4</v>
      </c>
      <c r="B4">
        <v>1.41670611</v>
      </c>
    </row>
    <row r="5" spans="1:7">
      <c r="A5" t="s">
        <v>5</v>
      </c>
      <c r="B5">
        <v>-2.842678E-3</v>
      </c>
    </row>
    <row r="6" spans="1:7">
      <c r="A6" t="s">
        <v>6</v>
      </c>
      <c r="B6" t="s">
        <v>7</v>
      </c>
      <c r="C6" t="s">
        <v>8</v>
      </c>
      <c r="D6" t="s">
        <v>9</v>
      </c>
      <c r="E6" t="s">
        <v>10</v>
      </c>
      <c r="F6" t="s">
        <v>11</v>
      </c>
      <c r="G6" t="s">
        <v>12</v>
      </c>
    </row>
    <row r="7" spans="1:7">
      <c r="A7" s="7">
        <v>42608</v>
      </c>
      <c r="B7" s="1">
        <v>0.72916666666666696</v>
      </c>
      <c r="C7" s="2">
        <v>8632.5</v>
      </c>
      <c r="D7" s="2">
        <v>16.5</v>
      </c>
      <c r="E7" s="3">
        <f>($B$2*C7^2+$B$3*C7+$B$4)-$B$5*D7</f>
        <v>6.7809390241068593E-2</v>
      </c>
      <c r="G7" t="s">
        <v>13</v>
      </c>
    </row>
    <row r="8" spans="1:7">
      <c r="A8" s="7">
        <v>42609</v>
      </c>
      <c r="B8" s="1">
        <v>0.39583333333333298</v>
      </c>
      <c r="C8" s="2">
        <v>7252.4</v>
      </c>
      <c r="D8" s="2">
        <v>7</v>
      </c>
      <c r="E8" s="3">
        <f t="shared" ref="E8:E46" si="0">($B$2*C8^2+$B$3*C8+$B$4)-$B$5*D8-$E$7</f>
        <v>0.18647191979420491</v>
      </c>
      <c r="F8" s="4">
        <f>$D$1+102*E8</f>
        <v>741.02013581900894</v>
      </c>
      <c r="G8" t="s">
        <v>14</v>
      </c>
    </row>
    <row r="9" spans="1:7">
      <c r="A9" s="7">
        <v>42610</v>
      </c>
      <c r="B9" s="1">
        <v>0.33333333333333298</v>
      </c>
      <c r="C9" s="2">
        <v>7310.5</v>
      </c>
      <c r="D9" s="2">
        <v>6.4</v>
      </c>
      <c r="E9" s="3">
        <f t="shared" si="0"/>
        <v>0.17570502904932617</v>
      </c>
      <c r="F9" s="4">
        <f t="shared" ref="F9:F46" si="1">$D$1+102*E9</f>
        <v>739.92191296303122</v>
      </c>
    </row>
    <row r="10" spans="1:7">
      <c r="A10" s="7">
        <v>42611</v>
      </c>
      <c r="B10" s="1">
        <v>0.33333333333333298</v>
      </c>
      <c r="C10" s="2">
        <v>7352.4</v>
      </c>
      <c r="D10" s="2">
        <v>6.2</v>
      </c>
      <c r="E10" s="3">
        <f t="shared" si="0"/>
        <v>0.1686058130153249</v>
      </c>
      <c r="F10" s="4">
        <f t="shared" si="1"/>
        <v>739.19779292756311</v>
      </c>
    </row>
    <row r="11" spans="1:7">
      <c r="A11" s="7">
        <v>42612</v>
      </c>
      <c r="B11" s="1">
        <v>0.33333333333333298</v>
      </c>
      <c r="C11" s="2">
        <v>7371</v>
      </c>
      <c r="D11" s="2">
        <v>5.9</v>
      </c>
      <c r="E11" s="3">
        <f t="shared" si="0"/>
        <v>0.16485503612251057</v>
      </c>
      <c r="F11" s="4">
        <f t="shared" si="1"/>
        <v>738.81521368449603</v>
      </c>
    </row>
    <row r="12" spans="1:7">
      <c r="A12" s="7">
        <v>42613</v>
      </c>
      <c r="B12" s="1">
        <v>0.33333333333333298</v>
      </c>
      <c r="C12" s="2">
        <v>7375.4</v>
      </c>
      <c r="D12" s="2">
        <v>5.9</v>
      </c>
      <c r="E12" s="3">
        <f t="shared" si="0"/>
        <v>0.16416959180753327</v>
      </c>
      <c r="F12" s="4">
        <f t="shared" si="1"/>
        <v>738.74529836436841</v>
      </c>
    </row>
    <row r="13" spans="1:7">
      <c r="A13" s="7">
        <v>42614</v>
      </c>
      <c r="B13" s="1">
        <v>0.33333333333333298</v>
      </c>
      <c r="C13" s="2">
        <v>7381.6</v>
      </c>
      <c r="D13" s="2">
        <v>5.8</v>
      </c>
      <c r="E13" s="3">
        <f t="shared" si="0"/>
        <v>0.16291953416766791</v>
      </c>
      <c r="F13" s="4">
        <f t="shared" si="1"/>
        <v>738.61779248510209</v>
      </c>
    </row>
    <row r="14" spans="1:7">
      <c r="A14" s="7">
        <v>42615</v>
      </c>
      <c r="B14" s="1">
        <v>0.33333333333333298</v>
      </c>
      <c r="C14" s="2">
        <v>7375.5</v>
      </c>
      <c r="D14" s="2">
        <v>5.8</v>
      </c>
      <c r="E14" s="3">
        <f t="shared" si="0"/>
        <v>0.16386974616253602</v>
      </c>
      <c r="F14" s="4">
        <f t="shared" si="1"/>
        <v>738.71471410857862</v>
      </c>
    </row>
    <row r="15" spans="1:7">
      <c r="A15" s="7">
        <v>42623</v>
      </c>
      <c r="B15" s="1">
        <v>0.33333333333333298</v>
      </c>
      <c r="C15" s="2">
        <v>7355.5</v>
      </c>
      <c r="D15" s="2">
        <v>5.8</v>
      </c>
      <c r="E15" s="3">
        <f t="shared" si="0"/>
        <v>0.16698569979675604</v>
      </c>
      <c r="F15" s="4">
        <f t="shared" si="1"/>
        <v>739.03254137926911</v>
      </c>
    </row>
    <row r="16" spans="1:7">
      <c r="A16" s="7">
        <v>42633</v>
      </c>
      <c r="B16" s="1">
        <v>0.33333333333333331</v>
      </c>
      <c r="C16" s="2">
        <v>7338.8</v>
      </c>
      <c r="D16" s="2">
        <v>5.7</v>
      </c>
      <c r="E16" s="3">
        <f t="shared" si="0"/>
        <v>0.16930384558987088</v>
      </c>
      <c r="F16" s="4">
        <f t="shared" si="1"/>
        <v>739.26899225016678</v>
      </c>
    </row>
    <row r="17" spans="1:6">
      <c r="A17" s="7">
        <v>42643</v>
      </c>
      <c r="B17" s="1">
        <v>0.33333333333333331</v>
      </c>
      <c r="C17" s="2">
        <v>7359.5</v>
      </c>
      <c r="D17" s="2">
        <v>5.6</v>
      </c>
      <c r="E17" s="3">
        <f t="shared" si="0"/>
        <v>0.16579391161909607</v>
      </c>
      <c r="F17" s="4">
        <f t="shared" si="1"/>
        <v>738.91097898514784</v>
      </c>
    </row>
    <row r="18" spans="1:6">
      <c r="A18" s="27">
        <v>42653</v>
      </c>
      <c r="B18" s="1">
        <v>0.33333333333333331</v>
      </c>
      <c r="C18" s="2">
        <v>7388</v>
      </c>
      <c r="D18" s="2">
        <v>5.7</v>
      </c>
      <c r="E18" s="3">
        <f t="shared" si="0"/>
        <v>0.16163839994886742</v>
      </c>
      <c r="F18" s="4">
        <f t="shared" si="1"/>
        <v>738.48711679478447</v>
      </c>
    </row>
    <row r="19" spans="1:6">
      <c r="A19" s="7">
        <v>42846</v>
      </c>
      <c r="B19" s="1">
        <v>0.54166666666666663</v>
      </c>
      <c r="C19" s="2">
        <v>7390.8</v>
      </c>
      <c r="D19" s="2">
        <v>6.2</v>
      </c>
      <c r="E19" s="3">
        <f t="shared" si="0"/>
        <v>0.16262363478559555</v>
      </c>
      <c r="F19" s="4">
        <f t="shared" si="1"/>
        <v>738.58761074813071</v>
      </c>
    </row>
    <row r="20" spans="1:6">
      <c r="A20" s="7">
        <v>42855</v>
      </c>
      <c r="B20" s="1">
        <v>0.33333333333333331</v>
      </c>
      <c r="C20" s="2">
        <v>7394.6</v>
      </c>
      <c r="D20" s="2">
        <v>6.3</v>
      </c>
      <c r="E20" s="3">
        <f t="shared" si="0"/>
        <v>0.16231607117322944</v>
      </c>
      <c r="F20" s="4">
        <f t="shared" si="1"/>
        <v>738.55623925966938</v>
      </c>
    </row>
    <row r="21" spans="1:6">
      <c r="A21" s="7">
        <v>42865</v>
      </c>
      <c r="B21" s="1">
        <v>0.33333333333333331</v>
      </c>
      <c r="C21" s="2">
        <v>7378.2</v>
      </c>
      <c r="D21" s="2">
        <v>6.2</v>
      </c>
      <c r="E21" s="3">
        <f t="shared" si="0"/>
        <v>0.16458622285373686</v>
      </c>
      <c r="F21" s="4">
        <f t="shared" si="1"/>
        <v>738.78779473108114</v>
      </c>
    </row>
    <row r="22" spans="1:6">
      <c r="A22" s="7">
        <v>42875</v>
      </c>
      <c r="B22" s="1">
        <v>0.33333333333333331</v>
      </c>
      <c r="C22" s="2">
        <v>7370.5</v>
      </c>
      <c r="D22" s="2">
        <v>6.3</v>
      </c>
      <c r="E22" s="3">
        <f t="shared" si="0"/>
        <v>0.16607000108966607</v>
      </c>
      <c r="F22" s="4">
        <f t="shared" si="1"/>
        <v>738.93914011114589</v>
      </c>
    </row>
    <row r="23" spans="1:6">
      <c r="A23" s="6">
        <v>42885</v>
      </c>
      <c r="B23" s="1">
        <v>0.33333333333333331</v>
      </c>
      <c r="C23" s="2">
        <v>7391.6</v>
      </c>
      <c r="D23" s="2">
        <v>6.3</v>
      </c>
      <c r="E23" s="3">
        <f t="shared" si="0"/>
        <v>0.16278330417937603</v>
      </c>
      <c r="F23" s="4">
        <f t="shared" si="1"/>
        <v>738.60389702629641</v>
      </c>
    </row>
    <row r="24" spans="1:6">
      <c r="A24" s="6">
        <v>42896</v>
      </c>
      <c r="B24" s="1">
        <v>0.33333333333333331</v>
      </c>
      <c r="C24" s="2">
        <v>7393.9</v>
      </c>
      <c r="D24" s="2">
        <v>6.3</v>
      </c>
      <c r="E24" s="3">
        <f t="shared" si="0"/>
        <v>0.16242509065206256</v>
      </c>
      <c r="F24" s="4">
        <f t="shared" si="1"/>
        <v>738.56735924651036</v>
      </c>
    </row>
    <row r="25" spans="1:6">
      <c r="A25" s="7">
        <v>42906</v>
      </c>
      <c r="B25" s="9">
        <v>0.33333333333333331</v>
      </c>
      <c r="C25" s="2">
        <v>7392.1</v>
      </c>
      <c r="D25" s="2">
        <v>6.4</v>
      </c>
      <c r="E25" s="3">
        <f t="shared" si="0"/>
        <v>0.16298969860366108</v>
      </c>
      <c r="F25" s="4">
        <f t="shared" si="1"/>
        <v>738.62494925757346</v>
      </c>
    </row>
    <row r="26" spans="1:6">
      <c r="A26" s="7">
        <v>42916</v>
      </c>
      <c r="B26" s="9">
        <v>0.33333333333333331</v>
      </c>
      <c r="C26" s="2">
        <v>7383.9</v>
      </c>
      <c r="D26" s="2">
        <v>6.4</v>
      </c>
      <c r="E26" s="3">
        <f t="shared" si="0"/>
        <v>0.16426688298508052</v>
      </c>
      <c r="F26" s="4">
        <f t="shared" si="1"/>
        <v>738.75522206447818</v>
      </c>
    </row>
    <row r="27" spans="1:6">
      <c r="A27" s="7">
        <v>42926</v>
      </c>
      <c r="B27" s="9">
        <v>0.33333333333333331</v>
      </c>
      <c r="C27" s="2">
        <v>7397</v>
      </c>
      <c r="D27" s="2">
        <v>6.4</v>
      </c>
      <c r="E27" s="3">
        <f t="shared" si="0"/>
        <v>0.1622265650931024</v>
      </c>
      <c r="F27" s="4">
        <f t="shared" si="1"/>
        <v>738.5471096394964</v>
      </c>
    </row>
    <row r="28" spans="1:6">
      <c r="A28" s="7">
        <v>42936</v>
      </c>
      <c r="B28" s="9">
        <v>0.33333333333333331</v>
      </c>
      <c r="C28" s="2">
        <v>7396.2</v>
      </c>
      <c r="D28" s="2">
        <v>6.4</v>
      </c>
      <c r="E28" s="3">
        <f t="shared" si="0"/>
        <v>0.16235115514946175</v>
      </c>
      <c r="F28" s="4">
        <f t="shared" si="1"/>
        <v>738.55981782524509</v>
      </c>
    </row>
    <row r="29" spans="1:6">
      <c r="A29" s="7">
        <v>42946</v>
      </c>
      <c r="B29" s="1">
        <v>0.33333333333333331</v>
      </c>
      <c r="C29" s="2">
        <v>7402.1</v>
      </c>
      <c r="D29" s="2">
        <v>6.4</v>
      </c>
      <c r="E29" s="3">
        <f t="shared" si="0"/>
        <v>0.16143233256335898</v>
      </c>
      <c r="F29" s="4">
        <f t="shared" si="1"/>
        <v>738.46609792146262</v>
      </c>
    </row>
    <row r="30" spans="1:6">
      <c r="A30" s="7">
        <v>42957</v>
      </c>
      <c r="B30" s="1">
        <v>0.33333333333333331</v>
      </c>
      <c r="C30" s="2">
        <v>7394.7</v>
      </c>
      <c r="D30" s="2">
        <v>6.4</v>
      </c>
      <c r="E30" s="3">
        <f t="shared" si="0"/>
        <v>0.16258476483928097</v>
      </c>
      <c r="F30" s="4">
        <f t="shared" si="1"/>
        <v>738.58364601360665</v>
      </c>
    </row>
    <row r="31" spans="1:6">
      <c r="A31" s="7">
        <v>42967</v>
      </c>
      <c r="B31" s="1">
        <v>0.33333333333333331</v>
      </c>
      <c r="C31" s="2">
        <v>7400.4</v>
      </c>
      <c r="D31" s="2">
        <v>7</v>
      </c>
      <c r="E31" s="3">
        <f t="shared" si="0"/>
        <v>0.16340267795403851</v>
      </c>
      <c r="F31" s="4">
        <f t="shared" si="1"/>
        <v>738.66707315131191</v>
      </c>
    </row>
    <row r="32" spans="1:6">
      <c r="A32" s="7">
        <v>42977</v>
      </c>
      <c r="B32" s="1">
        <v>0.33333333333333331</v>
      </c>
      <c r="C32" s="2">
        <v>7394.5</v>
      </c>
      <c r="D32" s="2">
        <v>6.9</v>
      </c>
      <c r="E32" s="3">
        <f t="shared" si="0"/>
        <v>0.16403725212650605</v>
      </c>
      <c r="F32" s="4">
        <f t="shared" si="1"/>
        <v>738.73179971690365</v>
      </c>
    </row>
    <row r="33" spans="1:6">
      <c r="A33" s="7">
        <v>42988</v>
      </c>
      <c r="B33" s="1">
        <v>0.33333333333333331</v>
      </c>
      <c r="C33" s="2">
        <v>7391</v>
      </c>
      <c r="D33" s="2">
        <v>6.5</v>
      </c>
      <c r="E33" s="3">
        <f t="shared" si="0"/>
        <v>0.16344528846807038</v>
      </c>
      <c r="F33" s="4">
        <f t="shared" si="1"/>
        <v>738.67141942374315</v>
      </c>
    </row>
    <row r="34" spans="1:6">
      <c r="A34" s="7">
        <v>42998</v>
      </c>
      <c r="B34" s="1">
        <v>0.33333333333333331</v>
      </c>
      <c r="C34" s="2">
        <v>7397.9</v>
      </c>
      <c r="D34" s="2">
        <v>6.5</v>
      </c>
      <c r="E34" s="3">
        <f t="shared" si="0"/>
        <v>0.16237067055831922</v>
      </c>
      <c r="F34" s="4">
        <f t="shared" si="1"/>
        <v>738.56180839694855</v>
      </c>
    </row>
    <row r="35" spans="1:6">
      <c r="A35" s="7">
        <v>43008</v>
      </c>
      <c r="B35" s="1">
        <v>0.33333333333333331</v>
      </c>
      <c r="C35" s="2">
        <v>7399</v>
      </c>
      <c r="D35" s="2">
        <v>6.4</v>
      </c>
      <c r="E35" s="3">
        <f t="shared" si="0"/>
        <v>0.1619150953641505</v>
      </c>
      <c r="F35" s="4">
        <f t="shared" si="1"/>
        <v>738.51533972714333</v>
      </c>
    </row>
    <row r="36" spans="1:6">
      <c r="A36" s="7">
        <v>43018</v>
      </c>
      <c r="B36" s="1">
        <v>0.33333333333333331</v>
      </c>
      <c r="C36" s="2">
        <v>7397.1</v>
      </c>
      <c r="D36" s="2">
        <v>6.5</v>
      </c>
      <c r="E36" s="3">
        <f t="shared" si="0"/>
        <v>0.16249525922303509</v>
      </c>
      <c r="F36" s="4">
        <f t="shared" si="1"/>
        <v>738.57451644074956</v>
      </c>
    </row>
    <row r="37" spans="1:6">
      <c r="A37" s="7">
        <v>43230</v>
      </c>
      <c r="B37" s="1">
        <v>0.33333333333333331</v>
      </c>
      <c r="C37" s="2">
        <v>7404</v>
      </c>
      <c r="D37" s="2">
        <v>6.6</v>
      </c>
      <c r="E37" s="3">
        <f t="shared" si="0"/>
        <v>0.16170499046643522</v>
      </c>
      <c r="F37" s="4">
        <f t="shared" si="1"/>
        <v>738.49390902757636</v>
      </c>
    </row>
    <row r="38" spans="1:6">
      <c r="A38" s="7">
        <v>43240</v>
      </c>
      <c r="B38" s="1">
        <v>0.33333333333333331</v>
      </c>
      <c r="C38" s="2">
        <v>7407.2</v>
      </c>
      <c r="D38" s="2">
        <v>6.6</v>
      </c>
      <c r="E38" s="3">
        <f t="shared" si="0"/>
        <v>0.16120668590673232</v>
      </c>
      <c r="F38" s="4">
        <f t="shared" si="1"/>
        <v>738.44308196248664</v>
      </c>
    </row>
    <row r="39" spans="1:6">
      <c r="A39" s="7">
        <v>43250</v>
      </c>
      <c r="B39" s="1">
        <v>0.33333333333333331</v>
      </c>
      <c r="C39" s="2">
        <v>7403.3</v>
      </c>
      <c r="D39" s="2">
        <v>6.8</v>
      </c>
      <c r="E39" s="3">
        <f t="shared" si="0"/>
        <v>0.16238253282719423</v>
      </c>
      <c r="F39" s="4">
        <f t="shared" si="1"/>
        <v>738.56301834837382</v>
      </c>
    </row>
    <row r="40" spans="1:6">
      <c r="A40" s="7">
        <v>43261</v>
      </c>
      <c r="B40" s="1">
        <v>0.33333333333333331</v>
      </c>
      <c r="C40" s="2">
        <v>7394.3</v>
      </c>
      <c r="D40" s="2">
        <v>6.5</v>
      </c>
      <c r="E40" s="3">
        <f t="shared" si="0"/>
        <v>0.16293132929104459</v>
      </c>
      <c r="F40" s="4">
        <f t="shared" si="1"/>
        <v>738.61899558768653</v>
      </c>
    </row>
    <row r="41" spans="1:6">
      <c r="A41" s="7">
        <v>43271</v>
      </c>
      <c r="B41" s="1">
        <v>0.33333333333333331</v>
      </c>
      <c r="C41" s="2">
        <v>7328.3</v>
      </c>
      <c r="D41" s="2">
        <v>6.5</v>
      </c>
      <c r="E41" s="3">
        <f t="shared" si="0"/>
        <v>0.17321451206666438</v>
      </c>
      <c r="F41" s="4">
        <f t="shared" si="1"/>
        <v>739.66788023079971</v>
      </c>
    </row>
    <row r="42" spans="1:6">
      <c r="A42" s="7">
        <v>43281</v>
      </c>
      <c r="B42" s="1">
        <v>0.33333333333333331</v>
      </c>
      <c r="C42" s="2">
        <v>7340.2</v>
      </c>
      <c r="D42" s="2">
        <v>6.6</v>
      </c>
      <c r="E42" s="3">
        <f t="shared" si="0"/>
        <v>0.17164406868017196</v>
      </c>
      <c r="F42" s="4">
        <f t="shared" si="1"/>
        <v>739.50769500537751</v>
      </c>
    </row>
    <row r="43" spans="1:6">
      <c r="A43" s="7">
        <v>43291</v>
      </c>
      <c r="B43" s="1">
        <v>0.33333333333333331</v>
      </c>
      <c r="C43" s="2">
        <v>7354</v>
      </c>
      <c r="D43" s="2">
        <v>6.7</v>
      </c>
      <c r="E43" s="3">
        <f t="shared" si="0"/>
        <v>0.16977783768633542</v>
      </c>
      <c r="F43" s="4">
        <f t="shared" si="1"/>
        <v>739.31733944400617</v>
      </c>
    </row>
    <row r="44" spans="1:6">
      <c r="A44" s="7">
        <v>43301</v>
      </c>
      <c r="B44" s="1">
        <v>0.33333333333333331</v>
      </c>
      <c r="C44" s="2">
        <v>7373.2</v>
      </c>
      <c r="D44" s="2">
        <v>6.9</v>
      </c>
      <c r="E44" s="3">
        <f t="shared" si="0"/>
        <v>0.16735498728755388</v>
      </c>
      <c r="F44" s="4">
        <f t="shared" si="1"/>
        <v>739.07020870333054</v>
      </c>
    </row>
    <row r="45" spans="1:6">
      <c r="A45" s="7">
        <v>43311</v>
      </c>
      <c r="B45" s="1">
        <v>0.33333333333333331</v>
      </c>
      <c r="C45" s="2">
        <v>7369.1</v>
      </c>
      <c r="D45" s="2">
        <v>6.6</v>
      </c>
      <c r="E45" s="3">
        <f t="shared" si="0"/>
        <v>0.16714090960837674</v>
      </c>
      <c r="F45" s="4">
        <f t="shared" si="1"/>
        <v>739.04837278005448</v>
      </c>
    </row>
    <row r="46" spans="1:6">
      <c r="A46" s="7">
        <v>43322</v>
      </c>
      <c r="B46" s="1">
        <v>0.33333333333333331</v>
      </c>
      <c r="C46" s="2">
        <v>7350.8</v>
      </c>
      <c r="D46" s="2">
        <v>6.5</v>
      </c>
      <c r="E46" s="3">
        <f t="shared" si="0"/>
        <v>0.16970793569237963</v>
      </c>
      <c r="F46" s="4">
        <f t="shared" si="1"/>
        <v>739.31020944062277</v>
      </c>
    </row>
    <row r="47" spans="1:6">
      <c r="A47" s="7">
        <v>43332</v>
      </c>
      <c r="B47" s="1">
        <v>0.33333333333333331</v>
      </c>
      <c r="C47" s="2">
        <v>7361.1</v>
      </c>
      <c r="D47" s="2">
        <v>6.7</v>
      </c>
      <c r="E47" s="3">
        <f t="shared" ref="E47:E64" si="2">($B$2*C47^2+$B$3*C47+$B$4)-$B$5*D47-$E$7</f>
        <v>0.16867156504714614</v>
      </c>
      <c r="F47" s="4">
        <f t="shared" ref="F47:F64" si="3">$D$1+102*E47</f>
        <v>739.20449963480894</v>
      </c>
    </row>
    <row r="48" spans="1:6">
      <c r="A48" s="7">
        <v>43342</v>
      </c>
      <c r="B48" s="1">
        <v>0.33333333333333331</v>
      </c>
      <c r="C48" s="2">
        <v>7347.8</v>
      </c>
      <c r="D48" s="2">
        <v>6.7</v>
      </c>
      <c r="E48" s="3">
        <f t="shared" si="2"/>
        <v>0.1707439582734393</v>
      </c>
      <c r="F48" s="4">
        <f t="shared" si="3"/>
        <v>739.41588374389084</v>
      </c>
    </row>
    <row r="49" spans="1:6">
      <c r="A49" s="7">
        <v>43353</v>
      </c>
      <c r="B49" s="1">
        <v>0.33333333333333331</v>
      </c>
      <c r="C49" s="2">
        <v>7337.2</v>
      </c>
      <c r="D49" s="2">
        <v>6.5</v>
      </c>
      <c r="E49" s="3">
        <f t="shared" si="2"/>
        <v>0.17182734932548027</v>
      </c>
      <c r="F49" s="4">
        <f t="shared" si="3"/>
        <v>739.52638963119898</v>
      </c>
    </row>
    <row r="50" spans="1:6">
      <c r="A50" s="7">
        <v>43363</v>
      </c>
      <c r="B50" s="1">
        <v>0.33333333333333331</v>
      </c>
      <c r="C50" s="2">
        <v>7336.2</v>
      </c>
      <c r="D50" s="2">
        <v>6.6</v>
      </c>
      <c r="E50" s="3">
        <f t="shared" si="2"/>
        <v>0.17226747047292573</v>
      </c>
      <c r="F50" s="4">
        <f t="shared" si="3"/>
        <v>739.57128198823841</v>
      </c>
    </row>
    <row r="51" spans="1:6">
      <c r="A51" s="7">
        <v>43373</v>
      </c>
      <c r="B51" s="1">
        <v>0.33333333333333331</v>
      </c>
      <c r="C51" s="2">
        <v>7342.7</v>
      </c>
      <c r="D51" s="2">
        <v>6.4</v>
      </c>
      <c r="E51" s="3">
        <f t="shared" si="2"/>
        <v>0.17068592266400995</v>
      </c>
      <c r="F51" s="4">
        <f t="shared" si="3"/>
        <v>739.40996411172898</v>
      </c>
    </row>
    <row r="52" spans="1:6">
      <c r="A52" s="7">
        <v>43383</v>
      </c>
      <c r="B52" s="1">
        <v>0.33333333333333331</v>
      </c>
      <c r="C52" s="2">
        <v>7345.4</v>
      </c>
      <c r="D52" s="2">
        <v>6.3</v>
      </c>
      <c r="E52" s="3">
        <f t="shared" si="2"/>
        <v>0.16998088918307741</v>
      </c>
      <c r="F52" s="4">
        <f t="shared" si="3"/>
        <v>739.33805069667392</v>
      </c>
    </row>
    <row r="53" spans="1:6">
      <c r="A53" s="7">
        <v>43393</v>
      </c>
      <c r="B53" s="1">
        <v>0.33333333333333331</v>
      </c>
      <c r="C53" s="2">
        <v>7350.8</v>
      </c>
      <c r="D53" s="2">
        <v>6.3</v>
      </c>
      <c r="E53" s="3">
        <f t="shared" si="2"/>
        <v>0.1691394000923796</v>
      </c>
      <c r="F53" s="4">
        <f t="shared" si="3"/>
        <v>739.25221880942274</v>
      </c>
    </row>
    <row r="54" spans="1:6">
      <c r="A54" s="7">
        <v>43605</v>
      </c>
      <c r="B54" s="1">
        <v>0.33333333333333331</v>
      </c>
      <c r="C54" s="2">
        <v>7367.4</v>
      </c>
      <c r="D54" s="2">
        <v>6.1</v>
      </c>
      <c r="E54" s="3">
        <f t="shared" si="2"/>
        <v>0.16598441763126798</v>
      </c>
      <c r="F54" s="4">
        <f t="shared" si="3"/>
        <v>738.93041059838936</v>
      </c>
    </row>
    <row r="55" spans="1:6">
      <c r="A55" s="7">
        <v>43615</v>
      </c>
      <c r="B55" s="1">
        <v>0.33333333333333331</v>
      </c>
      <c r="C55" s="2">
        <v>7367.9</v>
      </c>
      <c r="D55" s="2">
        <v>6.1</v>
      </c>
      <c r="E55" s="3">
        <f t="shared" si="2"/>
        <v>0.16590652086821339</v>
      </c>
      <c r="F55" s="4">
        <f t="shared" si="3"/>
        <v>738.92246512855775</v>
      </c>
    </row>
    <row r="56" spans="1:6">
      <c r="A56" s="7">
        <v>43626</v>
      </c>
      <c r="B56" s="1">
        <v>0.33333333333333331</v>
      </c>
      <c r="C56" s="2">
        <v>7369.1</v>
      </c>
      <c r="D56" s="2">
        <v>6.3</v>
      </c>
      <c r="E56" s="3">
        <f t="shared" si="2"/>
        <v>0.16628810620837675</v>
      </c>
      <c r="F56" s="4">
        <f t="shared" si="3"/>
        <v>738.96138683325444</v>
      </c>
    </row>
    <row r="57" spans="1:6">
      <c r="A57" s="7">
        <v>43636</v>
      </c>
      <c r="B57" s="1">
        <v>0.33333333333333331</v>
      </c>
      <c r="C57" s="2">
        <v>7370.4</v>
      </c>
      <c r="D57" s="2">
        <v>6.5</v>
      </c>
      <c r="E57" s="3">
        <f t="shared" si="2"/>
        <v>0.16665411550108256</v>
      </c>
      <c r="F57" s="4">
        <f t="shared" si="3"/>
        <v>738.99871978111037</v>
      </c>
    </row>
    <row r="58" spans="1:6">
      <c r="A58" s="7">
        <v>43646</v>
      </c>
      <c r="B58" s="1">
        <v>0.33333333333333331</v>
      </c>
      <c r="C58" s="2">
        <v>7375.3</v>
      </c>
      <c r="D58" s="2">
        <v>6.4</v>
      </c>
      <c r="E58" s="3">
        <f t="shared" si="2"/>
        <v>0.16560650867185911</v>
      </c>
      <c r="F58" s="4">
        <f t="shared" si="3"/>
        <v>738.89186388452958</v>
      </c>
    </row>
    <row r="59" spans="1:6">
      <c r="A59" s="7">
        <v>43656</v>
      </c>
      <c r="B59" s="1">
        <v>0.33333333333333331</v>
      </c>
      <c r="C59" s="2">
        <v>7379.2</v>
      </c>
      <c r="D59" s="2">
        <v>6.4</v>
      </c>
      <c r="E59" s="3">
        <f t="shared" si="2"/>
        <v>0.16499898628548759</v>
      </c>
      <c r="F59" s="4">
        <f t="shared" si="3"/>
        <v>738.82989660111969</v>
      </c>
    </row>
    <row r="60" spans="1:6">
      <c r="A60" s="7">
        <v>43666</v>
      </c>
      <c r="B60" s="1">
        <v>0.33333333333333331</v>
      </c>
      <c r="C60" s="2">
        <v>7382.3</v>
      </c>
      <c r="D60" s="2">
        <v>6.3</v>
      </c>
      <c r="E60" s="3">
        <f t="shared" si="2"/>
        <v>0.16423183704709987</v>
      </c>
      <c r="F60" s="4">
        <f t="shared" si="3"/>
        <v>738.75164737880414</v>
      </c>
    </row>
    <row r="61" spans="1:6">
      <c r="A61" s="7">
        <v>43676</v>
      </c>
      <c r="B61" s="1">
        <v>0.33333333333333331</v>
      </c>
      <c r="C61" s="2">
        <v>7369.2</v>
      </c>
      <c r="D61" s="2">
        <v>6.4</v>
      </c>
      <c r="E61" s="3">
        <f t="shared" si="2"/>
        <v>0.16655679494569153</v>
      </c>
      <c r="F61" s="4">
        <f t="shared" si="3"/>
        <v>738.98879308446055</v>
      </c>
    </row>
    <row r="62" spans="1:6">
      <c r="A62" s="7">
        <v>43687</v>
      </c>
      <c r="B62" s="1">
        <v>0.33333333333333331</v>
      </c>
      <c r="C62" s="2">
        <v>7360.8</v>
      </c>
      <c r="D62" s="2">
        <v>6.4</v>
      </c>
      <c r="E62" s="3">
        <f t="shared" si="2"/>
        <v>0.16786550358998353</v>
      </c>
      <c r="F62" s="4">
        <f t="shared" si="3"/>
        <v>739.1222813661783</v>
      </c>
    </row>
    <row r="63" spans="1:6">
      <c r="A63" s="7">
        <v>43697</v>
      </c>
      <c r="B63" s="1">
        <v>0.33333333333333331</v>
      </c>
      <c r="C63" s="2">
        <v>7346.5</v>
      </c>
      <c r="D63" s="2">
        <v>6.5</v>
      </c>
      <c r="E63" s="3">
        <f t="shared" si="2"/>
        <v>0.17037800576751416</v>
      </c>
      <c r="F63" s="4">
        <f t="shared" si="3"/>
        <v>739.37855658828641</v>
      </c>
    </row>
    <row r="64" spans="1:6">
      <c r="A64" s="7">
        <v>43707</v>
      </c>
      <c r="B64" s="1">
        <v>0.33333333333333331</v>
      </c>
      <c r="C64" s="2">
        <v>7312.5</v>
      </c>
      <c r="D64" s="2">
        <v>6.5</v>
      </c>
      <c r="E64" s="3">
        <f t="shared" si="2"/>
        <v>0.17567749273940025</v>
      </c>
      <c r="F64" s="4">
        <f t="shared" si="3"/>
        <v>739.91910425941887</v>
      </c>
    </row>
  </sheetData>
  <phoneticPr fontId="4" type="noConversion"/>
  <pageMargins left="0.69930555555555596" right="0.69930555555555596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4"/>
  <sheetViews>
    <sheetView topLeftCell="A44" workbookViewId="0">
      <selection activeCell="A58" sqref="A58:B64"/>
    </sheetView>
  </sheetViews>
  <sheetFormatPr defaultColWidth="9" defaultRowHeight="13.5"/>
  <cols>
    <col min="1" max="1" width="11.375" customWidth="1"/>
    <col min="2" max="2" width="13.875" customWidth="1"/>
  </cols>
  <sheetData>
    <row r="1" spans="1:7">
      <c r="A1" t="s">
        <v>0</v>
      </c>
      <c r="B1">
        <v>11270</v>
      </c>
      <c r="C1" t="s">
        <v>1</v>
      </c>
      <c r="D1">
        <v>718</v>
      </c>
    </row>
    <row r="2" spans="1:7">
      <c r="A2" t="s">
        <v>2</v>
      </c>
      <c r="B2" s="10">
        <v>5.4101800000000004E-10</v>
      </c>
    </row>
    <row r="3" spans="1:7">
      <c r="A3" t="s">
        <v>3</v>
      </c>
      <c r="B3">
        <v>-1.8951499999999999E-4</v>
      </c>
    </row>
    <row r="4" spans="1:7">
      <c r="A4" t="s">
        <v>4</v>
      </c>
      <c r="B4">
        <v>1.71580018</v>
      </c>
    </row>
    <row r="5" spans="1:7">
      <c r="A5" t="s">
        <v>5</v>
      </c>
      <c r="B5">
        <v>-3.4234740000000001E-3</v>
      </c>
    </row>
    <row r="6" spans="1:7">
      <c r="A6" t="s">
        <v>6</v>
      </c>
      <c r="B6" t="s">
        <v>7</v>
      </c>
      <c r="C6" t="s">
        <v>8</v>
      </c>
      <c r="D6" t="s">
        <v>9</v>
      </c>
      <c r="E6" t="s">
        <v>10</v>
      </c>
      <c r="F6" t="s">
        <v>11</v>
      </c>
      <c r="G6" t="s">
        <v>12</v>
      </c>
    </row>
    <row r="7" spans="1:7">
      <c r="A7" s="7">
        <v>42608</v>
      </c>
      <c r="B7" s="1">
        <v>0.72916666666666696</v>
      </c>
      <c r="C7" s="2">
        <v>9156.7999999999993</v>
      </c>
      <c r="D7" s="2">
        <v>16.2</v>
      </c>
      <c r="E7" s="3">
        <f>($B$2*C7^2+$B$3*C7+$B$4)-$B$5*D7</f>
        <v>8.1272235601592649E-2</v>
      </c>
      <c r="G7" t="s">
        <v>13</v>
      </c>
    </row>
    <row r="8" spans="1:7">
      <c r="A8" s="7">
        <v>42609</v>
      </c>
      <c r="B8" s="1">
        <v>0.39583333333333298</v>
      </c>
      <c r="C8" s="2">
        <v>7883.7</v>
      </c>
      <c r="D8" s="2">
        <v>6.7</v>
      </c>
      <c r="E8" s="3">
        <f t="shared" ref="E8:E46" si="0">($B$2*C8^2+$B$3*C8+$B$4)-$B$5*D8-$E$7</f>
        <v>0.19701155804575976</v>
      </c>
      <c r="F8" s="4">
        <f>$D$1+102*E8</f>
        <v>738.09517892066754</v>
      </c>
      <c r="G8" t="s">
        <v>14</v>
      </c>
    </row>
    <row r="9" spans="1:7">
      <c r="A9" s="7">
        <v>42610</v>
      </c>
      <c r="B9" s="1">
        <v>0.33333333333333298</v>
      </c>
      <c r="C9" s="2">
        <v>7884.1</v>
      </c>
      <c r="D9" s="2">
        <v>6.4</v>
      </c>
      <c r="E9" s="3">
        <f t="shared" si="0"/>
        <v>0.19591212211120784</v>
      </c>
      <c r="F9" s="4">
        <f t="shared" ref="F9:F46" si="1">$D$1+102*E9</f>
        <v>737.98303645534315</v>
      </c>
    </row>
    <row r="10" spans="1:7">
      <c r="A10" s="7">
        <v>42611</v>
      </c>
      <c r="B10" s="1">
        <v>0.33333333333333298</v>
      </c>
      <c r="C10" s="2">
        <v>7885.1</v>
      </c>
      <c r="D10" s="2">
        <v>6.2</v>
      </c>
      <c r="E10" s="3">
        <f t="shared" si="0"/>
        <v>0.19504644373225349</v>
      </c>
      <c r="F10" s="4">
        <f t="shared" si="1"/>
        <v>737.89473726068991</v>
      </c>
    </row>
    <row r="11" spans="1:7">
      <c r="A11" s="7">
        <v>42612</v>
      </c>
      <c r="B11" s="1">
        <v>0.33333333333333298</v>
      </c>
      <c r="C11" s="2">
        <v>7885.5</v>
      </c>
      <c r="D11" s="2">
        <v>5.9</v>
      </c>
      <c r="E11" s="3">
        <f t="shared" si="0"/>
        <v>0.19394700840364199</v>
      </c>
      <c r="F11" s="4">
        <f t="shared" si="1"/>
        <v>737.78259485717149</v>
      </c>
    </row>
    <row r="12" spans="1:7">
      <c r="A12" s="7">
        <v>42613</v>
      </c>
      <c r="B12" s="1">
        <v>0.33333333333333298</v>
      </c>
      <c r="C12" s="2">
        <v>7890.1</v>
      </c>
      <c r="D12" s="2">
        <v>5.9</v>
      </c>
      <c r="E12" s="3">
        <f t="shared" si="0"/>
        <v>0.19311449986802154</v>
      </c>
      <c r="F12" s="4">
        <f t="shared" si="1"/>
        <v>737.69767898653822</v>
      </c>
    </row>
    <row r="13" spans="1:7">
      <c r="A13" s="7">
        <v>42614</v>
      </c>
      <c r="B13" s="1">
        <v>0.33333333333333298</v>
      </c>
      <c r="C13" s="2">
        <v>7894.8</v>
      </c>
      <c r="D13" s="2">
        <v>5.9</v>
      </c>
      <c r="E13" s="3">
        <f t="shared" si="0"/>
        <v>0.1922639169686543</v>
      </c>
      <c r="F13" s="4">
        <f t="shared" si="1"/>
        <v>737.61091953080279</v>
      </c>
    </row>
    <row r="14" spans="1:7">
      <c r="A14" s="7">
        <v>42615</v>
      </c>
      <c r="B14" s="1">
        <v>0.33333333333333298</v>
      </c>
      <c r="C14" s="2">
        <v>7889.9</v>
      </c>
      <c r="D14" s="2">
        <v>5.9</v>
      </c>
      <c r="E14" s="3">
        <f t="shared" si="0"/>
        <v>0.1931506954152139</v>
      </c>
      <c r="F14" s="4">
        <f t="shared" si="1"/>
        <v>737.70137093235178</v>
      </c>
    </row>
    <row r="15" spans="1:7">
      <c r="A15" s="7">
        <v>42623</v>
      </c>
      <c r="B15" s="1">
        <v>0.33333333333333298</v>
      </c>
      <c r="C15" s="2">
        <v>7873.5</v>
      </c>
      <c r="D15" s="2">
        <v>5.9</v>
      </c>
      <c r="E15" s="3">
        <f t="shared" si="0"/>
        <v>0.1961188775716981</v>
      </c>
      <c r="F15" s="4">
        <f t="shared" si="1"/>
        <v>738.00412551231318</v>
      </c>
    </row>
    <row r="16" spans="1:7">
      <c r="A16" s="7">
        <v>42633</v>
      </c>
      <c r="B16" s="1">
        <v>0.33333333333333331</v>
      </c>
      <c r="C16" s="2">
        <v>7859.7</v>
      </c>
      <c r="D16" s="2">
        <v>5.7</v>
      </c>
      <c r="E16" s="3">
        <f t="shared" si="0"/>
        <v>0.19793202493901108</v>
      </c>
      <c r="F16" s="4">
        <f t="shared" si="1"/>
        <v>738.18906654377918</v>
      </c>
    </row>
    <row r="17" spans="1:6">
      <c r="A17" s="7">
        <v>42643</v>
      </c>
      <c r="B17" s="1">
        <v>0.33333333333333331</v>
      </c>
      <c r="C17" s="2">
        <v>7877.7</v>
      </c>
      <c r="D17" s="2">
        <v>5.9</v>
      </c>
      <c r="E17" s="3">
        <f t="shared" si="0"/>
        <v>0.19535870563912872</v>
      </c>
      <c r="F17" s="4">
        <f t="shared" si="1"/>
        <v>737.92658797519118</v>
      </c>
    </row>
    <row r="18" spans="1:6">
      <c r="A18" s="27">
        <v>42653</v>
      </c>
      <c r="B18" s="1">
        <v>0.33333333333333331</v>
      </c>
      <c r="C18" s="2">
        <v>7902</v>
      </c>
      <c r="D18" s="2">
        <v>5.9</v>
      </c>
      <c r="E18" s="3">
        <f t="shared" si="0"/>
        <v>0.19096094271127961</v>
      </c>
      <c r="F18" s="4">
        <f t="shared" si="1"/>
        <v>737.47801615655055</v>
      </c>
    </row>
    <row r="19" spans="1:6">
      <c r="A19" s="7">
        <v>42846</v>
      </c>
      <c r="B19" s="1">
        <v>0.54166666666666663</v>
      </c>
      <c r="C19" s="2">
        <v>7904.1</v>
      </c>
      <c r="D19" s="2">
        <v>6.1</v>
      </c>
      <c r="E19" s="3">
        <f t="shared" si="0"/>
        <v>0.19126561391895991</v>
      </c>
      <c r="F19" s="4">
        <f t="shared" si="1"/>
        <v>737.50909261973391</v>
      </c>
    </row>
    <row r="20" spans="1:6">
      <c r="A20" s="7">
        <v>42855</v>
      </c>
      <c r="B20" s="1">
        <v>0.33333333333333331</v>
      </c>
      <c r="C20" s="2">
        <v>7907.6</v>
      </c>
      <c r="D20" s="2">
        <v>6.1</v>
      </c>
      <c r="E20" s="3">
        <f t="shared" si="0"/>
        <v>0.19063225186904709</v>
      </c>
      <c r="F20" s="4">
        <f t="shared" si="1"/>
        <v>737.44448969064285</v>
      </c>
    </row>
    <row r="21" spans="1:6">
      <c r="A21" s="7">
        <v>42865</v>
      </c>
      <c r="B21" s="1">
        <v>0.33333333333333331</v>
      </c>
      <c r="C21" s="2">
        <v>7893.7</v>
      </c>
      <c r="D21" s="2">
        <v>6.1</v>
      </c>
      <c r="E21" s="3">
        <f t="shared" si="0"/>
        <v>0.19314768221969181</v>
      </c>
      <c r="F21" s="4">
        <f t="shared" si="1"/>
        <v>737.70106358640851</v>
      </c>
    </row>
    <row r="22" spans="1:6">
      <c r="A22" s="7">
        <v>42875</v>
      </c>
      <c r="B22" s="1">
        <v>0.33333333333333331</v>
      </c>
      <c r="C22" s="2">
        <v>7891.7</v>
      </c>
      <c r="D22" s="2">
        <v>6.1</v>
      </c>
      <c r="E22" s="3">
        <f t="shared" si="0"/>
        <v>0.19350963184861736</v>
      </c>
      <c r="F22" s="4">
        <f t="shared" si="1"/>
        <v>737.73798244855902</v>
      </c>
    </row>
    <row r="23" spans="1:6">
      <c r="A23" s="6">
        <v>42885</v>
      </c>
      <c r="B23" s="1">
        <v>0.33333333333333331</v>
      </c>
      <c r="C23" s="2">
        <v>7905.2</v>
      </c>
      <c r="D23" s="2">
        <v>6.1</v>
      </c>
      <c r="E23" s="3">
        <f t="shared" si="0"/>
        <v>0.19106655584641419</v>
      </c>
      <c r="F23" s="4">
        <f t="shared" si="1"/>
        <v>737.48878869633427</v>
      </c>
    </row>
    <row r="24" spans="1:6">
      <c r="A24" s="6">
        <v>42896</v>
      </c>
      <c r="B24" s="1">
        <v>0.33333333333333331</v>
      </c>
      <c r="C24" s="2">
        <v>7907.2</v>
      </c>
      <c r="D24" s="2">
        <v>6.1</v>
      </c>
      <c r="E24" s="3">
        <f t="shared" si="0"/>
        <v>0.19070463543246063</v>
      </c>
      <c r="F24" s="4">
        <f t="shared" si="1"/>
        <v>737.45187281411097</v>
      </c>
    </row>
    <row r="25" spans="1:6">
      <c r="A25" s="7">
        <v>42906</v>
      </c>
      <c r="B25" s="9">
        <v>0.33333333333333331</v>
      </c>
      <c r="C25" s="2">
        <v>7905.7</v>
      </c>
      <c r="D25" s="2">
        <v>6.1</v>
      </c>
      <c r="E25" s="3">
        <f t="shared" si="0"/>
        <v>0.19097607533716232</v>
      </c>
      <c r="F25" s="4">
        <f t="shared" si="1"/>
        <v>737.47955968439055</v>
      </c>
    </row>
    <row r="26" spans="1:6">
      <c r="A26" s="7">
        <v>42916</v>
      </c>
      <c r="B26" s="9">
        <v>0.33333333333333331</v>
      </c>
      <c r="C26" s="2">
        <v>7899.1</v>
      </c>
      <c r="D26" s="2">
        <v>6.2</v>
      </c>
      <c r="E26" s="3">
        <f t="shared" si="0"/>
        <v>0.19251278724067206</v>
      </c>
      <c r="F26" s="4">
        <f t="shared" si="1"/>
        <v>737.63630429854857</v>
      </c>
    </row>
    <row r="27" spans="1:6">
      <c r="A27" s="7">
        <v>42926</v>
      </c>
      <c r="B27" s="9">
        <v>0.33333333333333331</v>
      </c>
      <c r="C27" s="2">
        <v>7910.2</v>
      </c>
      <c r="D27" s="2">
        <v>6.2</v>
      </c>
      <c r="E27" s="3">
        <f t="shared" si="0"/>
        <v>0.1905041103268002</v>
      </c>
      <c r="F27" s="4">
        <f t="shared" si="1"/>
        <v>737.43141925333362</v>
      </c>
    </row>
    <row r="28" spans="1:6">
      <c r="A28" s="7">
        <v>42936</v>
      </c>
      <c r="B28" s="9">
        <v>0.33333333333333331</v>
      </c>
      <c r="C28" s="2">
        <v>7909.8</v>
      </c>
      <c r="D28" s="2">
        <v>6.2</v>
      </c>
      <c r="E28" s="3">
        <f t="shared" si="0"/>
        <v>0.19057649276489613</v>
      </c>
      <c r="F28" s="4">
        <f t="shared" si="1"/>
        <v>737.43880226201941</v>
      </c>
    </row>
    <row r="29" spans="1:6">
      <c r="A29" s="7">
        <v>42946</v>
      </c>
      <c r="B29" s="1">
        <v>0.33333333333333331</v>
      </c>
      <c r="C29" s="2">
        <v>7919.4</v>
      </c>
      <c r="D29" s="2">
        <v>6.3</v>
      </c>
      <c r="E29" s="3">
        <f t="shared" si="0"/>
        <v>0.18918170943330181</v>
      </c>
      <c r="F29" s="4">
        <f t="shared" si="1"/>
        <v>737.29653436219678</v>
      </c>
    </row>
    <row r="30" spans="1:6">
      <c r="A30" s="7">
        <v>42957</v>
      </c>
      <c r="B30" s="1">
        <v>0.33333333333333331</v>
      </c>
      <c r="C30" s="2">
        <v>7909.1</v>
      </c>
      <c r="D30" s="2">
        <v>6.3</v>
      </c>
      <c r="E30" s="3">
        <f t="shared" si="0"/>
        <v>0.19104550984814794</v>
      </c>
      <c r="F30" s="4">
        <f t="shared" si="1"/>
        <v>737.48664200451105</v>
      </c>
    </row>
    <row r="31" spans="1:6">
      <c r="A31" s="7">
        <v>42967</v>
      </c>
      <c r="B31" s="1">
        <v>0.33333333333333331</v>
      </c>
      <c r="C31" s="2">
        <v>7914</v>
      </c>
      <c r="D31" s="2">
        <v>6.7</v>
      </c>
      <c r="E31" s="3">
        <f t="shared" si="0"/>
        <v>0.1915282227995353</v>
      </c>
      <c r="F31" s="4">
        <f t="shared" si="1"/>
        <v>737.53587872555261</v>
      </c>
    </row>
    <row r="32" spans="1:6">
      <c r="A32" s="7">
        <v>42977</v>
      </c>
      <c r="B32" s="1">
        <v>0.33333333333333331</v>
      </c>
      <c r="C32" s="2">
        <v>7909.3</v>
      </c>
      <c r="D32" s="2">
        <v>6.5</v>
      </c>
      <c r="E32" s="3">
        <f t="shared" si="0"/>
        <v>0.19169401325597413</v>
      </c>
      <c r="F32" s="4">
        <f t="shared" si="1"/>
        <v>737.55278935210936</v>
      </c>
    </row>
    <row r="33" spans="1:6">
      <c r="A33" s="7">
        <v>42988</v>
      </c>
      <c r="B33" s="1">
        <v>0.33333333333333331</v>
      </c>
      <c r="C33" s="2">
        <v>7906.5</v>
      </c>
      <c r="D33" s="2">
        <v>6.3</v>
      </c>
      <c r="E33" s="3">
        <f t="shared" si="0"/>
        <v>0.19151600188501805</v>
      </c>
      <c r="F33" s="4">
        <f t="shared" si="1"/>
        <v>737.53463219227183</v>
      </c>
    </row>
    <row r="34" spans="1:6">
      <c r="A34" s="7">
        <v>42998</v>
      </c>
      <c r="B34" s="1">
        <v>0.33333333333333331</v>
      </c>
      <c r="C34" s="2">
        <v>7912.6</v>
      </c>
      <c r="D34" s="2">
        <v>6.3</v>
      </c>
      <c r="E34" s="3">
        <f t="shared" si="0"/>
        <v>0.19041216673386485</v>
      </c>
      <c r="F34" s="4">
        <f t="shared" si="1"/>
        <v>737.42204100685422</v>
      </c>
    </row>
    <row r="35" spans="1:6">
      <c r="A35" s="7">
        <v>43008</v>
      </c>
      <c r="B35" s="1">
        <v>0.33333333333333331</v>
      </c>
      <c r="C35" s="2">
        <v>7917.4</v>
      </c>
      <c r="D35" s="2">
        <v>6.3</v>
      </c>
      <c r="E35" s="3">
        <f t="shared" si="0"/>
        <v>0.18954360344557719</v>
      </c>
      <c r="F35" s="4">
        <f t="shared" si="1"/>
        <v>737.3334475514489</v>
      </c>
    </row>
    <row r="36" spans="1:6">
      <c r="A36" s="7">
        <v>43018</v>
      </c>
      <c r="B36" s="1">
        <v>0.33333333333333331</v>
      </c>
      <c r="C36" s="2">
        <v>7912.4</v>
      </c>
      <c r="D36" s="2">
        <v>6.3</v>
      </c>
      <c r="E36" s="3">
        <f t="shared" si="0"/>
        <v>0.19044835741189503</v>
      </c>
      <c r="F36" s="4">
        <f t="shared" si="1"/>
        <v>737.42573245601329</v>
      </c>
    </row>
    <row r="37" spans="1:6">
      <c r="A37" s="7">
        <v>43230</v>
      </c>
      <c r="B37" s="1">
        <v>0.33333333333333331</v>
      </c>
      <c r="C37" s="2">
        <v>7920.7</v>
      </c>
      <c r="D37" s="2">
        <v>6.4</v>
      </c>
      <c r="E37" s="3">
        <f t="shared" si="0"/>
        <v>0.18928882804629027</v>
      </c>
      <c r="F37" s="4">
        <f t="shared" si="1"/>
        <v>737.30746046072159</v>
      </c>
    </row>
    <row r="38" spans="1:6">
      <c r="A38" s="7">
        <v>43240</v>
      </c>
      <c r="B38" s="1">
        <v>0.33333333333333331</v>
      </c>
      <c r="C38" s="2">
        <v>7923.5</v>
      </c>
      <c r="D38" s="2">
        <v>6.7</v>
      </c>
      <c r="E38" s="3">
        <f t="shared" si="0"/>
        <v>0.18980922983899806</v>
      </c>
      <c r="F38" s="4">
        <f t="shared" si="1"/>
        <v>737.36054144357786</v>
      </c>
    </row>
    <row r="39" spans="1:6">
      <c r="A39" s="7">
        <v>43250</v>
      </c>
      <c r="B39" s="1">
        <v>0.33333333333333331</v>
      </c>
      <c r="C39" s="2">
        <v>7920.3</v>
      </c>
      <c r="D39" s="2">
        <v>6.8</v>
      </c>
      <c r="E39" s="3">
        <f t="shared" si="0"/>
        <v>0.19073059553983501</v>
      </c>
      <c r="F39" s="4">
        <f t="shared" si="1"/>
        <v>737.45452074506318</v>
      </c>
    </row>
    <row r="40" spans="1:6">
      <c r="A40" s="7">
        <v>43261</v>
      </c>
      <c r="B40" s="1">
        <v>0.33333333333333331</v>
      </c>
      <c r="C40" s="2">
        <v>7912.8</v>
      </c>
      <c r="D40" s="2">
        <v>6.5</v>
      </c>
      <c r="E40" s="3">
        <f t="shared" si="0"/>
        <v>0.19106067089911649</v>
      </c>
      <c r="F40" s="4">
        <f t="shared" si="1"/>
        <v>737.48818843170989</v>
      </c>
    </row>
    <row r="41" spans="1:6">
      <c r="A41" s="7">
        <v>43271</v>
      </c>
      <c r="B41" s="1">
        <v>0.33333333333333331</v>
      </c>
      <c r="C41" s="2">
        <v>7856.4</v>
      </c>
      <c r="D41" s="2">
        <v>6.5</v>
      </c>
      <c r="E41" s="3">
        <f t="shared" si="0"/>
        <v>0.20126814475214472</v>
      </c>
      <c r="F41" s="4">
        <f t="shared" si="1"/>
        <v>738.52935076471874</v>
      </c>
    </row>
    <row r="42" spans="1:6">
      <c r="A42" s="7">
        <v>43281</v>
      </c>
      <c r="B42" s="1">
        <v>0.33333333333333331</v>
      </c>
      <c r="C42" s="2">
        <v>7866.5</v>
      </c>
      <c r="D42" s="2">
        <v>6.6</v>
      </c>
      <c r="E42" s="3">
        <f t="shared" si="0"/>
        <v>0.19978230500845778</v>
      </c>
      <c r="F42" s="4">
        <f t="shared" si="1"/>
        <v>738.37779511086273</v>
      </c>
    </row>
    <row r="43" spans="1:6">
      <c r="A43" s="7">
        <v>43291</v>
      </c>
      <c r="B43" s="1">
        <v>0.33333333333333331</v>
      </c>
      <c r="C43" s="2">
        <v>7878.6</v>
      </c>
      <c r="D43" s="2">
        <v>6.5</v>
      </c>
      <c r="E43" s="3">
        <f t="shared" si="0"/>
        <v>0.19724989853685071</v>
      </c>
      <c r="F43" s="4">
        <f t="shared" si="1"/>
        <v>738.11948965075874</v>
      </c>
    </row>
    <row r="44" spans="1:6">
      <c r="A44" s="7">
        <v>43301</v>
      </c>
      <c r="B44" s="1">
        <v>0.33333333333333331</v>
      </c>
      <c r="C44" s="2">
        <v>7895</v>
      </c>
      <c r="D44" s="2">
        <v>7.1</v>
      </c>
      <c r="E44" s="3">
        <f t="shared" si="0"/>
        <v>0.19633589128185724</v>
      </c>
      <c r="F44" s="4">
        <f t="shared" si="1"/>
        <v>738.02626091074944</v>
      </c>
    </row>
    <row r="45" spans="1:6">
      <c r="A45" s="7">
        <v>43311</v>
      </c>
      <c r="B45" s="1">
        <v>0.33333333333333331</v>
      </c>
      <c r="C45" s="2">
        <v>7891.8</v>
      </c>
      <c r="D45" s="2">
        <v>6.5</v>
      </c>
      <c r="E45" s="3">
        <f t="shared" si="0"/>
        <v>0.1948609238643777</v>
      </c>
      <c r="F45" s="4">
        <f t="shared" si="1"/>
        <v>737.87581423416657</v>
      </c>
    </row>
    <row r="46" spans="1:6">
      <c r="A46" s="7">
        <v>43322</v>
      </c>
      <c r="B46" s="1">
        <v>0.33333333333333331</v>
      </c>
      <c r="C46" s="2">
        <v>7876.3</v>
      </c>
      <c r="D46" s="2">
        <v>6.5</v>
      </c>
      <c r="E46" s="3">
        <f t="shared" si="0"/>
        <v>0.19766617856252777</v>
      </c>
      <c r="F46" s="4">
        <f t="shared" si="1"/>
        <v>738.16195021337785</v>
      </c>
    </row>
    <row r="47" spans="1:6">
      <c r="A47" s="7">
        <v>43332</v>
      </c>
      <c r="B47" s="1">
        <v>0.33333333333333331</v>
      </c>
      <c r="C47" s="2">
        <v>7885.1</v>
      </c>
      <c r="D47" s="2">
        <v>6.6</v>
      </c>
      <c r="E47" s="3">
        <f t="shared" ref="E47:E64" si="2">($B$2*C47^2+$B$3*C47+$B$4)-$B$5*D47-$E$7</f>
        <v>0.19641583333225349</v>
      </c>
      <c r="F47" s="4">
        <f t="shared" ref="F47:F64" si="3">$D$1+102*E47</f>
        <v>738.0344149998898</v>
      </c>
    </row>
    <row r="48" spans="1:6">
      <c r="A48" s="7">
        <v>43342</v>
      </c>
      <c r="B48" s="1">
        <v>0.33333333333333331</v>
      </c>
      <c r="C48" s="2">
        <v>7880.2</v>
      </c>
      <c r="D48" s="2">
        <v>6.5</v>
      </c>
      <c r="E48" s="3">
        <f t="shared" si="2"/>
        <v>0.19696031580798423</v>
      </c>
      <c r="F48" s="4">
        <f t="shared" si="3"/>
        <v>738.08995221241435</v>
      </c>
    </row>
    <row r="49" spans="1:6">
      <c r="A49" s="7">
        <v>43353</v>
      </c>
      <c r="B49" s="1">
        <v>0.33333333333333331</v>
      </c>
      <c r="C49" s="2">
        <v>7864.9</v>
      </c>
      <c r="D49" s="2">
        <v>6.5</v>
      </c>
      <c r="E49" s="3">
        <f t="shared" si="2"/>
        <v>0.19972956405555387</v>
      </c>
      <c r="F49" s="4">
        <f t="shared" si="3"/>
        <v>738.37241553366653</v>
      </c>
    </row>
    <row r="50" spans="1:6">
      <c r="A50" s="7">
        <v>43363</v>
      </c>
      <c r="B50" s="1">
        <v>0.33333333333333331</v>
      </c>
      <c r="C50" s="2">
        <v>7864</v>
      </c>
      <c r="D50" s="2">
        <v>6.5</v>
      </c>
      <c r="E50" s="3">
        <f t="shared" si="2"/>
        <v>0.19989246889933532</v>
      </c>
      <c r="F50" s="4">
        <f t="shared" si="3"/>
        <v>738.3890318277322</v>
      </c>
    </row>
    <row r="51" spans="1:6">
      <c r="A51" s="7">
        <v>43373</v>
      </c>
      <c r="B51" s="1">
        <v>0.33333333333333331</v>
      </c>
      <c r="C51" s="2">
        <v>7872.7</v>
      </c>
      <c r="D51" s="2">
        <v>6.5</v>
      </c>
      <c r="E51" s="3">
        <f t="shared" si="2"/>
        <v>0.19831775878959279</v>
      </c>
      <c r="F51" s="4">
        <f t="shared" si="3"/>
        <v>738.22841139653849</v>
      </c>
    </row>
    <row r="52" spans="1:6">
      <c r="A52" s="7">
        <v>43383</v>
      </c>
      <c r="B52" s="1">
        <v>0.33333333333333331</v>
      </c>
      <c r="C52" s="2">
        <v>7875.3</v>
      </c>
      <c r="D52" s="2">
        <v>6.4</v>
      </c>
      <c r="E52" s="3">
        <f t="shared" si="2"/>
        <v>0.19750482426339894</v>
      </c>
      <c r="F52" s="4">
        <f t="shared" si="3"/>
        <v>738.14549207486664</v>
      </c>
    </row>
    <row r="53" spans="1:6">
      <c r="A53" s="7">
        <v>43393</v>
      </c>
      <c r="B53" s="1">
        <v>0.33333333333333331</v>
      </c>
      <c r="C53" s="2">
        <v>7880.2</v>
      </c>
      <c r="D53" s="2">
        <v>6.4</v>
      </c>
      <c r="E53" s="3">
        <f t="shared" si="2"/>
        <v>0.19661796840798423</v>
      </c>
      <c r="F53" s="4">
        <f t="shared" si="3"/>
        <v>738.05503277761443</v>
      </c>
    </row>
    <row r="54" spans="1:6">
      <c r="A54" s="7">
        <v>43605</v>
      </c>
      <c r="B54" s="1">
        <v>0.33333333333333331</v>
      </c>
      <c r="C54" s="2">
        <v>7897.1</v>
      </c>
      <c r="D54" s="2">
        <v>6.2</v>
      </c>
      <c r="E54" s="3">
        <f t="shared" si="2"/>
        <v>0.19287472518360876</v>
      </c>
      <c r="F54" s="4">
        <f t="shared" si="3"/>
        <v>737.67322196872806</v>
      </c>
    </row>
    <row r="55" spans="1:6">
      <c r="A55" s="7">
        <v>43615</v>
      </c>
      <c r="B55" s="1">
        <v>0.33333333333333331</v>
      </c>
      <c r="C55" s="2">
        <v>7898.3</v>
      </c>
      <c r="D55" s="2">
        <v>6.2</v>
      </c>
      <c r="E55" s="3">
        <f t="shared" si="2"/>
        <v>0.19265756189846944</v>
      </c>
      <c r="F55" s="4">
        <f t="shared" si="3"/>
        <v>737.65107131364391</v>
      </c>
    </row>
    <row r="56" spans="1:6">
      <c r="A56" s="7">
        <v>43626</v>
      </c>
      <c r="B56" s="1">
        <v>0.33333333333333331</v>
      </c>
      <c r="C56" s="2">
        <v>7902.7</v>
      </c>
      <c r="D56" s="2">
        <v>6.3</v>
      </c>
      <c r="E56" s="3">
        <f t="shared" si="2"/>
        <v>0.19220365725030863</v>
      </c>
      <c r="F56" s="4">
        <f t="shared" si="3"/>
        <v>737.60477303953144</v>
      </c>
    </row>
    <row r="57" spans="1:6">
      <c r="A57" s="7">
        <v>43636</v>
      </c>
      <c r="B57" s="1">
        <v>0.33333333333333331</v>
      </c>
      <c r="C57" s="2">
        <v>7910.3</v>
      </c>
      <c r="D57" s="2">
        <v>6.5</v>
      </c>
      <c r="E57" s="3">
        <f t="shared" si="2"/>
        <v>0.19151305694432708</v>
      </c>
      <c r="F57" s="4">
        <f t="shared" si="3"/>
        <v>737.53433180832133</v>
      </c>
    </row>
    <row r="58" spans="1:6">
      <c r="A58" s="7">
        <v>43646</v>
      </c>
      <c r="B58" s="1">
        <v>0.33333333333333331</v>
      </c>
      <c r="C58" s="2">
        <v>7915.1</v>
      </c>
      <c r="D58" s="2">
        <v>6.5</v>
      </c>
      <c r="E58" s="3">
        <f t="shared" si="2"/>
        <v>0.19064448171036164</v>
      </c>
      <c r="F58" s="4">
        <f t="shared" si="3"/>
        <v>737.44573713445686</v>
      </c>
    </row>
    <row r="59" spans="1:6">
      <c r="A59" s="7">
        <v>43656</v>
      </c>
      <c r="B59" s="1">
        <v>0.33333333333333331</v>
      </c>
      <c r="C59" s="2">
        <v>7919.2</v>
      </c>
      <c r="D59" s="2">
        <v>6.5</v>
      </c>
      <c r="E59" s="3">
        <f t="shared" si="2"/>
        <v>0.18990259343976312</v>
      </c>
      <c r="F59" s="4">
        <f t="shared" si="3"/>
        <v>737.37006453085587</v>
      </c>
    </row>
    <row r="60" spans="1:6">
      <c r="A60" s="7">
        <v>43666</v>
      </c>
      <c r="B60" s="1">
        <v>0.33333333333333331</v>
      </c>
      <c r="C60" s="2">
        <v>7922.4</v>
      </c>
      <c r="D60" s="2">
        <v>6.4</v>
      </c>
      <c r="E60" s="3">
        <f t="shared" si="2"/>
        <v>0.18898122393015909</v>
      </c>
      <c r="F60" s="4">
        <f t="shared" si="3"/>
        <v>737.27608484087625</v>
      </c>
    </row>
    <row r="61" spans="1:6">
      <c r="A61" s="7">
        <v>43676</v>
      </c>
      <c r="B61" s="1">
        <v>0.33333333333333331</v>
      </c>
      <c r="C61" s="2">
        <v>7917.2</v>
      </c>
      <c r="D61" s="2">
        <v>6.4</v>
      </c>
      <c r="E61" s="3">
        <f t="shared" si="2"/>
        <v>0.18992214048485273</v>
      </c>
      <c r="F61" s="4">
        <f t="shared" si="3"/>
        <v>737.37205832945494</v>
      </c>
    </row>
    <row r="62" spans="1:6">
      <c r="A62" s="7">
        <v>43687</v>
      </c>
      <c r="B62" s="1">
        <v>0.33333333333333331</v>
      </c>
      <c r="C62" s="2">
        <v>7895.3</v>
      </c>
      <c r="D62" s="2">
        <v>6.5</v>
      </c>
      <c r="E62" s="3">
        <f t="shared" si="2"/>
        <v>0.19422751523281501</v>
      </c>
      <c r="F62" s="4">
        <f t="shared" si="3"/>
        <v>737.81120655374718</v>
      </c>
    </row>
    <row r="63" spans="1:6">
      <c r="A63" s="7">
        <v>43697</v>
      </c>
      <c r="B63" s="1">
        <v>0.33333333333333331</v>
      </c>
      <c r="C63" s="2">
        <v>7869.2</v>
      </c>
      <c r="D63" s="2">
        <v>6.4</v>
      </c>
      <c r="E63" s="3">
        <f t="shared" si="2"/>
        <v>0.19860890561020311</v>
      </c>
      <c r="F63" s="4">
        <f t="shared" si="3"/>
        <v>738.25810837224071</v>
      </c>
    </row>
    <row r="64" spans="1:6">
      <c r="A64" s="7">
        <v>43707</v>
      </c>
      <c r="B64" s="1">
        <v>0.33333333333333331</v>
      </c>
      <c r="C64" s="2">
        <v>7847.7</v>
      </c>
      <c r="D64" s="2">
        <v>6.4</v>
      </c>
      <c r="E64" s="3">
        <f t="shared" si="2"/>
        <v>0.20250066090541269</v>
      </c>
      <c r="F64" s="4">
        <f t="shared" si="3"/>
        <v>738.65506741235208</v>
      </c>
    </row>
  </sheetData>
  <phoneticPr fontId="4" type="noConversion"/>
  <pageMargins left="0.69930555555555596" right="0.69930555555555596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4"/>
  <sheetViews>
    <sheetView topLeftCell="A38" workbookViewId="0">
      <selection activeCell="A58" sqref="A58:B64"/>
    </sheetView>
  </sheetViews>
  <sheetFormatPr defaultColWidth="9" defaultRowHeight="13.5"/>
  <cols>
    <col min="1" max="1" width="11.375" customWidth="1"/>
    <col min="2" max="2" width="13.875" customWidth="1"/>
  </cols>
  <sheetData>
    <row r="1" spans="1:7">
      <c r="A1" t="s">
        <v>0</v>
      </c>
      <c r="B1">
        <v>11260</v>
      </c>
      <c r="C1" t="s">
        <v>1</v>
      </c>
      <c r="D1">
        <v>737.7</v>
      </c>
    </row>
    <row r="2" spans="1:7">
      <c r="A2" t="s">
        <v>2</v>
      </c>
      <c r="B2" s="10">
        <v>-1.3556299999999999E-10</v>
      </c>
    </row>
    <row r="3" spans="1:7">
      <c r="A3" t="s">
        <v>3</v>
      </c>
      <c r="B3">
        <v>-1.58999E-4</v>
      </c>
    </row>
    <row r="4" spans="1:7">
      <c r="A4" t="s">
        <v>4</v>
      </c>
      <c r="B4">
        <v>1.3716524400000001</v>
      </c>
    </row>
    <row r="5" spans="1:7">
      <c r="A5" t="s">
        <v>5</v>
      </c>
      <c r="B5">
        <v>-3.0981839999999999E-3</v>
      </c>
    </row>
    <row r="6" spans="1:7">
      <c r="A6" t="s">
        <v>6</v>
      </c>
      <c r="B6" t="s">
        <v>7</v>
      </c>
      <c r="C6" t="s">
        <v>8</v>
      </c>
      <c r="D6" t="s">
        <v>9</v>
      </c>
      <c r="E6" t="s">
        <v>10</v>
      </c>
      <c r="F6" t="s">
        <v>11</v>
      </c>
      <c r="G6" t="s">
        <v>12</v>
      </c>
    </row>
    <row r="7" spans="1:7">
      <c r="A7" s="7">
        <v>42609</v>
      </c>
      <c r="B7" s="1">
        <v>0.72916666666666696</v>
      </c>
      <c r="C7" s="2">
        <v>8429.4</v>
      </c>
      <c r="D7" s="2">
        <v>14.1</v>
      </c>
      <c r="E7" s="3">
        <f>($B$2*C7^2+$B$3*C7+$B$4)-$B$5*D7</f>
        <v>6.5438264067805452E-2</v>
      </c>
      <c r="G7" t="s">
        <v>13</v>
      </c>
    </row>
    <row r="8" spans="1:7">
      <c r="A8" s="7">
        <v>42611</v>
      </c>
      <c r="B8" s="1">
        <v>0.75</v>
      </c>
      <c r="C8" s="2">
        <v>8165.8</v>
      </c>
      <c r="D8" s="2">
        <v>14.7</v>
      </c>
      <c r="E8" s="3">
        <f t="shared" ref="E8:E46" si="0">($B$2*C8^2+$B$3*C8+$B$4)-$B$5*D8-$E$7</f>
        <v>4.4364066427727417E-2</v>
      </c>
      <c r="F8" s="4">
        <f>$D$1+102*E8</f>
        <v>742.22513477562825</v>
      </c>
      <c r="G8" t="s">
        <v>14</v>
      </c>
    </row>
    <row r="9" spans="1:7">
      <c r="A9" s="7">
        <v>42612</v>
      </c>
      <c r="B9" s="1">
        <v>0.33333333333333298</v>
      </c>
      <c r="C9" s="2">
        <v>8284.5</v>
      </c>
      <c r="D9" s="2">
        <v>14.4</v>
      </c>
      <c r="E9" s="3">
        <f t="shared" si="0"/>
        <v>2.4296722753083838E-2</v>
      </c>
      <c r="F9" s="4">
        <f t="shared" ref="F9:F46" si="1">$D$1+102*E9</f>
        <v>740.17826572081458</v>
      </c>
    </row>
    <row r="10" spans="1:7">
      <c r="A10" s="7">
        <v>42613</v>
      </c>
      <c r="B10" s="1">
        <v>0.33333333333333298</v>
      </c>
      <c r="C10" s="2">
        <v>8287.4</v>
      </c>
      <c r="D10" s="2">
        <v>14.5</v>
      </c>
      <c r="E10" s="3">
        <f t="shared" si="0"/>
        <v>2.4138929097292899E-2</v>
      </c>
      <c r="F10" s="4">
        <f t="shared" si="1"/>
        <v>740.16217076792395</v>
      </c>
    </row>
    <row r="11" spans="1:7">
      <c r="A11" s="7">
        <v>42614</v>
      </c>
      <c r="B11" s="1">
        <v>0.33333333333333298</v>
      </c>
      <c r="C11" s="2">
        <v>8290.6</v>
      </c>
      <c r="D11" s="2">
        <v>15</v>
      </c>
      <c r="E11" s="3">
        <f t="shared" si="0"/>
        <v>2.5172032734368022E-2</v>
      </c>
      <c r="F11" s="4">
        <f t="shared" si="1"/>
        <v>740.26754733890562</v>
      </c>
    </row>
    <row r="12" spans="1:7">
      <c r="A12" s="7">
        <v>42615</v>
      </c>
      <c r="B12" s="1">
        <v>0.33333333333333298</v>
      </c>
      <c r="C12" s="2">
        <v>8284.1</v>
      </c>
      <c r="D12" s="2">
        <v>15.1</v>
      </c>
      <c r="E12" s="3">
        <f t="shared" si="0"/>
        <v>2.6529949588732615E-2</v>
      </c>
      <c r="F12" s="4">
        <f t="shared" si="1"/>
        <v>740.40605485805077</v>
      </c>
    </row>
    <row r="13" spans="1:7">
      <c r="A13" s="7">
        <v>42616</v>
      </c>
      <c r="B13" s="1">
        <v>0.33333333333333298</v>
      </c>
      <c r="C13" s="2">
        <v>8270.7000000000007</v>
      </c>
      <c r="D13" s="2">
        <v>14.8</v>
      </c>
      <c r="E13" s="3">
        <f t="shared" si="0"/>
        <v>2.7761153514654621E-2</v>
      </c>
      <c r="F13" s="4">
        <f t="shared" si="1"/>
        <v>740.53163765849479</v>
      </c>
    </row>
    <row r="14" spans="1:7">
      <c r="A14" s="7">
        <v>42617</v>
      </c>
      <c r="B14" s="1">
        <v>0.33333333333333298</v>
      </c>
      <c r="C14" s="2">
        <v>8257.5</v>
      </c>
      <c r="D14" s="2">
        <v>14.3</v>
      </c>
      <c r="E14" s="3">
        <f t="shared" si="0"/>
        <v>2.8340424398025893E-2</v>
      </c>
      <c r="F14" s="4">
        <f t="shared" si="1"/>
        <v>740.59072328859872</v>
      </c>
    </row>
    <row r="15" spans="1:7">
      <c r="A15" s="7">
        <v>42623</v>
      </c>
      <c r="B15" s="1">
        <v>0.33333333333333298</v>
      </c>
      <c r="C15" s="2">
        <v>8289.2999999999993</v>
      </c>
      <c r="D15" s="2">
        <v>16.100000000000001</v>
      </c>
      <c r="E15" s="3">
        <f t="shared" si="0"/>
        <v>2.8789655741647047E-2</v>
      </c>
      <c r="F15" s="4">
        <f t="shared" si="1"/>
        <v>740.63654488564805</v>
      </c>
    </row>
    <row r="16" spans="1:7">
      <c r="A16" s="7">
        <v>42633</v>
      </c>
      <c r="B16" s="1">
        <v>0.33333333333333331</v>
      </c>
      <c r="C16" s="2">
        <v>8225.2000000000007</v>
      </c>
      <c r="D16" s="2">
        <v>13.2</v>
      </c>
      <c r="E16" s="3">
        <f t="shared" si="0"/>
        <v>3.0140262247627073E-2</v>
      </c>
      <c r="F16" s="4">
        <f t="shared" si="1"/>
        <v>740.77430674925802</v>
      </c>
    </row>
    <row r="17" spans="1:6">
      <c r="A17" s="7">
        <v>42643</v>
      </c>
      <c r="B17" s="1">
        <v>0.33333333333333331</v>
      </c>
      <c r="C17" s="2">
        <v>8234.7999999999993</v>
      </c>
      <c r="D17" s="2">
        <v>10.9</v>
      </c>
      <c r="E17" s="3">
        <f t="shared" si="0"/>
        <v>2.1466627524619197E-2</v>
      </c>
      <c r="F17" s="4">
        <f t="shared" si="1"/>
        <v>739.88959600751116</v>
      </c>
    </row>
    <row r="18" spans="1:6">
      <c r="A18" s="27">
        <v>42653</v>
      </c>
      <c r="B18" s="1">
        <v>0.33333333333333331</v>
      </c>
      <c r="C18" s="2">
        <v>8292</v>
      </c>
      <c r="D18" s="2">
        <v>11.4</v>
      </c>
      <c r="E18" s="3">
        <f t="shared" si="0"/>
        <v>1.3792824552562671E-2</v>
      </c>
      <c r="F18" s="4">
        <f t="shared" si="1"/>
        <v>739.10686810436141</v>
      </c>
    </row>
    <row r="19" spans="1:6">
      <c r="A19" s="7">
        <v>42846</v>
      </c>
      <c r="B19" s="1">
        <v>0.54166666666666663</v>
      </c>
      <c r="C19" s="2">
        <v>8149.9</v>
      </c>
      <c r="D19" s="2">
        <v>4.9000000000000004</v>
      </c>
      <c r="E19" s="3">
        <f t="shared" si="0"/>
        <v>1.656511503102906E-2</v>
      </c>
      <c r="F19" s="4">
        <f t="shared" si="1"/>
        <v>739.38964173316504</v>
      </c>
    </row>
    <row r="20" spans="1:6">
      <c r="A20" s="7">
        <v>42855</v>
      </c>
      <c r="B20" s="1">
        <v>0.33333333333333331</v>
      </c>
      <c r="C20" s="2">
        <v>8143.8</v>
      </c>
      <c r="D20" s="2">
        <v>4.4000000000000004</v>
      </c>
      <c r="E20" s="3">
        <f t="shared" si="0"/>
        <v>1.5999390750432829E-2</v>
      </c>
      <c r="F20" s="4">
        <f t="shared" si="1"/>
        <v>739.33193785654419</v>
      </c>
    </row>
    <row r="21" spans="1:6">
      <c r="A21" s="7">
        <v>42865</v>
      </c>
      <c r="B21" s="1">
        <v>0.33333333333333331</v>
      </c>
      <c r="C21" s="2">
        <v>8108.6</v>
      </c>
      <c r="D21" s="2">
        <v>4.4000000000000004</v>
      </c>
      <c r="E21" s="3">
        <f t="shared" si="0"/>
        <v>2.1673709038795119E-2</v>
      </c>
      <c r="F21" s="4">
        <f t="shared" si="1"/>
        <v>739.91071832195712</v>
      </c>
    </row>
    <row r="22" spans="1:6">
      <c r="A22" s="7">
        <v>42875</v>
      </c>
      <c r="B22" s="1">
        <v>0.33333333333333331</v>
      </c>
      <c r="C22" s="2">
        <v>8146.7</v>
      </c>
      <c r="D22" s="2">
        <v>5.4</v>
      </c>
      <c r="E22" s="3">
        <f t="shared" si="0"/>
        <v>1.8630073322183471E-2</v>
      </c>
      <c r="F22" s="4">
        <f t="shared" si="1"/>
        <v>739.60026747886275</v>
      </c>
    </row>
    <row r="23" spans="1:6">
      <c r="A23" s="6">
        <v>42885</v>
      </c>
      <c r="B23" s="1">
        <v>0.33333333333333331</v>
      </c>
      <c r="C23" s="2">
        <v>8172.8</v>
      </c>
      <c r="D23" s="2">
        <v>5.8</v>
      </c>
      <c r="E23" s="3">
        <f t="shared" si="0"/>
        <v>1.5661731460304834E-2</v>
      </c>
      <c r="F23" s="4">
        <f t="shared" si="1"/>
        <v>739.29749660895118</v>
      </c>
    </row>
    <row r="24" spans="1:6">
      <c r="A24" s="6">
        <v>42896</v>
      </c>
      <c r="B24" s="1">
        <v>0.33333333333333331</v>
      </c>
      <c r="C24" s="2">
        <v>8164.7</v>
      </c>
      <c r="D24" s="2">
        <v>5.4</v>
      </c>
      <c r="E24" s="3">
        <f t="shared" si="0"/>
        <v>1.572828932045589E-2</v>
      </c>
      <c r="F24" s="4">
        <f t="shared" si="1"/>
        <v>739.30428551068655</v>
      </c>
    </row>
    <row r="25" spans="1:6">
      <c r="A25" s="7">
        <v>42906</v>
      </c>
      <c r="B25" s="9">
        <v>0.33333333333333331</v>
      </c>
      <c r="C25" s="2">
        <v>8156.5</v>
      </c>
      <c r="D25" s="2">
        <v>5.0999999999999996</v>
      </c>
      <c r="E25" s="3">
        <f t="shared" si="0"/>
        <v>1.6120768837307939E-2</v>
      </c>
      <c r="F25" s="4">
        <f t="shared" si="1"/>
        <v>739.34431842140543</v>
      </c>
    </row>
    <row r="26" spans="1:6">
      <c r="A26" s="7">
        <v>42916</v>
      </c>
      <c r="B26" s="9">
        <v>0.33333333333333331</v>
      </c>
      <c r="C26" s="2">
        <v>8150.8</v>
      </c>
      <c r="D26" s="2">
        <v>5.0999999999999996</v>
      </c>
      <c r="E26" s="3">
        <f t="shared" si="0"/>
        <v>1.7039663936414304E-2</v>
      </c>
      <c r="F26" s="4">
        <f t="shared" si="1"/>
        <v>739.4380457215143</v>
      </c>
    </row>
    <row r="27" spans="1:6">
      <c r="A27" s="7">
        <v>42926</v>
      </c>
      <c r="B27" s="9">
        <v>0.33333333333333331</v>
      </c>
      <c r="C27" s="2">
        <v>8163.3</v>
      </c>
      <c r="D27" s="2">
        <v>5.0999999999999996</v>
      </c>
      <c r="E27" s="3">
        <f t="shared" si="0"/>
        <v>1.5024531582185516E-2</v>
      </c>
      <c r="F27" s="4">
        <f t="shared" si="1"/>
        <v>739.23250222138302</v>
      </c>
    </row>
    <row r="28" spans="1:6">
      <c r="A28" s="7">
        <v>42936</v>
      </c>
      <c r="B28" s="9">
        <v>0.33333333333333331</v>
      </c>
      <c r="C28" s="2">
        <v>8169</v>
      </c>
      <c r="D28" s="2">
        <v>5.5</v>
      </c>
      <c r="E28" s="3">
        <f t="shared" si="0"/>
        <v>1.5344890765351504E-2</v>
      </c>
      <c r="F28" s="4">
        <f t="shared" si="1"/>
        <v>739.26517885806595</v>
      </c>
    </row>
    <row r="29" spans="1:6">
      <c r="A29" s="7">
        <v>42946</v>
      </c>
      <c r="B29" s="1">
        <v>0.33333333333333331</v>
      </c>
      <c r="C29" s="2">
        <v>8182.6</v>
      </c>
      <c r="D29" s="2">
        <v>6</v>
      </c>
      <c r="E29" s="3">
        <f t="shared" si="0"/>
        <v>1.4701449626820656E-2</v>
      </c>
      <c r="F29" s="4">
        <f t="shared" si="1"/>
        <v>739.1995478619358</v>
      </c>
    </row>
    <row r="30" spans="1:6">
      <c r="A30" s="7">
        <v>42957</v>
      </c>
      <c r="B30" s="1">
        <v>0.33333333333333331</v>
      </c>
      <c r="C30" s="2">
        <v>8182.1</v>
      </c>
      <c r="D30" s="2">
        <v>6.4</v>
      </c>
      <c r="E30" s="3">
        <f t="shared" si="0"/>
        <v>1.6021331950733575E-2</v>
      </c>
      <c r="F30" s="4">
        <f t="shared" si="1"/>
        <v>739.33417585897485</v>
      </c>
    </row>
    <row r="31" spans="1:6">
      <c r="A31" s="7">
        <v>42967</v>
      </c>
      <c r="B31" s="1">
        <v>0.33333333333333331</v>
      </c>
      <c r="C31" s="2">
        <v>8191.3</v>
      </c>
      <c r="D31" s="2">
        <v>6.6</v>
      </c>
      <c r="E31" s="3">
        <f t="shared" si="0"/>
        <v>1.5157757380270975E-2</v>
      </c>
      <c r="F31" s="4">
        <f t="shared" si="1"/>
        <v>739.24609125278766</v>
      </c>
    </row>
    <row r="32" spans="1:6">
      <c r="A32" s="7">
        <v>42977</v>
      </c>
      <c r="B32" s="1">
        <v>0.33333333333333331</v>
      </c>
      <c r="C32" s="2">
        <v>8191.9</v>
      </c>
      <c r="D32" s="2">
        <v>7.4</v>
      </c>
      <c r="E32" s="3">
        <f t="shared" si="0"/>
        <v>1.7539572606826148E-2</v>
      </c>
      <c r="F32" s="4">
        <f t="shared" si="1"/>
        <v>739.48903640589629</v>
      </c>
    </row>
    <row r="33" spans="1:6">
      <c r="A33" s="7">
        <v>42988</v>
      </c>
      <c r="B33" s="1">
        <v>0.33333333333333331</v>
      </c>
      <c r="C33" s="2">
        <v>8197.2000000000007</v>
      </c>
      <c r="D33" s="2">
        <v>7.3</v>
      </c>
      <c r="E33" s="3">
        <f t="shared" si="0"/>
        <v>1.6375284202340676E-2</v>
      </c>
      <c r="F33" s="4">
        <f t="shared" si="1"/>
        <v>739.3702789886388</v>
      </c>
    </row>
    <row r="34" spans="1:6">
      <c r="A34" s="7">
        <v>42998</v>
      </c>
      <c r="B34" s="1">
        <v>0.33333333333333331</v>
      </c>
      <c r="C34" s="2">
        <v>8204.4</v>
      </c>
      <c r="D34" s="2">
        <v>7.4</v>
      </c>
      <c r="E34" s="3">
        <f t="shared" si="0"/>
        <v>1.5524300961615056E-2</v>
      </c>
      <c r="F34" s="4">
        <f t="shared" si="1"/>
        <v>739.28347869808476</v>
      </c>
    </row>
    <row r="35" spans="1:6">
      <c r="A35" s="7">
        <v>43008</v>
      </c>
      <c r="B35" s="1">
        <v>0.33333333333333331</v>
      </c>
      <c r="C35" s="2">
        <v>8209.4</v>
      </c>
      <c r="D35" s="2">
        <v>7.2</v>
      </c>
      <c r="E35" s="3">
        <f t="shared" si="0"/>
        <v>1.4098543641768199E-2</v>
      </c>
      <c r="F35" s="4">
        <f t="shared" si="1"/>
        <v>739.13805145146046</v>
      </c>
    </row>
    <row r="36" spans="1:6">
      <c r="A36" s="7">
        <v>43018</v>
      </c>
      <c r="B36" s="1">
        <v>0.33333333333333331</v>
      </c>
      <c r="C36" s="2">
        <v>8205.6</v>
      </c>
      <c r="D36" s="2">
        <v>7.5</v>
      </c>
      <c r="E36" s="3">
        <f t="shared" si="0"/>
        <v>1.5640651055018995E-2</v>
      </c>
      <c r="F36" s="4">
        <f t="shared" si="1"/>
        <v>739.29534640761199</v>
      </c>
    </row>
    <row r="37" spans="1:6">
      <c r="A37" s="7">
        <v>43230</v>
      </c>
      <c r="B37" s="1">
        <v>0.33333333333333331</v>
      </c>
      <c r="C37" s="2">
        <v>8156.4</v>
      </c>
      <c r="D37" s="2">
        <v>4.5</v>
      </c>
      <c r="E37" s="3">
        <f t="shared" si="0"/>
        <v>1.4277979479874151E-2</v>
      </c>
      <c r="F37" s="4">
        <f t="shared" si="1"/>
        <v>739.15635390694717</v>
      </c>
    </row>
    <row r="38" spans="1:6">
      <c r="A38" s="7">
        <v>43240</v>
      </c>
      <c r="B38" s="1">
        <v>0.33333333333333331</v>
      </c>
      <c r="C38" s="2">
        <v>8159</v>
      </c>
      <c r="D38" s="2">
        <v>4.5</v>
      </c>
      <c r="E38" s="3">
        <f t="shared" si="0"/>
        <v>1.3858831491991588E-2</v>
      </c>
      <c r="F38" s="4">
        <f t="shared" si="1"/>
        <v>739.11360081218322</v>
      </c>
    </row>
    <row r="39" spans="1:6">
      <c r="A39" s="7">
        <v>43250</v>
      </c>
      <c r="B39" s="1">
        <v>0.33333333333333331</v>
      </c>
      <c r="C39" s="2">
        <v>8154.8</v>
      </c>
      <c r="D39" s="2">
        <v>4.5</v>
      </c>
      <c r="E39" s="3">
        <f t="shared" si="0"/>
        <v>1.4535915792203105E-2</v>
      </c>
      <c r="F39" s="4">
        <f t="shared" si="1"/>
        <v>739.18266341080471</v>
      </c>
    </row>
    <row r="40" spans="1:6">
      <c r="A40" s="7">
        <v>43261</v>
      </c>
      <c r="B40" s="1">
        <v>0.33333333333333331</v>
      </c>
      <c r="C40" s="2">
        <v>8136.6</v>
      </c>
      <c r="D40" s="2">
        <v>4.5</v>
      </c>
      <c r="E40" s="3">
        <f t="shared" si="0"/>
        <v>1.7469892493462161E-2</v>
      </c>
      <c r="F40" s="4">
        <f t="shared" si="1"/>
        <v>739.48192903433323</v>
      </c>
    </row>
    <row r="41" spans="1:6">
      <c r="A41" s="7">
        <v>43271</v>
      </c>
      <c r="B41" s="1">
        <v>0.33333333333333331</v>
      </c>
      <c r="C41" s="2">
        <v>8067.6</v>
      </c>
      <c r="D41" s="2">
        <v>3.8</v>
      </c>
      <c r="E41" s="3">
        <f t="shared" si="0"/>
        <v>2.6423666301019805E-2</v>
      </c>
      <c r="F41" s="4">
        <f t="shared" si="1"/>
        <v>740.39521396270402</v>
      </c>
    </row>
    <row r="42" spans="1:6">
      <c r="A42" s="7">
        <v>43281</v>
      </c>
      <c r="B42" s="1">
        <v>0.33333333333333331</v>
      </c>
      <c r="C42" s="2">
        <v>8083.1</v>
      </c>
      <c r="D42" s="2">
        <v>4.0999999999999996</v>
      </c>
      <c r="E42" s="3">
        <f t="shared" si="0"/>
        <v>2.4854700722186138E-2</v>
      </c>
      <c r="F42" s="4">
        <f t="shared" si="1"/>
        <v>740.23517947366304</v>
      </c>
    </row>
    <row r="43" spans="1:6">
      <c r="A43" s="7">
        <v>43291</v>
      </c>
      <c r="B43" s="1">
        <v>0.33333333333333331</v>
      </c>
      <c r="C43" s="2">
        <v>8109.3</v>
      </c>
      <c r="D43" s="2">
        <v>4.3</v>
      </c>
      <c r="E43" s="3">
        <f t="shared" si="0"/>
        <v>2.1251052355770905E-2</v>
      </c>
      <c r="F43" s="4">
        <f t="shared" si="1"/>
        <v>739.86760734028871</v>
      </c>
    </row>
    <row r="44" spans="1:6">
      <c r="A44" s="7">
        <v>43301</v>
      </c>
      <c r="B44" s="1">
        <v>0.33333333333333331</v>
      </c>
      <c r="C44" s="2">
        <v>8131.4</v>
      </c>
      <c r="D44" s="2">
        <v>5.4</v>
      </c>
      <c r="E44" s="3">
        <f t="shared" si="0"/>
        <v>2.1096520655659368E-2</v>
      </c>
      <c r="F44" s="4">
        <f t="shared" si="1"/>
        <v>739.85184510687725</v>
      </c>
    </row>
    <row r="45" spans="1:6">
      <c r="A45" s="7">
        <v>43311</v>
      </c>
      <c r="B45" s="1">
        <v>0.33333333333333331</v>
      </c>
      <c r="C45" s="2">
        <v>8140.2</v>
      </c>
      <c r="D45" s="2">
        <v>5.3</v>
      </c>
      <c r="E45" s="3">
        <f t="shared" si="0"/>
        <v>1.9368099778844128E-2</v>
      </c>
      <c r="F45" s="4">
        <f t="shared" si="1"/>
        <v>739.67554617744213</v>
      </c>
    </row>
    <row r="46" spans="1:6">
      <c r="A46" s="7">
        <v>43322</v>
      </c>
      <c r="B46" s="1">
        <v>0.33333333333333331</v>
      </c>
      <c r="C46" s="2">
        <v>8166.8</v>
      </c>
      <c r="D46" s="2">
        <v>5.6</v>
      </c>
      <c r="E46" s="3">
        <f t="shared" si="0"/>
        <v>1.6009378931473375E-2</v>
      </c>
      <c r="F46" s="4">
        <f t="shared" si="1"/>
        <v>739.33295665101036</v>
      </c>
    </row>
    <row r="47" spans="1:6">
      <c r="A47" s="7">
        <v>43332</v>
      </c>
      <c r="B47" s="1">
        <v>0.33333333333333331</v>
      </c>
      <c r="C47" s="2">
        <v>8197.5</v>
      </c>
      <c r="D47" s="2">
        <v>6</v>
      </c>
      <c r="E47" s="3">
        <f t="shared" ref="E47:E64" si="2">($B$2*C47^2+$B$3*C47+$B$4)-$B$5*D47-$E$7</f>
        <v>1.2299278547925813E-2</v>
      </c>
      <c r="F47" s="4">
        <f t="shared" ref="F47:F64" si="3">$D$1+102*E47</f>
        <v>738.95452641188842</v>
      </c>
    </row>
    <row r="48" spans="1:6">
      <c r="A48" s="7">
        <v>43342</v>
      </c>
      <c r="B48" s="1">
        <v>0.33333333333333331</v>
      </c>
      <c r="C48" s="2">
        <v>8199.2999999999993</v>
      </c>
      <c r="D48" s="2">
        <v>7.6</v>
      </c>
      <c r="E48" s="3">
        <f t="shared" si="2"/>
        <v>1.6966173709008991E-2</v>
      </c>
      <c r="F48" s="4">
        <f t="shared" si="3"/>
        <v>739.43054971831896</v>
      </c>
    </row>
    <row r="49" spans="1:6">
      <c r="A49" s="7">
        <v>43353</v>
      </c>
      <c r="B49" s="1">
        <v>0.33333333333333331</v>
      </c>
      <c r="C49" s="2">
        <v>8202.2000000000007</v>
      </c>
      <c r="D49" s="2">
        <v>11.4</v>
      </c>
      <c r="E49" s="3">
        <f t="shared" si="2"/>
        <v>2.8271727843029532E-2</v>
      </c>
      <c r="F49" s="4">
        <f t="shared" si="3"/>
        <v>740.58371623998903</v>
      </c>
    </row>
    <row r="50" spans="1:6">
      <c r="A50" s="7">
        <v>43363</v>
      </c>
      <c r="B50" s="1">
        <v>0.33333333333333331</v>
      </c>
      <c r="C50" s="2">
        <v>8199</v>
      </c>
      <c r="D50" s="2">
        <v>10.4</v>
      </c>
      <c r="E50" s="3">
        <f t="shared" si="2"/>
        <v>2.5689455509831635E-2</v>
      </c>
      <c r="F50" s="4">
        <f t="shared" si="3"/>
        <v>740.32032446200287</v>
      </c>
    </row>
    <row r="51" spans="1:6">
      <c r="A51" s="7">
        <v>43373</v>
      </c>
      <c r="B51" s="1">
        <v>0.33333333333333331</v>
      </c>
      <c r="C51" s="2">
        <v>8208.7000000000007</v>
      </c>
      <c r="D51" s="2">
        <v>10.1</v>
      </c>
      <c r="E51" s="3">
        <f t="shared" si="2"/>
        <v>2.3196134522590867E-2</v>
      </c>
      <c r="F51" s="4">
        <f t="shared" si="3"/>
        <v>740.06600572130435</v>
      </c>
    </row>
    <row r="52" spans="1:6">
      <c r="A52" s="7">
        <v>43383</v>
      </c>
      <c r="B52" s="1">
        <v>0.33333333333333331</v>
      </c>
      <c r="C52" s="2">
        <v>8214.2999999999993</v>
      </c>
      <c r="D52" s="2">
        <v>10</v>
      </c>
      <c r="E52" s="3">
        <f t="shared" si="2"/>
        <v>2.1983454156156892E-2</v>
      </c>
      <c r="F52" s="4">
        <f t="shared" si="3"/>
        <v>739.94231232392804</v>
      </c>
    </row>
    <row r="53" spans="1:6">
      <c r="A53" s="7">
        <v>43393</v>
      </c>
      <c r="B53" s="1">
        <v>0.33333333333333331</v>
      </c>
      <c r="C53" s="2">
        <v>8220.7000000000007</v>
      </c>
      <c r="D53" s="2">
        <v>9.6</v>
      </c>
      <c r="E53" s="3">
        <f t="shared" si="2"/>
        <v>1.9712327897564719E-2</v>
      </c>
      <c r="F53" s="4">
        <f t="shared" si="3"/>
        <v>739.71065744555165</v>
      </c>
    </row>
    <row r="54" spans="1:6">
      <c r="A54" s="7">
        <v>43605</v>
      </c>
      <c r="B54" s="1">
        <v>0.33333333333333331</v>
      </c>
      <c r="C54" s="2">
        <v>8235.2999999999993</v>
      </c>
      <c r="D54" s="2">
        <v>9.1</v>
      </c>
      <c r="E54" s="3">
        <f t="shared" si="2"/>
        <v>1.5809280456536151E-2</v>
      </c>
      <c r="F54" s="4">
        <f t="shared" si="3"/>
        <v>739.31254660656668</v>
      </c>
    </row>
    <row r="55" spans="1:6">
      <c r="A55" s="7">
        <v>43615</v>
      </c>
      <c r="B55" s="1">
        <v>0.33333333333333331</v>
      </c>
      <c r="C55" s="2">
        <v>8236.4</v>
      </c>
      <c r="D55" s="2">
        <v>9.1999999999999993</v>
      </c>
      <c r="E55" s="3">
        <f t="shared" si="2"/>
        <v>1.5941743708162232E-2</v>
      </c>
      <c r="F55" s="4">
        <f t="shared" si="3"/>
        <v>739.32605785823262</v>
      </c>
    </row>
    <row r="56" spans="1:6">
      <c r="A56" s="7">
        <v>43626</v>
      </c>
      <c r="B56" s="1">
        <v>0.33333333333333331</v>
      </c>
      <c r="C56" s="2">
        <v>8238.2000000000007</v>
      </c>
      <c r="D56" s="2">
        <v>9.1999999999999993</v>
      </c>
      <c r="E56" s="3">
        <f t="shared" si="2"/>
        <v>1.5651525485002343E-2</v>
      </c>
      <c r="F56" s="4">
        <f t="shared" si="3"/>
        <v>739.29645559947028</v>
      </c>
    </row>
    <row r="57" spans="1:6">
      <c r="A57" s="7">
        <v>43636</v>
      </c>
      <c r="B57" s="1">
        <v>0.33333333333333331</v>
      </c>
      <c r="C57" s="2">
        <v>8340.7000000000007</v>
      </c>
      <c r="D57" s="2">
        <v>9.4</v>
      </c>
      <c r="E57" s="3">
        <f t="shared" si="2"/>
        <v>-2.5660247061932984E-4</v>
      </c>
      <c r="F57" s="4">
        <f t="shared" si="3"/>
        <v>737.6738265479969</v>
      </c>
    </row>
    <row r="58" spans="1:6">
      <c r="A58" s="7">
        <v>43646</v>
      </c>
      <c r="B58" s="1">
        <v>0.33333333333333331</v>
      </c>
      <c r="C58" s="2">
        <v>8346.2000000000007</v>
      </c>
      <c r="D58" s="2">
        <v>9.5</v>
      </c>
      <c r="E58" s="3">
        <f t="shared" si="2"/>
        <v>-8.3372026485518946E-4</v>
      </c>
      <c r="F58" s="4">
        <f t="shared" si="3"/>
        <v>737.61496053298481</v>
      </c>
    </row>
    <row r="59" spans="1:6">
      <c r="A59" s="7">
        <v>43656</v>
      </c>
      <c r="B59" s="1">
        <v>0.33333333333333331</v>
      </c>
      <c r="C59" s="2">
        <v>8349.5</v>
      </c>
      <c r="D59" s="2">
        <v>9.8000000000000007</v>
      </c>
      <c r="E59" s="3">
        <f t="shared" si="2"/>
        <v>-4.3643071814603029E-4</v>
      </c>
      <c r="F59" s="4">
        <f t="shared" si="3"/>
        <v>737.65548406674918</v>
      </c>
    </row>
    <row r="60" spans="1:6">
      <c r="A60" s="7">
        <v>43666</v>
      </c>
      <c r="B60" s="1">
        <v>0.33333333333333331</v>
      </c>
      <c r="C60" s="2">
        <v>8352.1</v>
      </c>
      <c r="D60" s="2">
        <v>9.9</v>
      </c>
      <c r="E60" s="3">
        <f t="shared" si="2"/>
        <v>-5.4589642754841738E-4</v>
      </c>
      <c r="F60" s="4">
        <f t="shared" si="3"/>
        <v>737.64431856439012</v>
      </c>
    </row>
    <row r="61" spans="1:6">
      <c r="A61" s="7">
        <v>43676</v>
      </c>
      <c r="B61" s="1">
        <v>0.33333333333333331</v>
      </c>
      <c r="C61" s="2">
        <v>8338.9</v>
      </c>
      <c r="D61" s="2">
        <v>9.9</v>
      </c>
      <c r="E61" s="3">
        <f t="shared" si="2"/>
        <v>1.5827577752873939E-3</v>
      </c>
      <c r="F61" s="4">
        <f t="shared" si="3"/>
        <v>737.86144129307934</v>
      </c>
    </row>
    <row r="62" spans="1:6">
      <c r="A62" s="7">
        <v>43687</v>
      </c>
      <c r="B62" s="1">
        <v>0.33333333333333331</v>
      </c>
      <c r="C62" s="2">
        <v>8302.5</v>
      </c>
      <c r="D62" s="2">
        <v>10.199999999999999</v>
      </c>
      <c r="E62" s="3">
        <f t="shared" si="2"/>
        <v>8.3818934504259757E-3</v>
      </c>
      <c r="F62" s="4">
        <f t="shared" si="3"/>
        <v>738.55495313194353</v>
      </c>
    </row>
    <row r="63" spans="1:6">
      <c r="A63" s="7">
        <v>43697</v>
      </c>
      <c r="B63" s="1">
        <v>0.33333333333333331</v>
      </c>
      <c r="C63" s="2">
        <v>8287.5</v>
      </c>
      <c r="D63" s="2">
        <v>11.4</v>
      </c>
      <c r="E63" s="3">
        <f t="shared" si="2"/>
        <v>1.4518434102975791E-2</v>
      </c>
      <c r="F63" s="4">
        <f t="shared" si="3"/>
        <v>739.18088027850354</v>
      </c>
    </row>
    <row r="64" spans="1:6">
      <c r="A64" s="7">
        <v>43707</v>
      </c>
      <c r="B64" s="1">
        <v>0.33333333333333331</v>
      </c>
      <c r="C64" s="2">
        <v>8201.1</v>
      </c>
      <c r="D64" s="2">
        <v>12.2</v>
      </c>
      <c r="E64" s="3">
        <f t="shared" si="2"/>
        <v>3.0927619991643299E-2</v>
      </c>
      <c r="F64" s="4">
        <f t="shared" si="3"/>
        <v>740.85461723914761</v>
      </c>
    </row>
  </sheetData>
  <phoneticPr fontId="4" type="noConversion"/>
  <pageMargins left="0.69930555555555596" right="0.69930555555555596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4"/>
  <sheetViews>
    <sheetView topLeftCell="A40" workbookViewId="0">
      <selection activeCell="A58" sqref="A58:B64"/>
    </sheetView>
  </sheetViews>
  <sheetFormatPr defaultColWidth="9" defaultRowHeight="13.5"/>
  <cols>
    <col min="1" max="1" width="11.625" customWidth="1"/>
    <col min="2" max="2" width="13.875" customWidth="1"/>
  </cols>
  <sheetData>
    <row r="1" spans="1:7">
      <c r="A1" t="s">
        <v>0</v>
      </c>
      <c r="B1">
        <v>11268</v>
      </c>
      <c r="C1" t="s">
        <v>1</v>
      </c>
      <c r="D1">
        <v>733</v>
      </c>
    </row>
    <row r="2" spans="1:7">
      <c r="A2" t="s">
        <v>2</v>
      </c>
      <c r="B2" s="10">
        <v>2.2030700000000001E-10</v>
      </c>
    </row>
    <row r="3" spans="1:7">
      <c r="A3" t="s">
        <v>3</v>
      </c>
      <c r="B3">
        <v>-1.6102999999999999E-4</v>
      </c>
    </row>
    <row r="4" spans="1:7">
      <c r="A4" t="s">
        <v>4</v>
      </c>
      <c r="B4">
        <v>1.5455123</v>
      </c>
    </row>
    <row r="5" spans="1:7">
      <c r="A5" t="s">
        <v>5</v>
      </c>
      <c r="B5">
        <v>-3.0216539999999999E-3</v>
      </c>
    </row>
    <row r="6" spans="1:7">
      <c r="A6" t="s">
        <v>6</v>
      </c>
      <c r="B6" t="s">
        <v>7</v>
      </c>
      <c r="C6" t="s">
        <v>8</v>
      </c>
      <c r="D6" t="s">
        <v>9</v>
      </c>
      <c r="E6" t="s">
        <v>10</v>
      </c>
      <c r="F6" t="s">
        <v>11</v>
      </c>
      <c r="G6" t="s">
        <v>12</v>
      </c>
    </row>
    <row r="7" spans="1:7">
      <c r="A7" s="7">
        <v>42609</v>
      </c>
      <c r="B7" s="1">
        <v>0.72916666666666696</v>
      </c>
      <c r="C7" s="2">
        <v>9473</v>
      </c>
      <c r="D7" s="2">
        <v>13.4</v>
      </c>
      <c r="E7" s="3">
        <f>($B$2*C7^2+$B$3*C7+$B$4)-$B$5*D7</f>
        <v>8.0335123462802999E-2</v>
      </c>
      <c r="G7" t="s">
        <v>13</v>
      </c>
    </row>
    <row r="8" spans="1:7">
      <c r="A8" s="7">
        <v>42611</v>
      </c>
      <c r="B8" s="1">
        <v>0.75</v>
      </c>
      <c r="C8" s="2">
        <v>8750.9</v>
      </c>
      <c r="D8" s="2">
        <v>11.1</v>
      </c>
      <c r="E8" s="3">
        <f t="shared" ref="E8:E46" si="0">($B$2*C8^2+$B$3*C8+$B$4)-$B$5*D8-$E$7</f>
        <v>0.10643083363839592</v>
      </c>
      <c r="F8" s="4">
        <f>$D$1+102*E8</f>
        <v>743.85594503111633</v>
      </c>
      <c r="G8" t="s">
        <v>14</v>
      </c>
    </row>
    <row r="9" spans="1:7">
      <c r="A9" s="7">
        <v>42612</v>
      </c>
      <c r="B9" s="1">
        <v>0.33333333333333298</v>
      </c>
      <c r="C9" s="2">
        <v>8917.2000000000007</v>
      </c>
      <c r="D9" s="2">
        <v>9.1999999999999993</v>
      </c>
      <c r="E9" s="3">
        <f t="shared" si="0"/>
        <v>7.4557709173939835E-2</v>
      </c>
      <c r="F9" s="4">
        <f t="shared" ref="F9:F46" si="1">$D$1+102*E9</f>
        <v>740.60488633574187</v>
      </c>
    </row>
    <row r="10" spans="1:7">
      <c r="A10" s="7">
        <v>42613</v>
      </c>
      <c r="B10" s="1">
        <v>0.33333333333333298</v>
      </c>
      <c r="C10" s="2">
        <v>8954.1</v>
      </c>
      <c r="D10" s="2">
        <v>8.8000000000000007</v>
      </c>
      <c r="E10" s="3">
        <f t="shared" si="0"/>
        <v>6.7552322238787543E-2</v>
      </c>
      <c r="F10" s="4">
        <f t="shared" si="1"/>
        <v>739.89033686835637</v>
      </c>
    </row>
    <row r="11" spans="1:7">
      <c r="A11" s="7">
        <v>42614</v>
      </c>
      <c r="B11" s="1">
        <v>0.33333333333333298</v>
      </c>
      <c r="C11" s="2">
        <v>8997.6</v>
      </c>
      <c r="D11" s="2">
        <v>8.1</v>
      </c>
      <c r="E11" s="3">
        <f t="shared" si="0"/>
        <v>5.8604396943765152E-2</v>
      </c>
      <c r="F11" s="4">
        <f t="shared" si="1"/>
        <v>738.97764848826409</v>
      </c>
    </row>
    <row r="12" spans="1:7">
      <c r="A12" s="7">
        <v>42615</v>
      </c>
      <c r="B12" s="1">
        <v>0.33333333333333298</v>
      </c>
      <c r="C12" s="2">
        <v>8919.2999999999993</v>
      </c>
      <c r="D12" s="2">
        <v>7.9</v>
      </c>
      <c r="E12" s="3">
        <f t="shared" si="0"/>
        <v>7.0299647936131721E-2</v>
      </c>
      <c r="F12" s="4">
        <f t="shared" si="1"/>
        <v>740.17056408948542</v>
      </c>
    </row>
    <row r="13" spans="1:7">
      <c r="A13" s="7">
        <v>42616</v>
      </c>
      <c r="B13" s="1">
        <v>0.33333333333333298</v>
      </c>
      <c r="C13" s="2">
        <v>8940.7000000000007</v>
      </c>
      <c r="D13" s="2">
        <v>7.8</v>
      </c>
      <c r="E13" s="3">
        <f t="shared" si="0"/>
        <v>6.6635642752759155E-2</v>
      </c>
      <c r="F13" s="4">
        <f t="shared" si="1"/>
        <v>739.79683556078146</v>
      </c>
    </row>
    <row r="14" spans="1:7">
      <c r="A14" s="7">
        <v>42617</v>
      </c>
      <c r="B14" s="1">
        <v>0.33333333333333298</v>
      </c>
      <c r="C14" s="2">
        <v>8919.9</v>
      </c>
      <c r="D14" s="2">
        <v>7.8</v>
      </c>
      <c r="E14" s="3">
        <f t="shared" si="0"/>
        <v>6.9903222596512077E-2</v>
      </c>
      <c r="F14" s="4">
        <f t="shared" si="1"/>
        <v>740.1301287048442</v>
      </c>
    </row>
    <row r="15" spans="1:7">
      <c r="A15" s="7">
        <v>42623</v>
      </c>
      <c r="B15" s="1">
        <v>0.33333333333333298</v>
      </c>
      <c r="C15" s="2">
        <v>8945.1</v>
      </c>
      <c r="D15" s="2">
        <v>8</v>
      </c>
      <c r="E15" s="3">
        <f t="shared" si="0"/>
        <v>6.6548779167298094E-2</v>
      </c>
      <c r="F15" s="4">
        <f t="shared" si="1"/>
        <v>739.7879754750644</v>
      </c>
    </row>
    <row r="16" spans="1:7">
      <c r="A16" s="7">
        <v>42633</v>
      </c>
      <c r="B16" s="1">
        <v>0.33333333333333331</v>
      </c>
      <c r="C16" s="2">
        <v>8950.5</v>
      </c>
      <c r="D16" s="2">
        <v>9</v>
      </c>
      <c r="E16" s="3">
        <f t="shared" si="0"/>
        <v>6.8722160807423716E-2</v>
      </c>
      <c r="F16" s="4">
        <f t="shared" si="1"/>
        <v>740.00966040235721</v>
      </c>
    </row>
    <row r="17" spans="1:6">
      <c r="A17" s="7">
        <v>42643</v>
      </c>
      <c r="B17" s="1">
        <v>0.33333333333333331</v>
      </c>
      <c r="C17" s="2">
        <v>9023.5</v>
      </c>
      <c r="D17" s="2">
        <v>10.4</v>
      </c>
      <c r="E17" s="3">
        <f t="shared" si="0"/>
        <v>6.1486351662737831E-2</v>
      </c>
      <c r="F17" s="4">
        <f t="shared" si="1"/>
        <v>739.27160786959928</v>
      </c>
    </row>
    <row r="18" spans="1:6">
      <c r="A18" s="27">
        <v>42653</v>
      </c>
      <c r="B18" s="1">
        <v>0.33333333333333331</v>
      </c>
      <c r="C18" s="2">
        <v>9063</v>
      </c>
      <c r="D18" s="2">
        <v>10</v>
      </c>
      <c r="E18" s="3">
        <f t="shared" si="0"/>
        <v>5.4074396073680114E-2</v>
      </c>
      <c r="F18" s="4">
        <f t="shared" si="1"/>
        <v>738.51558839951542</v>
      </c>
    </row>
    <row r="19" spans="1:6">
      <c r="A19" s="7">
        <v>42846</v>
      </c>
      <c r="B19" s="1">
        <v>0.33333333333333331</v>
      </c>
      <c r="C19" s="2">
        <v>9001.7999999999993</v>
      </c>
      <c r="D19" s="2">
        <v>7.8</v>
      </c>
      <c r="E19" s="3">
        <f t="shared" si="0"/>
        <v>5.7038229397791712E-2</v>
      </c>
      <c r="F19" s="4">
        <f t="shared" si="1"/>
        <v>738.81789939857481</v>
      </c>
    </row>
    <row r="20" spans="1:6">
      <c r="A20" s="7">
        <v>42855</v>
      </c>
      <c r="B20" s="1">
        <v>0.33333333333333331</v>
      </c>
      <c r="C20" s="2">
        <v>9001</v>
      </c>
      <c r="D20" s="2">
        <v>7.6</v>
      </c>
      <c r="E20" s="3">
        <f t="shared" si="0"/>
        <v>5.6559549683504101E-2</v>
      </c>
      <c r="F20" s="4">
        <f t="shared" si="1"/>
        <v>738.76907406771738</v>
      </c>
    </row>
    <row r="21" spans="1:6">
      <c r="A21" s="7">
        <v>42865</v>
      </c>
      <c r="B21" s="1">
        <v>0.33333333333333331</v>
      </c>
      <c r="C21" s="2">
        <v>8966.1</v>
      </c>
      <c r="D21" s="2">
        <v>7.5</v>
      </c>
      <c r="E21" s="3">
        <f t="shared" si="0"/>
        <v>6.1739187384804523E-2</v>
      </c>
      <c r="F21" s="4">
        <f t="shared" si="1"/>
        <v>739.2973971132501</v>
      </c>
    </row>
    <row r="22" spans="1:6">
      <c r="A22" s="7">
        <v>42875</v>
      </c>
      <c r="B22" s="1">
        <v>0.33333333333333331</v>
      </c>
      <c r="C22" s="2">
        <v>8981.9</v>
      </c>
      <c r="D22" s="2">
        <v>7.4</v>
      </c>
      <c r="E22" s="3">
        <f t="shared" si="0"/>
        <v>5.8955222291373316E-2</v>
      </c>
      <c r="F22" s="4">
        <f t="shared" si="1"/>
        <v>739.0134326737201</v>
      </c>
    </row>
    <row r="23" spans="1:6">
      <c r="A23" s="6">
        <v>42885</v>
      </c>
      <c r="B23" s="1">
        <v>0.33333333333333331</v>
      </c>
      <c r="C23" s="2">
        <v>9000.2000000000007</v>
      </c>
      <c r="D23" s="2">
        <v>7.3</v>
      </c>
      <c r="E23" s="3">
        <f t="shared" si="0"/>
        <v>5.5778704851209143E-2</v>
      </c>
      <c r="F23" s="4">
        <f t="shared" si="1"/>
        <v>738.68942789482333</v>
      </c>
    </row>
    <row r="24" spans="1:6">
      <c r="A24" s="6">
        <v>42896</v>
      </c>
      <c r="B24" s="1">
        <v>0.33333333333333331</v>
      </c>
      <c r="C24" s="2">
        <v>8998</v>
      </c>
      <c r="D24" s="2">
        <v>7.3</v>
      </c>
      <c r="E24" s="3">
        <f t="shared" si="0"/>
        <v>5.612424756642484E-2</v>
      </c>
      <c r="F24" s="4">
        <f t="shared" si="1"/>
        <v>738.72467325177536</v>
      </c>
    </row>
    <row r="25" spans="1:6">
      <c r="A25" s="7">
        <v>42906</v>
      </c>
      <c r="B25" s="9">
        <v>0.33333333333333331</v>
      </c>
      <c r="C25" s="2">
        <v>8993.7999999999993</v>
      </c>
      <c r="D25" s="2">
        <v>7.2</v>
      </c>
      <c r="E25" s="3">
        <f t="shared" si="0"/>
        <v>5.648176054459822E-2</v>
      </c>
      <c r="F25" s="4">
        <f t="shared" si="1"/>
        <v>738.76113957554901</v>
      </c>
    </row>
    <row r="26" spans="1:6">
      <c r="A26" s="7">
        <v>42916</v>
      </c>
      <c r="B26" s="9">
        <v>0.33333333333333331</v>
      </c>
      <c r="C26" s="2">
        <v>8988</v>
      </c>
      <c r="D26" s="2">
        <v>7.2</v>
      </c>
      <c r="E26" s="3">
        <f t="shared" si="0"/>
        <v>5.7392757749404916E-2</v>
      </c>
      <c r="F26" s="4">
        <f t="shared" si="1"/>
        <v>738.85406129043929</v>
      </c>
    </row>
    <row r="27" spans="1:6">
      <c r="A27" s="7">
        <v>42926</v>
      </c>
      <c r="B27" s="9">
        <v>0.33333333333333331</v>
      </c>
      <c r="C27" s="2">
        <v>8999.2000000000007</v>
      </c>
      <c r="D27" s="2">
        <v>7.1</v>
      </c>
      <c r="E27" s="3">
        <f t="shared" si="0"/>
        <v>5.5331438657393289E-2</v>
      </c>
      <c r="F27" s="4">
        <f t="shared" si="1"/>
        <v>738.64380674305414</v>
      </c>
    </row>
    <row r="28" spans="1:6">
      <c r="A28" s="7">
        <v>42936</v>
      </c>
      <c r="B28" s="9">
        <v>0.33333333333333331</v>
      </c>
      <c r="C28" s="2">
        <v>8995.5</v>
      </c>
      <c r="D28" s="2">
        <v>7</v>
      </c>
      <c r="E28" s="3">
        <f t="shared" si="0"/>
        <v>5.5610416131413626E-2</v>
      </c>
      <c r="F28" s="4">
        <f t="shared" si="1"/>
        <v>738.67226244540416</v>
      </c>
    </row>
    <row r="29" spans="1:6">
      <c r="A29" s="7">
        <v>42946</v>
      </c>
      <c r="B29" s="1">
        <v>0.33333333333333331</v>
      </c>
      <c r="C29" s="2">
        <v>9000.5</v>
      </c>
      <c r="D29" s="2">
        <v>7</v>
      </c>
      <c r="E29" s="3">
        <f t="shared" si="0"/>
        <v>5.4825089355273887E-2</v>
      </c>
      <c r="F29" s="4">
        <f t="shared" si="1"/>
        <v>738.59215911423792</v>
      </c>
    </row>
    <row r="30" spans="1:6">
      <c r="A30" s="7">
        <v>42957</v>
      </c>
      <c r="B30" s="1">
        <v>0.33333333333333331</v>
      </c>
      <c r="C30" s="2">
        <v>8991.4</v>
      </c>
      <c r="D30" s="2">
        <v>6.9</v>
      </c>
      <c r="E30" s="3">
        <f t="shared" si="0"/>
        <v>5.5952226907502872E-2</v>
      </c>
      <c r="F30" s="4">
        <f t="shared" si="1"/>
        <v>738.70712714456533</v>
      </c>
    </row>
    <row r="31" spans="1:6">
      <c r="A31" s="7">
        <v>42967</v>
      </c>
      <c r="B31" s="1">
        <v>0.33333333333333331</v>
      </c>
      <c r="C31" s="2">
        <v>8997.1</v>
      </c>
      <c r="D31" s="2">
        <v>6.9</v>
      </c>
      <c r="E31" s="3">
        <f t="shared" si="0"/>
        <v>5.5056944964578886E-2</v>
      </c>
      <c r="F31" s="4">
        <f t="shared" si="1"/>
        <v>738.61580838638702</v>
      </c>
    </row>
    <row r="32" spans="1:6">
      <c r="A32" s="7">
        <v>42977</v>
      </c>
      <c r="B32" s="1">
        <v>0.33333333333333331</v>
      </c>
      <c r="C32" s="2">
        <v>8990.2999999999993</v>
      </c>
      <c r="D32" s="2">
        <v>7.4</v>
      </c>
      <c r="E32" s="3">
        <f t="shared" si="0"/>
        <v>5.7635829263682631E-2</v>
      </c>
      <c r="F32" s="4">
        <f t="shared" si="1"/>
        <v>738.87885458489563</v>
      </c>
    </row>
    <row r="33" spans="1:6">
      <c r="A33" s="7">
        <v>42988</v>
      </c>
      <c r="B33" s="1">
        <v>0.33333333333333331</v>
      </c>
      <c r="C33" s="2">
        <v>8989.9</v>
      </c>
      <c r="D33" s="2">
        <v>6.9</v>
      </c>
      <c r="E33" s="3">
        <f t="shared" si="0"/>
        <v>5.618782979811407E-2</v>
      </c>
      <c r="F33" s="4">
        <f t="shared" si="1"/>
        <v>738.73115863940768</v>
      </c>
    </row>
    <row r="34" spans="1:6">
      <c r="A34" s="7">
        <v>42998</v>
      </c>
      <c r="B34" s="1">
        <v>0.33333333333333331</v>
      </c>
      <c r="C34" s="2">
        <v>8995.5</v>
      </c>
      <c r="D34" s="2">
        <v>7</v>
      </c>
      <c r="E34" s="3">
        <f t="shared" si="0"/>
        <v>5.5610416131413626E-2</v>
      </c>
      <c r="F34" s="4">
        <f t="shared" si="1"/>
        <v>738.67226244540416</v>
      </c>
    </row>
    <row r="35" spans="1:6">
      <c r="A35" s="7">
        <v>43008</v>
      </c>
      <c r="B35" s="1">
        <v>0.33333333333333331</v>
      </c>
      <c r="C35" s="2">
        <v>8998.2000000000007</v>
      </c>
      <c r="D35" s="2">
        <v>6.9</v>
      </c>
      <c r="E35" s="3">
        <f t="shared" si="0"/>
        <v>5.4884172904191647E-2</v>
      </c>
      <c r="F35" s="4">
        <f t="shared" si="1"/>
        <v>738.59818563622753</v>
      </c>
    </row>
    <row r="36" spans="1:6">
      <c r="A36" s="7">
        <v>43018</v>
      </c>
      <c r="B36" s="1">
        <v>0.33333333333333331</v>
      </c>
      <c r="C36" s="2">
        <v>8994.7999999999993</v>
      </c>
      <c r="D36" s="2">
        <v>6.9</v>
      </c>
      <c r="E36" s="3">
        <f t="shared" si="0"/>
        <v>5.5418197359098226E-2</v>
      </c>
      <c r="F36" s="4">
        <f t="shared" si="1"/>
        <v>738.65265613062797</v>
      </c>
    </row>
    <row r="37" spans="1:6">
      <c r="A37" s="7">
        <v>43230</v>
      </c>
      <c r="B37" s="1">
        <v>0.33333333333333331</v>
      </c>
      <c r="C37" s="2">
        <v>8989.5</v>
      </c>
      <c r="D37" s="2">
        <v>6.3</v>
      </c>
      <c r="E37" s="3">
        <f t="shared" si="0"/>
        <v>5.4437665003043756E-2</v>
      </c>
      <c r="F37" s="4">
        <f t="shared" si="1"/>
        <v>738.55264183031045</v>
      </c>
    </row>
    <row r="38" spans="1:6">
      <c r="A38" s="7">
        <v>43240</v>
      </c>
      <c r="B38" s="1">
        <v>0.33333333333333331</v>
      </c>
      <c r="C38" s="2">
        <v>8991.7999999999993</v>
      </c>
      <c r="D38" s="2">
        <v>6.3</v>
      </c>
      <c r="E38" s="3">
        <f t="shared" si="0"/>
        <v>5.4076407237439728E-2</v>
      </c>
      <c r="F38" s="4">
        <f t="shared" si="1"/>
        <v>738.51579353821887</v>
      </c>
    </row>
    <row r="39" spans="1:6">
      <c r="A39" s="7">
        <v>43250</v>
      </c>
      <c r="B39" s="1">
        <v>0.33333333333333331</v>
      </c>
      <c r="C39" s="2">
        <v>8987.2999999999993</v>
      </c>
      <c r="D39" s="2">
        <v>6.3</v>
      </c>
      <c r="E39" s="3">
        <f t="shared" si="0"/>
        <v>5.4783218090313113E-2</v>
      </c>
      <c r="F39" s="4">
        <f t="shared" si="1"/>
        <v>738.58788824521196</v>
      </c>
    </row>
    <row r="40" spans="1:6">
      <c r="A40" s="7">
        <v>43261</v>
      </c>
      <c r="B40" s="1">
        <v>0.33333333333333331</v>
      </c>
      <c r="C40" s="2">
        <v>8972.2000000000007</v>
      </c>
      <c r="D40" s="2">
        <v>6.2</v>
      </c>
      <c r="E40" s="3">
        <f t="shared" si="0"/>
        <v>5.6852860976458808E-2</v>
      </c>
      <c r="F40" s="4">
        <f t="shared" si="1"/>
        <v>738.79899181959877</v>
      </c>
    </row>
    <row r="41" spans="1:6">
      <c r="A41" s="7">
        <v>43271</v>
      </c>
      <c r="B41" s="1">
        <v>0.33333333333333331</v>
      </c>
      <c r="C41" s="2">
        <v>8912.1</v>
      </c>
      <c r="D41" s="2">
        <v>6.2</v>
      </c>
      <c r="E41" s="3">
        <f t="shared" si="0"/>
        <v>6.6293967784004759E-2</v>
      </c>
      <c r="F41" s="4">
        <f t="shared" si="1"/>
        <v>739.76198471396845</v>
      </c>
    </row>
    <row r="42" spans="1:6">
      <c r="A42" s="7">
        <v>43281</v>
      </c>
      <c r="B42" s="1">
        <v>0.33333333333333331</v>
      </c>
      <c r="C42" s="2">
        <v>8924.4</v>
      </c>
      <c r="D42" s="2">
        <v>6.3</v>
      </c>
      <c r="E42" s="3">
        <f t="shared" si="0"/>
        <v>6.4663797105412424E-2</v>
      </c>
      <c r="F42" s="4">
        <f t="shared" si="1"/>
        <v>739.59570730475207</v>
      </c>
    </row>
    <row r="43" spans="1:6">
      <c r="A43" s="7">
        <v>43291</v>
      </c>
      <c r="B43" s="1">
        <v>0.33333333333333331</v>
      </c>
      <c r="C43" s="2">
        <v>8944.6</v>
      </c>
      <c r="D43" s="2">
        <v>6.1</v>
      </c>
      <c r="E43" s="3">
        <f t="shared" si="0"/>
        <v>6.0886180954228986E-2</v>
      </c>
      <c r="F43" s="4">
        <f t="shared" si="1"/>
        <v>739.2103904573313</v>
      </c>
    </row>
    <row r="44" spans="1:6">
      <c r="A44" s="7">
        <v>43301</v>
      </c>
      <c r="B44" s="1">
        <v>0.33333333333333331</v>
      </c>
      <c r="C44" s="2">
        <v>8954</v>
      </c>
      <c r="D44" s="2">
        <v>6.4</v>
      </c>
      <c r="E44" s="3">
        <f t="shared" si="0"/>
        <v>6.0316061110808922E-2</v>
      </c>
      <c r="F44" s="4">
        <f t="shared" si="1"/>
        <v>739.15223823330246</v>
      </c>
    </row>
    <row r="45" spans="1:6">
      <c r="A45" s="7">
        <v>43311</v>
      </c>
      <c r="B45" s="1">
        <v>0.33333333333333331</v>
      </c>
      <c r="C45" s="2">
        <v>8952.2000000000007</v>
      </c>
      <c r="D45" s="2">
        <v>6</v>
      </c>
      <c r="E45" s="3">
        <f t="shared" si="0"/>
        <v>5.9390152760642634E-2</v>
      </c>
      <c r="F45" s="4">
        <f t="shared" si="1"/>
        <v>739.05779558158554</v>
      </c>
    </row>
    <row r="46" spans="1:6">
      <c r="A46" s="7">
        <v>43322</v>
      </c>
      <c r="B46" s="1">
        <v>0.33333333333333331</v>
      </c>
      <c r="C46" s="2">
        <v>8932.7999999999993</v>
      </c>
      <c r="D46" s="2">
        <v>5.9</v>
      </c>
      <c r="E46" s="3">
        <f t="shared" si="0"/>
        <v>6.2135529661160038E-2</v>
      </c>
      <c r="F46" s="4">
        <f t="shared" si="1"/>
        <v>739.33782402543829</v>
      </c>
    </row>
    <row r="47" spans="1:6">
      <c r="A47" s="7">
        <v>43332</v>
      </c>
      <c r="B47" s="1">
        <v>0.33333333333333331</v>
      </c>
      <c r="C47" s="2">
        <v>8946</v>
      </c>
      <c r="D47" s="2">
        <v>6</v>
      </c>
      <c r="E47" s="3">
        <f t="shared" ref="E47:E64" si="2">($B$2*C47^2+$B$3*C47+$B$4)-$B$5*D47-$E$7</f>
        <v>6.0364091548408938E-2</v>
      </c>
      <c r="F47" s="4">
        <f t="shared" ref="F47:F64" si="3">$D$1+102*E47</f>
        <v>739.15713733793768</v>
      </c>
    </row>
    <row r="48" spans="1:6">
      <c r="A48" s="7">
        <v>43342</v>
      </c>
      <c r="B48" s="1">
        <v>0.33333333333333331</v>
      </c>
      <c r="C48" s="2">
        <v>8926.4</v>
      </c>
      <c r="D48" s="2">
        <v>6.1</v>
      </c>
      <c r="E48" s="3">
        <f t="shared" si="2"/>
        <v>6.3745271617803578E-2</v>
      </c>
      <c r="F48" s="4">
        <f t="shared" si="3"/>
        <v>739.50201770501599</v>
      </c>
    </row>
    <row r="49" spans="1:6">
      <c r="A49" s="7">
        <v>43353</v>
      </c>
      <c r="B49" s="1">
        <v>0.33333333333333331</v>
      </c>
      <c r="C49" s="2">
        <v>8910.1</v>
      </c>
      <c r="D49" s="2">
        <v>6.2</v>
      </c>
      <c r="E49" s="3">
        <f t="shared" si="2"/>
        <v>6.660817507317407E-2</v>
      </c>
      <c r="F49" s="4">
        <f t="shared" si="3"/>
        <v>739.79403385746377</v>
      </c>
    </row>
    <row r="50" spans="1:6">
      <c r="A50" s="7">
        <v>43363</v>
      </c>
      <c r="B50" s="1">
        <v>0.33333333333333331</v>
      </c>
      <c r="C50" s="2">
        <v>8928.5</v>
      </c>
      <c r="D50" s="2">
        <v>6.4</v>
      </c>
      <c r="E50" s="3">
        <f t="shared" si="2"/>
        <v>6.4321865292657848E-2</v>
      </c>
      <c r="F50" s="4">
        <f t="shared" si="3"/>
        <v>739.56083025985106</v>
      </c>
    </row>
    <row r="51" spans="1:6">
      <c r="A51" s="7">
        <v>43373</v>
      </c>
      <c r="B51" s="1">
        <v>0.33333333333333331</v>
      </c>
      <c r="C51" s="2">
        <v>8937.7000000000007</v>
      </c>
      <c r="D51" s="2">
        <v>6.1</v>
      </c>
      <c r="E51" s="3">
        <f t="shared" si="2"/>
        <v>6.1970104742753052E-2</v>
      </c>
      <c r="F51" s="4">
        <f t="shared" si="3"/>
        <v>739.32095068376077</v>
      </c>
    </row>
    <row r="52" spans="1:6">
      <c r="A52" s="7">
        <v>43383</v>
      </c>
      <c r="B52" s="1">
        <v>0.33333333333333331</v>
      </c>
      <c r="C52" s="2">
        <v>8941.7000000000007</v>
      </c>
      <c r="D52" s="2">
        <v>6</v>
      </c>
      <c r="E52" s="3">
        <f t="shared" si="2"/>
        <v>6.1039575170656057E-2</v>
      </c>
      <c r="F52" s="4">
        <f t="shared" si="3"/>
        <v>739.2260366674069</v>
      </c>
    </row>
    <row r="53" spans="1:6">
      <c r="A53" s="7">
        <v>43393</v>
      </c>
      <c r="B53" s="1">
        <v>0.33333333333333331</v>
      </c>
      <c r="C53" s="2">
        <v>8945.2000000000007</v>
      </c>
      <c r="D53" s="2">
        <v>6</v>
      </c>
      <c r="E53" s="3">
        <f t="shared" si="2"/>
        <v>6.048976230313019E-2</v>
      </c>
      <c r="F53" s="4">
        <f t="shared" si="3"/>
        <v>739.16995575491933</v>
      </c>
    </row>
    <row r="54" spans="1:6">
      <c r="A54" s="7">
        <v>43605</v>
      </c>
      <c r="B54" s="1">
        <v>0.33333333333333331</v>
      </c>
      <c r="C54" s="2">
        <v>8972.5</v>
      </c>
      <c r="D54" s="2">
        <v>5.7</v>
      </c>
      <c r="E54" s="3">
        <f t="shared" si="2"/>
        <v>5.529491097936573E-2</v>
      </c>
      <c r="F54" s="4">
        <f t="shared" si="3"/>
        <v>738.64008091989535</v>
      </c>
    </row>
    <row r="55" spans="1:6">
      <c r="A55" s="7">
        <v>43615</v>
      </c>
      <c r="B55" s="1">
        <v>0.33333333333333331</v>
      </c>
      <c r="C55" s="2">
        <v>8973.2999999999993</v>
      </c>
      <c r="D55" s="2">
        <v>5.7</v>
      </c>
      <c r="E55" s="3">
        <f t="shared" si="2"/>
        <v>5.5169249847654422E-2</v>
      </c>
      <c r="F55" s="4">
        <f t="shared" si="3"/>
        <v>738.62726348446074</v>
      </c>
    </row>
    <row r="56" spans="1:6">
      <c r="A56" s="7">
        <v>43626</v>
      </c>
      <c r="B56" s="1">
        <v>0.33333333333333331</v>
      </c>
      <c r="C56" s="2">
        <v>8975.2000000000007</v>
      </c>
      <c r="D56" s="2">
        <v>5.9</v>
      </c>
      <c r="E56" s="3">
        <f t="shared" si="2"/>
        <v>5.5475136590014296E-2</v>
      </c>
      <c r="F56" s="4">
        <f t="shared" si="3"/>
        <v>738.65846393218146</v>
      </c>
    </row>
    <row r="57" spans="1:6">
      <c r="A57" s="7">
        <v>43636</v>
      </c>
      <c r="B57" s="1">
        <v>0.33333333333333331</v>
      </c>
      <c r="C57" s="2">
        <v>8976.7000000000007</v>
      </c>
      <c r="D57" s="2">
        <v>6</v>
      </c>
      <c r="E57" s="3">
        <f t="shared" si="2"/>
        <v>5.5541689383864057E-2</v>
      </c>
      <c r="F57" s="4">
        <f t="shared" si="3"/>
        <v>738.66525231715411</v>
      </c>
    </row>
    <row r="58" spans="1:6">
      <c r="A58" s="7">
        <v>43646</v>
      </c>
      <c r="B58" s="1">
        <v>0.33333333333333331</v>
      </c>
      <c r="C58" s="2">
        <v>8980.2999999999993</v>
      </c>
      <c r="D58" s="2">
        <v>6</v>
      </c>
      <c r="E58" s="3">
        <f t="shared" si="2"/>
        <v>5.4976223173940797E-2</v>
      </c>
      <c r="F58" s="4">
        <f t="shared" si="3"/>
        <v>738.60757476374192</v>
      </c>
    </row>
    <row r="59" spans="1:6">
      <c r="A59" s="7">
        <v>43656</v>
      </c>
      <c r="B59" s="1">
        <v>0.33333333333333331</v>
      </c>
      <c r="C59" s="2">
        <v>8982.2999999999993</v>
      </c>
      <c r="D59" s="2">
        <v>6.1</v>
      </c>
      <c r="E59" s="3">
        <f t="shared" si="2"/>
        <v>5.4964243146977065E-2</v>
      </c>
      <c r="F59" s="4">
        <f t="shared" si="3"/>
        <v>738.60635280099166</v>
      </c>
    </row>
    <row r="60" spans="1:6">
      <c r="A60" s="7">
        <v>43666</v>
      </c>
      <c r="B60" s="1">
        <v>0.33333333333333331</v>
      </c>
      <c r="C60" s="2">
        <v>8984.7000000000007</v>
      </c>
      <c r="D60" s="2">
        <v>6.1</v>
      </c>
      <c r="E60" s="3">
        <f t="shared" si="2"/>
        <v>5.4587270961062473E-2</v>
      </c>
      <c r="F60" s="4">
        <f t="shared" si="3"/>
        <v>738.56790163802839</v>
      </c>
    </row>
    <row r="61" spans="1:6">
      <c r="A61" s="7">
        <v>43676</v>
      </c>
      <c r="B61" s="1">
        <v>0.33333333333333331</v>
      </c>
      <c r="C61" s="2">
        <v>8979.2000000000007</v>
      </c>
      <c r="D61" s="2">
        <v>6</v>
      </c>
      <c r="E61" s="3">
        <f t="shared" si="2"/>
        <v>5.5149003910017314E-2</v>
      </c>
      <c r="F61" s="4">
        <f t="shared" si="3"/>
        <v>738.62519839882179</v>
      </c>
    </row>
    <row r="62" spans="1:6">
      <c r="A62" s="7">
        <v>43687</v>
      </c>
      <c r="B62" s="1">
        <v>0.33333333333333331</v>
      </c>
      <c r="C62" s="2">
        <v>8960.4</v>
      </c>
      <c r="D62" s="2">
        <v>6.2</v>
      </c>
      <c r="E62" s="3">
        <f t="shared" si="2"/>
        <v>5.8706396984221976E-2</v>
      </c>
      <c r="F62" s="4">
        <f t="shared" si="3"/>
        <v>738.98805249239069</v>
      </c>
    </row>
    <row r="63" spans="1:6">
      <c r="A63" s="7">
        <v>43697</v>
      </c>
      <c r="B63" s="1">
        <v>0.33333333333333331</v>
      </c>
      <c r="C63" s="2">
        <v>8938.2000000000007</v>
      </c>
      <c r="D63" s="2">
        <v>6.4</v>
      </c>
      <c r="E63" s="3">
        <f t="shared" si="2"/>
        <v>6.2798055035703487E-2</v>
      </c>
      <c r="F63" s="4">
        <f t="shared" si="3"/>
        <v>739.40540161364174</v>
      </c>
    </row>
    <row r="64" spans="1:6">
      <c r="A64" s="7">
        <v>43707</v>
      </c>
      <c r="B64" s="1">
        <v>0.33333333333333331</v>
      </c>
      <c r="C64" s="2">
        <v>8899</v>
      </c>
      <c r="D64" s="2">
        <v>6.5</v>
      </c>
      <c r="E64" s="3">
        <f t="shared" si="2"/>
        <v>6.9258553762904101E-2</v>
      </c>
      <c r="F64" s="4">
        <f t="shared" si="3"/>
        <v>740.06437248381621</v>
      </c>
    </row>
  </sheetData>
  <phoneticPr fontId="4" type="noConversion"/>
  <pageMargins left="0.69930555555555596" right="0.69930555555555596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4"/>
  <sheetViews>
    <sheetView topLeftCell="A38" workbookViewId="0">
      <selection activeCell="A58" sqref="A58:B64"/>
    </sheetView>
  </sheetViews>
  <sheetFormatPr defaultColWidth="9" defaultRowHeight="13.5"/>
  <cols>
    <col min="1" max="1" width="11.375" customWidth="1"/>
    <col min="2" max="2" width="13.875" customWidth="1"/>
  </cols>
  <sheetData>
    <row r="1" spans="1:7">
      <c r="A1" t="s">
        <v>0</v>
      </c>
      <c r="B1">
        <v>11240</v>
      </c>
      <c r="C1" t="s">
        <v>1</v>
      </c>
      <c r="D1">
        <v>728</v>
      </c>
    </row>
    <row r="2" spans="1:7">
      <c r="A2" t="s">
        <v>2</v>
      </c>
      <c r="B2" s="10">
        <v>2.84771E-10</v>
      </c>
    </row>
    <row r="3" spans="1:7">
      <c r="A3" t="s">
        <v>3</v>
      </c>
      <c r="B3">
        <v>-1.7620400000000001E-4</v>
      </c>
    </row>
    <row r="4" spans="1:7">
      <c r="A4" t="s">
        <v>4</v>
      </c>
      <c r="B4">
        <v>1.58645518</v>
      </c>
    </row>
    <row r="5" spans="1:7">
      <c r="A5" t="s">
        <v>5</v>
      </c>
      <c r="B5">
        <v>-3.1837359999999999E-3</v>
      </c>
    </row>
    <row r="6" spans="1:7">
      <c r="A6" t="s">
        <v>6</v>
      </c>
      <c r="B6" t="s">
        <v>7</v>
      </c>
      <c r="C6" t="s">
        <v>8</v>
      </c>
      <c r="D6" t="s">
        <v>9</v>
      </c>
      <c r="E6" t="s">
        <v>10</v>
      </c>
      <c r="F6" t="s">
        <v>11</v>
      </c>
      <c r="G6" t="s">
        <v>12</v>
      </c>
    </row>
    <row r="7" spans="1:7">
      <c r="A7" s="7">
        <v>42609</v>
      </c>
      <c r="B7" s="1">
        <v>0.72916666666666696</v>
      </c>
      <c r="C7" s="2">
        <v>8998.6</v>
      </c>
      <c r="D7" s="2">
        <v>13.4</v>
      </c>
      <c r="E7" s="3">
        <f>($B$2*C7^2+$B$3*C7+$B$4)-$B$5*D7</f>
        <v>6.6587203328950934E-2</v>
      </c>
      <c r="G7" t="s">
        <v>13</v>
      </c>
    </row>
    <row r="8" spans="1:7">
      <c r="A8" s="7">
        <v>42611</v>
      </c>
      <c r="B8" s="1">
        <v>0.75</v>
      </c>
      <c r="C8" s="2">
        <v>7928</v>
      </c>
      <c r="D8" s="2">
        <v>8</v>
      </c>
      <c r="E8" s="3">
        <f t="shared" ref="E8:E46" si="0">($B$2*C8^2+$B$3*C8+$B$4)-$B$5*D8-$E$7</f>
        <v>0.16629131673191297</v>
      </c>
      <c r="F8" s="4">
        <f>$D$1+102*E8</f>
        <v>744.96171430665515</v>
      </c>
      <c r="G8" t="s">
        <v>14</v>
      </c>
    </row>
    <row r="9" spans="1:7">
      <c r="A9" s="7">
        <v>42612</v>
      </c>
      <c r="B9" s="1">
        <v>0.33333333333333298</v>
      </c>
      <c r="C9" s="2">
        <v>8071.9</v>
      </c>
      <c r="D9" s="2">
        <v>6.3</v>
      </c>
      <c r="E9" s="3">
        <f t="shared" si="0"/>
        <v>0.13617886258445824</v>
      </c>
      <c r="F9" s="4">
        <f t="shared" ref="F9:F46" si="1">$D$1+102*E9</f>
        <v>741.89024398361471</v>
      </c>
    </row>
    <row r="10" spans="1:7">
      <c r="A10" s="7">
        <v>42613</v>
      </c>
      <c r="B10" s="1">
        <v>0.33333333333333298</v>
      </c>
      <c r="C10" s="2">
        <v>8124.5</v>
      </c>
      <c r="D10" s="2">
        <v>6.1</v>
      </c>
      <c r="E10" s="3">
        <f t="shared" si="0"/>
        <v>0.12651639012474167</v>
      </c>
      <c r="F10" s="4">
        <f t="shared" si="1"/>
        <v>740.90467179272366</v>
      </c>
    </row>
    <row r="11" spans="1:7">
      <c r="A11" s="7">
        <v>42614</v>
      </c>
      <c r="B11" s="1">
        <v>0.33333333333333298</v>
      </c>
      <c r="C11" s="2">
        <v>8190.9</v>
      </c>
      <c r="D11" s="2">
        <v>5.7</v>
      </c>
      <c r="E11" s="3">
        <f t="shared" si="0"/>
        <v>0.11385145466889568</v>
      </c>
      <c r="F11" s="4">
        <f t="shared" si="1"/>
        <v>739.61284837622736</v>
      </c>
    </row>
    <row r="12" spans="1:7">
      <c r="A12" s="7">
        <v>42615</v>
      </c>
      <c r="B12" s="1">
        <v>0.33333333333333298</v>
      </c>
      <c r="C12" s="2">
        <v>8112.4</v>
      </c>
      <c r="D12" s="2">
        <v>5.6</v>
      </c>
      <c r="E12" s="3">
        <f t="shared" si="0"/>
        <v>0.127000642565918</v>
      </c>
      <c r="F12" s="4">
        <f t="shared" si="1"/>
        <v>740.95406554172359</v>
      </c>
    </row>
    <row r="13" spans="1:7">
      <c r="A13" s="7">
        <v>42616</v>
      </c>
      <c r="B13" s="1">
        <v>0.33333333333333298</v>
      </c>
      <c r="C13" s="2">
        <v>8145.8</v>
      </c>
      <c r="D13" s="2">
        <v>5.6</v>
      </c>
      <c r="E13" s="3">
        <f t="shared" si="0"/>
        <v>0.12127006641924939</v>
      </c>
      <c r="F13" s="4">
        <f t="shared" si="1"/>
        <v>740.36954677476342</v>
      </c>
    </row>
    <row r="14" spans="1:7">
      <c r="A14" s="7">
        <v>42617</v>
      </c>
      <c r="B14" s="1">
        <v>0.33333333333333298</v>
      </c>
      <c r="C14" s="2">
        <v>8182.3</v>
      </c>
      <c r="D14" s="2">
        <v>5.6</v>
      </c>
      <c r="E14" s="3">
        <f t="shared" si="0"/>
        <v>0.11500833700107546</v>
      </c>
      <c r="F14" s="4">
        <f t="shared" si="1"/>
        <v>739.73085037410965</v>
      </c>
    </row>
    <row r="15" spans="1:7">
      <c r="A15" s="7">
        <v>42623</v>
      </c>
      <c r="B15" s="1">
        <v>0.33333333333333298</v>
      </c>
      <c r="C15" s="2">
        <v>8238.2000000000007</v>
      </c>
      <c r="D15" s="2">
        <v>5.6</v>
      </c>
      <c r="E15" s="3">
        <f t="shared" si="0"/>
        <v>0.10541992639636286</v>
      </c>
      <c r="F15" s="4">
        <f t="shared" si="1"/>
        <v>738.75283249242898</v>
      </c>
    </row>
    <row r="16" spans="1:7">
      <c r="A16" s="7">
        <v>42633</v>
      </c>
      <c r="B16" s="1">
        <v>0.33333333333333331</v>
      </c>
      <c r="C16" s="2">
        <v>8230.6</v>
      </c>
      <c r="D16" s="2">
        <v>5.9</v>
      </c>
      <c r="E16" s="3">
        <f t="shared" si="0"/>
        <v>0.10767855483786243</v>
      </c>
      <c r="F16" s="4">
        <f t="shared" si="1"/>
        <v>738.98321259346199</v>
      </c>
    </row>
    <row r="17" spans="1:6">
      <c r="A17" s="7">
        <v>42643</v>
      </c>
      <c r="B17" s="1">
        <v>0.33333333333333331</v>
      </c>
      <c r="C17" s="2">
        <v>8272</v>
      </c>
      <c r="D17" s="2">
        <v>6.3</v>
      </c>
      <c r="E17" s="3">
        <f t="shared" si="0"/>
        <v>0.10185176136071308</v>
      </c>
      <c r="F17" s="4">
        <f t="shared" si="1"/>
        <v>738.38887965879269</v>
      </c>
    </row>
    <row r="18" spans="1:6">
      <c r="A18" s="27">
        <v>42653</v>
      </c>
      <c r="B18" s="1">
        <v>0.33333333333333331</v>
      </c>
      <c r="C18" s="2">
        <v>8313</v>
      </c>
      <c r="D18" s="2">
        <v>6.6</v>
      </c>
      <c r="E18" s="3">
        <f t="shared" si="0"/>
        <v>9.5776158169148057E-2</v>
      </c>
      <c r="F18" s="4">
        <f t="shared" si="1"/>
        <v>737.76916813325306</v>
      </c>
    </row>
    <row r="19" spans="1:6">
      <c r="A19" s="7">
        <v>42846</v>
      </c>
      <c r="B19" s="1">
        <v>0.33333333333333331</v>
      </c>
      <c r="C19" s="2">
        <v>8317.7999999999993</v>
      </c>
      <c r="D19" s="2">
        <v>7.5</v>
      </c>
      <c r="E19" s="3">
        <f t="shared" si="0"/>
        <v>9.7818474022972696E-2</v>
      </c>
      <c r="F19" s="4">
        <f t="shared" si="1"/>
        <v>737.97748435034316</v>
      </c>
    </row>
    <row r="20" spans="1:6">
      <c r="A20" s="7">
        <v>42855</v>
      </c>
      <c r="B20" s="1">
        <v>0.33333333333333331</v>
      </c>
      <c r="C20" s="2">
        <v>8320</v>
      </c>
      <c r="D20" s="2">
        <v>7.5</v>
      </c>
      <c r="E20" s="3">
        <f t="shared" si="0"/>
        <v>9.7441248741448966E-2</v>
      </c>
      <c r="F20" s="4">
        <f t="shared" si="1"/>
        <v>737.93900737162778</v>
      </c>
    </row>
    <row r="21" spans="1:6">
      <c r="A21" s="7">
        <v>42865</v>
      </c>
      <c r="B21" s="1">
        <v>0.33333333333333331</v>
      </c>
      <c r="C21" s="2">
        <v>8293.9</v>
      </c>
      <c r="D21" s="2">
        <v>7.5</v>
      </c>
      <c r="E21" s="3">
        <f t="shared" si="0"/>
        <v>0.10191668994591793</v>
      </c>
      <c r="F21" s="4">
        <f t="shared" si="1"/>
        <v>738.39550237448361</v>
      </c>
    </row>
    <row r="22" spans="1:6">
      <c r="A22" s="7">
        <v>42875</v>
      </c>
      <c r="B22" s="1">
        <v>0.33333333333333331</v>
      </c>
      <c r="C22" s="2">
        <v>8301.9</v>
      </c>
      <c r="D22" s="2">
        <v>7.5</v>
      </c>
      <c r="E22" s="3">
        <f t="shared" si="0"/>
        <v>0.10054486596641218</v>
      </c>
      <c r="F22" s="4">
        <f t="shared" si="1"/>
        <v>738.25557632857408</v>
      </c>
    </row>
    <row r="23" spans="1:6">
      <c r="A23" s="6">
        <v>42885</v>
      </c>
      <c r="B23" s="1">
        <v>0.33333333333333331</v>
      </c>
      <c r="C23" s="2">
        <v>8318.5</v>
      </c>
      <c r="D23" s="2">
        <v>7.4</v>
      </c>
      <c r="E23" s="3">
        <f t="shared" si="0"/>
        <v>9.7380073898023667E-2</v>
      </c>
      <c r="F23" s="4">
        <f t="shared" si="1"/>
        <v>737.93276753759847</v>
      </c>
    </row>
    <row r="24" spans="1:6">
      <c r="A24" s="6">
        <v>42896</v>
      </c>
      <c r="B24" s="1">
        <v>0.33333333333333331</v>
      </c>
      <c r="C24" s="2">
        <v>8318.2999999999993</v>
      </c>
      <c r="D24" s="2">
        <v>7.4</v>
      </c>
      <c r="E24" s="3">
        <f t="shared" si="0"/>
        <v>9.7414367162389215E-2</v>
      </c>
      <c r="F24" s="4">
        <f t="shared" si="1"/>
        <v>737.93626545056372</v>
      </c>
    </row>
    <row r="25" spans="1:6">
      <c r="A25" s="7">
        <v>42906</v>
      </c>
      <c r="B25" s="9">
        <v>0.33333333333333331</v>
      </c>
      <c r="C25" s="2">
        <v>8314.7999999999993</v>
      </c>
      <c r="D25" s="2">
        <v>7.3</v>
      </c>
      <c r="E25" s="3">
        <f t="shared" si="0"/>
        <v>9.7696129376568824E-2</v>
      </c>
      <c r="F25" s="4">
        <f t="shared" si="1"/>
        <v>737.96500519641006</v>
      </c>
    </row>
    <row r="26" spans="1:6">
      <c r="A26" s="7">
        <v>42916</v>
      </c>
      <c r="B26" s="9">
        <v>0.33333333333333331</v>
      </c>
      <c r="C26" s="2">
        <v>8308.5</v>
      </c>
      <c r="D26" s="2">
        <v>7.3</v>
      </c>
      <c r="E26" s="3">
        <f t="shared" si="0"/>
        <v>9.8776391423853555E-2</v>
      </c>
      <c r="F26" s="4">
        <f t="shared" si="1"/>
        <v>738.07519192523307</v>
      </c>
    </row>
    <row r="27" spans="1:6">
      <c r="A27" s="7">
        <v>42926</v>
      </c>
      <c r="B27" s="9">
        <v>0.33333333333333331</v>
      </c>
      <c r="C27" s="2">
        <v>8310.5</v>
      </c>
      <c r="D27" s="2">
        <v>7.2</v>
      </c>
      <c r="E27" s="3">
        <f t="shared" si="0"/>
        <v>9.8115075042351757E-2</v>
      </c>
      <c r="F27" s="4">
        <f t="shared" si="1"/>
        <v>738.00773765431984</v>
      </c>
    </row>
    <row r="28" spans="1:6">
      <c r="A28" s="7">
        <v>42936</v>
      </c>
      <c r="B28" s="9">
        <v>0.33333333333333331</v>
      </c>
      <c r="C28" s="2">
        <v>8317.7000000000007</v>
      </c>
      <c r="D28" s="2">
        <v>7.2</v>
      </c>
      <c r="E28" s="3">
        <f t="shared" si="0"/>
        <v>9.6880499892175426E-2</v>
      </c>
      <c r="F28" s="4">
        <f t="shared" si="1"/>
        <v>737.88181098900191</v>
      </c>
    </row>
    <row r="29" spans="1:6">
      <c r="A29" s="7">
        <v>42946</v>
      </c>
      <c r="B29" s="1">
        <v>0.33333333333333331</v>
      </c>
      <c r="C29" s="2">
        <v>8322.7000000000007</v>
      </c>
      <c r="D29" s="2">
        <v>7.2</v>
      </c>
      <c r="E29" s="3">
        <f t="shared" si="0"/>
        <v>9.6023173408917556E-2</v>
      </c>
      <c r="F29" s="4">
        <f t="shared" si="1"/>
        <v>737.79436368770962</v>
      </c>
    </row>
    <row r="30" spans="1:6">
      <c r="A30" s="7">
        <v>42957</v>
      </c>
      <c r="B30" s="1">
        <v>0.33333333333333331</v>
      </c>
      <c r="C30" s="2">
        <v>8314.2999999999993</v>
      </c>
      <c r="D30" s="2">
        <v>7.1</v>
      </c>
      <c r="E30" s="3">
        <f t="shared" si="0"/>
        <v>9.714511643385082E-2</v>
      </c>
      <c r="F30" s="4">
        <f t="shared" si="1"/>
        <v>737.90880187625282</v>
      </c>
    </row>
    <row r="31" spans="1:6">
      <c r="A31" s="7">
        <v>42967</v>
      </c>
      <c r="B31" s="1">
        <v>0.33333333333333331</v>
      </c>
      <c r="C31" s="2">
        <v>8319.2999999999993</v>
      </c>
      <c r="D31" s="2">
        <v>7.1</v>
      </c>
      <c r="E31" s="3">
        <f t="shared" si="0"/>
        <v>9.6287780268378809E-2</v>
      </c>
      <c r="F31" s="4">
        <f t="shared" si="1"/>
        <v>737.82135358737469</v>
      </c>
    </row>
    <row r="32" spans="1:6">
      <c r="A32" s="7">
        <v>42977</v>
      </c>
      <c r="B32" s="1">
        <v>0.33333333333333331</v>
      </c>
      <c r="C32" s="2">
        <v>8312.7999999999993</v>
      </c>
      <c r="D32" s="2">
        <v>7.6</v>
      </c>
      <c r="E32" s="3">
        <f t="shared" si="0"/>
        <v>9.8994188060009813E-2</v>
      </c>
      <c r="F32" s="4">
        <f t="shared" si="1"/>
        <v>738.09740718212095</v>
      </c>
    </row>
    <row r="33" spans="1:6">
      <c r="A33" s="7">
        <v>42988</v>
      </c>
      <c r="B33" s="1">
        <v>0.33333333333333331</v>
      </c>
      <c r="C33" s="2">
        <v>8310.6</v>
      </c>
      <c r="D33" s="2">
        <v>7</v>
      </c>
      <c r="E33" s="3">
        <f t="shared" si="0"/>
        <v>9.7461180763078387E-2</v>
      </c>
      <c r="F33" s="4">
        <f t="shared" si="1"/>
        <v>737.94104043783398</v>
      </c>
    </row>
    <row r="34" spans="1:6">
      <c r="A34" s="7">
        <v>42998</v>
      </c>
      <c r="B34" s="1">
        <v>0.33333333333333331</v>
      </c>
      <c r="C34" s="2">
        <v>8316.2999999999993</v>
      </c>
      <c r="D34" s="2">
        <v>7</v>
      </c>
      <c r="E34" s="3">
        <f t="shared" si="0"/>
        <v>9.6483806659036192E-2</v>
      </c>
      <c r="F34" s="4">
        <f t="shared" si="1"/>
        <v>737.84134827922173</v>
      </c>
    </row>
    <row r="35" spans="1:6">
      <c r="A35" s="7">
        <v>43008</v>
      </c>
      <c r="B35" s="1">
        <v>0.33333333333333331</v>
      </c>
      <c r="C35" s="2">
        <v>8318.7000000000007</v>
      </c>
      <c r="D35" s="2">
        <v>6.8</v>
      </c>
      <c r="E35" s="3">
        <f t="shared" si="0"/>
        <v>9.5435539056439894E-2</v>
      </c>
      <c r="F35" s="4">
        <f t="shared" si="1"/>
        <v>737.73442498375687</v>
      </c>
    </row>
    <row r="36" spans="1:6">
      <c r="A36" s="7">
        <v>43018</v>
      </c>
      <c r="B36" s="1">
        <v>0.33333333333333331</v>
      </c>
      <c r="C36" s="2">
        <v>8314.7999999999993</v>
      </c>
      <c r="D36" s="2">
        <v>7</v>
      </c>
      <c r="E36" s="3">
        <f t="shared" si="0"/>
        <v>9.6741008576568838E-2</v>
      </c>
      <c r="F36" s="4">
        <f t="shared" si="1"/>
        <v>737.86758287481007</v>
      </c>
    </row>
    <row r="37" spans="1:6">
      <c r="A37" s="7">
        <v>43230</v>
      </c>
      <c r="B37" s="1">
        <v>0.33333333333333331</v>
      </c>
      <c r="C37" s="2">
        <v>8315.7000000000007</v>
      </c>
      <c r="D37" s="2">
        <v>6.6</v>
      </c>
      <c r="E37" s="3">
        <f t="shared" si="0"/>
        <v>9.5313192872272551E-2</v>
      </c>
      <c r="F37" s="4">
        <f t="shared" si="1"/>
        <v>737.72194567297186</v>
      </c>
    </row>
    <row r="38" spans="1:6">
      <c r="A38" s="7">
        <v>43240</v>
      </c>
      <c r="B38" s="1">
        <v>0.33333333333333331</v>
      </c>
      <c r="C38" s="2">
        <v>8318.2999999999993</v>
      </c>
      <c r="D38" s="2">
        <v>6.7</v>
      </c>
      <c r="E38" s="3">
        <f t="shared" si="0"/>
        <v>9.5185751962389209E-2</v>
      </c>
      <c r="F38" s="4">
        <f t="shared" si="1"/>
        <v>737.70894670016366</v>
      </c>
    </row>
    <row r="39" spans="1:6">
      <c r="A39" s="7">
        <v>43250</v>
      </c>
      <c r="B39" s="1">
        <v>0.33333333333333331</v>
      </c>
      <c r="C39" s="2">
        <v>8314.1</v>
      </c>
      <c r="D39" s="2">
        <v>6.7</v>
      </c>
      <c r="E39" s="3">
        <f t="shared" si="0"/>
        <v>9.5905915776631434E-2</v>
      </c>
      <c r="F39" s="4">
        <f t="shared" si="1"/>
        <v>737.78240340921639</v>
      </c>
    </row>
    <row r="40" spans="1:6">
      <c r="A40" s="7">
        <v>43261</v>
      </c>
      <c r="B40" s="1">
        <v>0.33333333333333331</v>
      </c>
      <c r="C40" s="2">
        <v>8301.7999999999993</v>
      </c>
      <c r="D40" s="2">
        <v>6.7</v>
      </c>
      <c r="E40" s="3">
        <f t="shared" si="0"/>
        <v>9.8015024741187173E-2</v>
      </c>
      <c r="F40" s="4">
        <f t="shared" si="1"/>
        <v>737.99753252360108</v>
      </c>
    </row>
    <row r="41" spans="1:6">
      <c r="A41" s="7">
        <v>43271</v>
      </c>
      <c r="B41" s="1">
        <v>0.33333333333333331</v>
      </c>
      <c r="C41" s="2">
        <v>8244.2999999999993</v>
      </c>
      <c r="D41" s="2">
        <v>6.5</v>
      </c>
      <c r="E41" s="3">
        <f t="shared" si="0"/>
        <v>0.1072390761982088</v>
      </c>
      <c r="F41" s="4">
        <f t="shared" si="1"/>
        <v>738.93838577221732</v>
      </c>
    </row>
    <row r="42" spans="1:6">
      <c r="A42" s="7">
        <v>43281</v>
      </c>
      <c r="B42" s="1">
        <v>0.33333333333333331</v>
      </c>
      <c r="C42" s="2">
        <v>8255.7000000000007</v>
      </c>
      <c r="D42" s="2">
        <v>6.7</v>
      </c>
      <c r="E42" s="3">
        <f t="shared" si="0"/>
        <v>0.10592066322330862</v>
      </c>
      <c r="F42" s="4">
        <f t="shared" si="1"/>
        <v>738.80390764877745</v>
      </c>
    </row>
    <row r="43" spans="1:6">
      <c r="A43" s="7">
        <v>43291</v>
      </c>
      <c r="B43" s="1">
        <v>0.33333333333333331</v>
      </c>
      <c r="C43" s="2">
        <v>8271.5</v>
      </c>
      <c r="D43" s="2">
        <v>6.6</v>
      </c>
      <c r="E43" s="3">
        <f t="shared" si="0"/>
        <v>0.10289262860619372</v>
      </c>
      <c r="F43" s="4">
        <f t="shared" si="1"/>
        <v>738.49504811783174</v>
      </c>
    </row>
    <row r="44" spans="1:6">
      <c r="A44" s="7">
        <v>43301</v>
      </c>
      <c r="B44" s="1">
        <v>0.33333333333333331</v>
      </c>
      <c r="C44" s="2">
        <v>8284.2999999999993</v>
      </c>
      <c r="D44" s="2">
        <v>7.3</v>
      </c>
      <c r="E44" s="3">
        <f t="shared" si="0"/>
        <v>0.10292617963623288</v>
      </c>
      <c r="F44" s="4">
        <f t="shared" si="1"/>
        <v>738.49847032289574</v>
      </c>
    </row>
    <row r="45" spans="1:6">
      <c r="A45" s="7">
        <v>43311</v>
      </c>
      <c r="B45" s="1">
        <v>0.33333333333333331</v>
      </c>
      <c r="C45" s="2">
        <v>8281.6</v>
      </c>
      <c r="D45" s="2">
        <v>6.5</v>
      </c>
      <c r="E45" s="3">
        <f t="shared" si="0"/>
        <v>0.10084220441887867</v>
      </c>
      <c r="F45" s="4">
        <f t="shared" si="1"/>
        <v>738.28590485072561</v>
      </c>
    </row>
    <row r="46" spans="1:6">
      <c r="A46" s="7">
        <v>43322</v>
      </c>
      <c r="B46" s="1">
        <v>0.33333333333333331</v>
      </c>
      <c r="C46" s="2">
        <v>8262.9</v>
      </c>
      <c r="D46" s="2">
        <v>6.5</v>
      </c>
      <c r="E46" s="3">
        <f t="shared" si="0"/>
        <v>0.10404911615464116</v>
      </c>
      <c r="F46" s="4">
        <f t="shared" si="1"/>
        <v>738.61300984777336</v>
      </c>
    </row>
    <row r="47" spans="1:6">
      <c r="A47" s="7">
        <v>43332</v>
      </c>
      <c r="B47" s="1">
        <v>0.33333333333333331</v>
      </c>
      <c r="C47" s="2">
        <v>8274.2000000000007</v>
      </c>
      <c r="D47" s="2">
        <v>6.5</v>
      </c>
      <c r="E47" s="3">
        <f t="shared" ref="E47:E64" si="2">($B$2*C47^2+$B$3*C47+$B$4)-$B$5*D47-$E$7</f>
        <v>0.10211122589213736</v>
      </c>
      <c r="F47" s="4">
        <f t="shared" ref="F47:F64" si="3">$D$1+102*E47</f>
        <v>738.41534504099798</v>
      </c>
    </row>
    <row r="48" spans="1:6">
      <c r="A48" s="7">
        <v>43342</v>
      </c>
      <c r="B48" s="1">
        <v>0.33333333333333331</v>
      </c>
      <c r="C48" s="2">
        <v>8256.7000000000007</v>
      </c>
      <c r="D48" s="2">
        <v>6.5</v>
      </c>
      <c r="E48" s="3">
        <f t="shared" si="2"/>
        <v>0.10511241427596904</v>
      </c>
      <c r="F48" s="4">
        <f t="shared" si="3"/>
        <v>738.7214662561488</v>
      </c>
    </row>
    <row r="49" spans="1:6">
      <c r="A49" s="7">
        <v>43353</v>
      </c>
      <c r="B49" s="1">
        <v>0.33333333333333331</v>
      </c>
      <c r="C49" s="2">
        <v>8241.6</v>
      </c>
      <c r="D49" s="2">
        <v>6.3</v>
      </c>
      <c r="E49" s="3">
        <f t="shared" si="2"/>
        <v>0.10706540409139079</v>
      </c>
      <c r="F49" s="4">
        <f t="shared" si="3"/>
        <v>738.92067121732191</v>
      </c>
    </row>
    <row r="50" spans="1:6">
      <c r="A50" s="7">
        <v>43363</v>
      </c>
      <c r="B50" s="1">
        <v>0.33333333333333331</v>
      </c>
      <c r="C50" s="2">
        <v>8250.7000000000007</v>
      </c>
      <c r="D50" s="2">
        <v>6.4</v>
      </c>
      <c r="E50" s="3">
        <f t="shared" si="2"/>
        <v>0.10582305970313682</v>
      </c>
      <c r="F50" s="4">
        <f t="shared" si="3"/>
        <v>738.79395208971994</v>
      </c>
    </row>
    <row r="51" spans="1:6">
      <c r="A51" s="7">
        <v>43373</v>
      </c>
      <c r="B51" s="1">
        <v>0.33333333333333331</v>
      </c>
      <c r="C51" s="2">
        <v>8261.4</v>
      </c>
      <c r="D51" s="2">
        <v>6.2</v>
      </c>
      <c r="E51" s="3">
        <f t="shared" si="2"/>
        <v>0.1033512428924882</v>
      </c>
      <c r="F51" s="4">
        <f t="shared" si="3"/>
        <v>738.54182677503377</v>
      </c>
    </row>
    <row r="52" spans="1:6">
      <c r="A52" s="7">
        <v>43383</v>
      </c>
      <c r="B52" s="1">
        <v>0.33333333333333331</v>
      </c>
      <c r="C52" s="2">
        <v>8265.2999999999993</v>
      </c>
      <c r="D52" s="2">
        <v>6.2</v>
      </c>
      <c r="E52" s="3">
        <f t="shared" si="2"/>
        <v>0.10268240195954237</v>
      </c>
      <c r="F52" s="4">
        <f t="shared" si="3"/>
        <v>738.47360499987337</v>
      </c>
    </row>
    <row r="53" spans="1:6">
      <c r="A53" s="7">
        <v>43393</v>
      </c>
      <c r="B53" s="1">
        <v>0.33333333333333331</v>
      </c>
      <c r="C53" s="2">
        <v>8269.1</v>
      </c>
      <c r="D53" s="2">
        <v>6</v>
      </c>
      <c r="E53" s="3">
        <f t="shared" si="2"/>
        <v>0.10139397192650743</v>
      </c>
      <c r="F53" s="4">
        <f t="shared" si="3"/>
        <v>738.34218513650376</v>
      </c>
    </row>
    <row r="54" spans="1:6">
      <c r="A54" s="7">
        <v>43605</v>
      </c>
      <c r="B54" s="1">
        <v>0.33333333333333331</v>
      </c>
      <c r="C54" s="2">
        <v>8272.5</v>
      </c>
      <c r="D54" s="2">
        <v>6</v>
      </c>
      <c r="E54" s="3">
        <f t="shared" si="2"/>
        <v>0.10081089425761766</v>
      </c>
      <c r="F54" s="4">
        <f t="shared" si="3"/>
        <v>738.28271121427701</v>
      </c>
    </row>
    <row r="55" spans="1:6">
      <c r="A55" s="7">
        <v>43615</v>
      </c>
      <c r="B55" s="1">
        <v>0.33333333333333331</v>
      </c>
      <c r="C55" s="2">
        <v>8273.7999999999993</v>
      </c>
      <c r="D55" s="2">
        <v>6.2</v>
      </c>
      <c r="E55" s="3">
        <f t="shared" si="2"/>
        <v>0.10122470173593434</v>
      </c>
      <c r="F55" s="4">
        <f t="shared" si="3"/>
        <v>738.32491957706532</v>
      </c>
    </row>
    <row r="56" spans="1:6">
      <c r="A56" s="7">
        <v>43626</v>
      </c>
      <c r="B56" s="1">
        <v>0.33333333333333331</v>
      </c>
      <c r="C56" s="2">
        <v>8274.6</v>
      </c>
      <c r="D56" s="2">
        <v>6.2</v>
      </c>
      <c r="E56" s="3">
        <f t="shared" si="2"/>
        <v>0.10108750853946724</v>
      </c>
      <c r="F56" s="4">
        <f t="shared" si="3"/>
        <v>738.31092587102569</v>
      </c>
    </row>
    <row r="57" spans="1:6">
      <c r="A57" s="7">
        <v>43636</v>
      </c>
      <c r="B57" s="1">
        <v>0.33333333333333331</v>
      </c>
      <c r="C57" s="2">
        <v>8276.1</v>
      </c>
      <c r="D57" s="2">
        <v>6.4</v>
      </c>
      <c r="E57" s="3">
        <f t="shared" si="2"/>
        <v>0.1014670194785518</v>
      </c>
      <c r="F57" s="4">
        <f t="shared" si="3"/>
        <v>738.34963598681225</v>
      </c>
    </row>
    <row r="58" spans="1:6">
      <c r="A58" s="7">
        <v>43646</v>
      </c>
      <c r="B58" s="1">
        <v>0.33333333333333331</v>
      </c>
      <c r="C58" s="2">
        <v>8280.4</v>
      </c>
      <c r="D58" s="2">
        <v>6.4</v>
      </c>
      <c r="E58" s="3">
        <f t="shared" si="2"/>
        <v>0.10072961596611635</v>
      </c>
      <c r="F58" s="4">
        <f t="shared" si="3"/>
        <v>738.27442082854384</v>
      </c>
    </row>
    <row r="59" spans="1:6">
      <c r="A59" s="7">
        <v>43656</v>
      </c>
      <c r="B59" s="1">
        <v>0.33333333333333331</v>
      </c>
      <c r="C59" s="2">
        <v>8282.5</v>
      </c>
      <c r="D59" s="2">
        <v>6.2</v>
      </c>
      <c r="E59" s="3">
        <f t="shared" si="2"/>
        <v>9.9732745296667757E-2</v>
      </c>
      <c r="F59" s="4">
        <f t="shared" si="3"/>
        <v>738.17274002026011</v>
      </c>
    </row>
    <row r="60" spans="1:6">
      <c r="A60" s="7">
        <v>43666</v>
      </c>
      <c r="B60" s="1">
        <v>0.33333333333333331</v>
      </c>
      <c r="C60" s="2">
        <v>8285.9</v>
      </c>
      <c r="D60" s="2">
        <v>6.3</v>
      </c>
      <c r="E60" s="3">
        <f t="shared" si="2"/>
        <v>9.946806717611148E-2</v>
      </c>
      <c r="F60" s="4">
        <f t="shared" si="3"/>
        <v>738.1457428519634</v>
      </c>
    </row>
    <row r="61" spans="1:6">
      <c r="A61" s="7">
        <v>43676</v>
      </c>
      <c r="B61" s="1">
        <v>0.33333333333333331</v>
      </c>
      <c r="C61" s="2">
        <v>8278.4</v>
      </c>
      <c r="D61" s="2">
        <v>6.4</v>
      </c>
      <c r="E61" s="3">
        <f t="shared" si="2"/>
        <v>0.10107259303404675</v>
      </c>
      <c r="F61" s="4">
        <f t="shared" si="3"/>
        <v>738.30940448947274</v>
      </c>
    </row>
    <row r="62" spans="1:6">
      <c r="A62" s="7">
        <v>43687</v>
      </c>
      <c r="B62" s="1">
        <v>0.33333333333333331</v>
      </c>
      <c r="C62" s="2">
        <v>8259.6</v>
      </c>
      <c r="D62" s="2">
        <v>6.4</v>
      </c>
      <c r="E62" s="3">
        <f t="shared" si="2"/>
        <v>0.10429668882944426</v>
      </c>
      <c r="F62" s="4">
        <f t="shared" si="3"/>
        <v>738.63826226060337</v>
      </c>
    </row>
    <row r="63" spans="1:6">
      <c r="A63" s="7">
        <v>43697</v>
      </c>
      <c r="B63" s="1">
        <v>0.33333333333333331</v>
      </c>
      <c r="C63" s="2">
        <v>8238.2999999999993</v>
      </c>
      <c r="D63" s="2">
        <v>6.3</v>
      </c>
      <c r="E63" s="3">
        <f t="shared" si="2"/>
        <v>0.10763139039930117</v>
      </c>
      <c r="F63" s="4">
        <f t="shared" si="3"/>
        <v>738.97840182072866</v>
      </c>
    </row>
    <row r="64" spans="1:6">
      <c r="A64" s="7">
        <v>43707</v>
      </c>
      <c r="B64" s="1">
        <v>0.33333333333333331</v>
      </c>
      <c r="C64" s="2">
        <v>8224.6</v>
      </c>
      <c r="D64" s="2">
        <v>6.3</v>
      </c>
      <c r="E64" s="3">
        <f t="shared" si="2"/>
        <v>0.10998115745530737</v>
      </c>
      <c r="F64" s="4">
        <f t="shared" si="3"/>
        <v>739.21807806044137</v>
      </c>
    </row>
  </sheetData>
  <phoneticPr fontId="4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6"/>
  <sheetViews>
    <sheetView topLeftCell="A39" workbookViewId="0">
      <selection activeCell="A57" sqref="A57:B59"/>
    </sheetView>
  </sheetViews>
  <sheetFormatPr defaultColWidth="9" defaultRowHeight="13.5"/>
  <cols>
    <col min="1" max="1" width="11" customWidth="1"/>
    <col min="2" max="2" width="13.125" style="17" customWidth="1"/>
    <col min="5" max="5" width="10.875" customWidth="1"/>
    <col min="8" max="8" width="9.5" customWidth="1"/>
  </cols>
  <sheetData>
    <row r="1" spans="1:8">
      <c r="A1" t="s">
        <v>0</v>
      </c>
      <c r="B1" s="18">
        <v>11389</v>
      </c>
      <c r="C1" t="s">
        <v>1</v>
      </c>
      <c r="D1" s="11">
        <v>731</v>
      </c>
    </row>
    <row r="2" spans="1:8">
      <c r="A2" t="s">
        <v>2</v>
      </c>
      <c r="B2" s="24">
        <v>-8.7219700000000002E-10</v>
      </c>
    </row>
    <row r="3" spans="1:8">
      <c r="A3" t="s">
        <v>3</v>
      </c>
      <c r="B3" s="18">
        <v>-1.3168199999999999E-4</v>
      </c>
    </row>
    <row r="4" spans="1:8">
      <c r="A4" t="s">
        <v>4</v>
      </c>
      <c r="B4" s="18">
        <v>1.26735474</v>
      </c>
    </row>
    <row r="5" spans="1:8">
      <c r="A5" t="s">
        <v>5</v>
      </c>
      <c r="B5" s="18">
        <v>-2.8791149999999998E-3</v>
      </c>
    </row>
    <row r="6" spans="1:8">
      <c r="A6" t="s">
        <v>6</v>
      </c>
      <c r="B6" s="17" t="s">
        <v>7</v>
      </c>
      <c r="C6" t="s">
        <v>8</v>
      </c>
      <c r="D6" t="s">
        <v>9</v>
      </c>
      <c r="E6" t="s">
        <v>10</v>
      </c>
      <c r="F6" t="s">
        <v>11</v>
      </c>
      <c r="G6" t="s">
        <v>12</v>
      </c>
    </row>
    <row r="7" spans="1:8">
      <c r="A7" s="6">
        <v>42616</v>
      </c>
      <c r="B7" s="9">
        <v>0.64583333333333304</v>
      </c>
      <c r="C7" s="2">
        <v>8960.5</v>
      </c>
      <c r="D7" s="2">
        <v>16.7</v>
      </c>
      <c r="E7" s="3">
        <f>($B$2*C7^2+$B$3*C7+$B$4)-$B$5*D7</f>
        <v>6.5470213721630893E-2</v>
      </c>
      <c r="G7" t="s">
        <v>13</v>
      </c>
    </row>
    <row r="8" spans="1:8">
      <c r="A8" s="6">
        <v>42619</v>
      </c>
      <c r="B8" s="9">
        <v>0.66666666666666696</v>
      </c>
      <c r="C8" s="2">
        <v>8295.6</v>
      </c>
      <c r="D8" s="2">
        <v>18</v>
      </c>
      <c r="E8" s="3">
        <f t="shared" ref="E8:E32" si="0">($B$2*C8^2+$B$3*C8+$B$4)-$B$5*D8-$E$7</f>
        <v>0.10130543413151535</v>
      </c>
      <c r="F8" s="4">
        <f>$D$1+102*E8</f>
        <v>741.33315428141452</v>
      </c>
      <c r="G8" s="5" t="s">
        <v>14</v>
      </c>
      <c r="H8" s="23"/>
    </row>
    <row r="9" spans="1:8">
      <c r="A9" s="6">
        <v>42620</v>
      </c>
      <c r="B9" s="9">
        <v>0.33333333333333298</v>
      </c>
      <c r="C9" s="2">
        <v>8242.4</v>
      </c>
      <c r="D9" s="2">
        <v>4.8</v>
      </c>
      <c r="E9" s="3">
        <f t="shared" si="0"/>
        <v>7.107397629157064E-2</v>
      </c>
      <c r="F9" s="4">
        <f t="shared" ref="F9:F37" si="1">$D$1+102*E9</f>
        <v>738.24954558174022</v>
      </c>
      <c r="H9" s="23"/>
    </row>
    <row r="10" spans="1:8">
      <c r="A10" s="6">
        <v>42621</v>
      </c>
      <c r="B10" s="9">
        <v>0.33333333333333298</v>
      </c>
      <c r="C10" s="2">
        <v>8281.7999999999993</v>
      </c>
      <c r="D10" s="2">
        <v>4.0999999999999996</v>
      </c>
      <c r="E10" s="3">
        <f t="shared" si="0"/>
        <v>6.3302478099475146E-2</v>
      </c>
      <c r="F10" s="4">
        <f t="shared" si="1"/>
        <v>737.45685276614643</v>
      </c>
      <c r="H10" s="23"/>
    </row>
    <row r="11" spans="1:8">
      <c r="A11" s="6">
        <v>42622</v>
      </c>
      <c r="B11" s="9">
        <v>0.33333333333333298</v>
      </c>
      <c r="C11" s="2">
        <v>8276</v>
      </c>
      <c r="D11" s="2">
        <v>4</v>
      </c>
      <c r="E11" s="3">
        <f t="shared" si="0"/>
        <v>6.3862083847697232E-2</v>
      </c>
      <c r="F11" s="4">
        <f t="shared" si="1"/>
        <v>737.51393255246512</v>
      </c>
      <c r="H11" s="23"/>
    </row>
    <row r="12" spans="1:8">
      <c r="A12" s="6">
        <v>42623</v>
      </c>
      <c r="B12" s="9">
        <v>0.33333333333333298</v>
      </c>
      <c r="C12" s="2">
        <v>8274.1</v>
      </c>
      <c r="D12" s="2">
        <v>3.9</v>
      </c>
      <c r="E12" s="3">
        <f t="shared" si="0"/>
        <v>6.3851794548079627E-2</v>
      </c>
      <c r="F12" s="4">
        <f t="shared" si="1"/>
        <v>737.51288304390414</v>
      </c>
      <c r="H12" s="23"/>
    </row>
    <row r="13" spans="1:8">
      <c r="A13" s="6">
        <v>42624</v>
      </c>
      <c r="B13" s="9">
        <v>0.33333333333333298</v>
      </c>
      <c r="C13" s="2">
        <v>8272.2999999999993</v>
      </c>
      <c r="D13" s="2">
        <v>3.9</v>
      </c>
      <c r="E13" s="3">
        <f t="shared" si="0"/>
        <v>6.411479924487315E-2</v>
      </c>
      <c r="F13" s="4">
        <f t="shared" si="1"/>
        <v>737.53970952297709</v>
      </c>
      <c r="H13" s="23"/>
    </row>
    <row r="14" spans="1:8">
      <c r="A14" s="6">
        <v>42625</v>
      </c>
      <c r="B14" s="9">
        <v>0.33333333333333298</v>
      </c>
      <c r="C14" s="2">
        <v>8270</v>
      </c>
      <c r="D14" s="2">
        <v>3.9</v>
      </c>
      <c r="E14" s="3">
        <f t="shared" si="0"/>
        <v>6.4450852577069256E-2</v>
      </c>
      <c r="F14" s="4">
        <f t="shared" si="1"/>
        <v>737.57398696286111</v>
      </c>
      <c r="H14" s="23"/>
    </row>
    <row r="15" spans="1:8">
      <c r="A15" s="6">
        <v>42633</v>
      </c>
      <c r="B15" s="9">
        <v>0.33333333333333298</v>
      </c>
      <c r="C15" s="2">
        <v>8254</v>
      </c>
      <c r="D15" s="2">
        <v>3.9</v>
      </c>
      <c r="E15" s="3">
        <f t="shared" si="0"/>
        <v>6.6788359508717282E-2</v>
      </c>
      <c r="F15" s="4">
        <f t="shared" si="1"/>
        <v>737.81241266988911</v>
      </c>
      <c r="H15" s="23"/>
    </row>
    <row r="16" spans="1:8">
      <c r="A16" s="6">
        <v>42643</v>
      </c>
      <c r="B16" s="9">
        <v>0.33333333333333331</v>
      </c>
      <c r="C16" s="2">
        <v>8269.6</v>
      </c>
      <c r="D16" s="2">
        <v>4.0999999999999996</v>
      </c>
      <c r="E16" s="3">
        <f t="shared" si="0"/>
        <v>6.5085118692869648E-2</v>
      </c>
      <c r="F16" s="4">
        <f t="shared" si="1"/>
        <v>737.63868210667272</v>
      </c>
      <c r="H16" s="23"/>
    </row>
    <row r="17" spans="1:8">
      <c r="A17" s="6">
        <v>42884</v>
      </c>
      <c r="B17" s="9">
        <v>0.33333333333333331</v>
      </c>
      <c r="C17" s="2">
        <v>8322.1</v>
      </c>
      <c r="D17" s="2">
        <v>5.4</v>
      </c>
      <c r="E17" s="3">
        <f t="shared" si="0"/>
        <v>6.1154923567212222E-2</v>
      </c>
      <c r="F17" s="4">
        <f t="shared" si="1"/>
        <v>737.23780220385561</v>
      </c>
      <c r="H17" s="23"/>
    </row>
    <row r="18" spans="1:8">
      <c r="A18" s="6">
        <v>42885</v>
      </c>
      <c r="B18" s="9">
        <v>0.33333333333333331</v>
      </c>
      <c r="C18" s="2">
        <v>8322.5</v>
      </c>
      <c r="D18" s="2">
        <v>5.3</v>
      </c>
      <c r="E18" s="3">
        <f t="shared" si="0"/>
        <v>6.0808532319137937E-2</v>
      </c>
      <c r="F18" s="4">
        <f t="shared" si="1"/>
        <v>737.20247029655206</v>
      </c>
      <c r="H18" s="23"/>
    </row>
    <row r="19" spans="1:8">
      <c r="A19" s="7">
        <v>42896</v>
      </c>
      <c r="B19" s="9">
        <v>0.33333333333333331</v>
      </c>
      <c r="C19" s="2">
        <v>8323.7000000000007</v>
      </c>
      <c r="D19" s="2">
        <v>5.3</v>
      </c>
      <c r="E19" s="3">
        <f t="shared" si="0"/>
        <v>6.0633091400296241E-2</v>
      </c>
      <c r="F19" s="4">
        <f t="shared" si="1"/>
        <v>737.18457532283026</v>
      </c>
      <c r="H19" s="23"/>
    </row>
    <row r="20" spans="1:8">
      <c r="A20" s="7">
        <v>42906</v>
      </c>
      <c r="B20" s="9">
        <v>0.33333333333333331</v>
      </c>
      <c r="C20" s="2">
        <v>8322.7999999999993</v>
      </c>
      <c r="D20" s="2">
        <v>5.3</v>
      </c>
      <c r="E20" s="3">
        <f t="shared" si="0"/>
        <v>6.0764672324920749E-2</v>
      </c>
      <c r="F20" s="4">
        <f t="shared" si="1"/>
        <v>737.19799657714191</v>
      </c>
      <c r="H20" s="23"/>
    </row>
    <row r="21" spans="1:8">
      <c r="A21" s="7">
        <v>42916</v>
      </c>
      <c r="B21" s="9">
        <v>0.33333333333333331</v>
      </c>
      <c r="C21" s="2">
        <v>8313.2999999999993</v>
      </c>
      <c r="D21" s="2">
        <v>5.3</v>
      </c>
      <c r="E21" s="3">
        <f t="shared" si="0"/>
        <v>6.2153495911781848E-2</v>
      </c>
      <c r="F21" s="4">
        <f t="shared" si="1"/>
        <v>737.33965658300178</v>
      </c>
      <c r="H21" s="23"/>
    </row>
    <row r="22" spans="1:8">
      <c r="A22" s="7">
        <v>42926</v>
      </c>
      <c r="B22" s="9">
        <v>0.33333333333333331</v>
      </c>
      <c r="C22" s="2">
        <v>8325.7000000000007</v>
      </c>
      <c r="D22" s="2">
        <v>5.3</v>
      </c>
      <c r="E22" s="3">
        <f t="shared" si="0"/>
        <v>6.0340684286832452E-2</v>
      </c>
      <c r="F22" s="4">
        <f t="shared" si="1"/>
        <v>737.15474979725695</v>
      </c>
      <c r="H22" s="23"/>
    </row>
    <row r="23" spans="1:8">
      <c r="A23" s="7">
        <v>42936</v>
      </c>
      <c r="B23" s="9">
        <v>0.33333333333333331</v>
      </c>
      <c r="C23" s="2">
        <v>8322</v>
      </c>
      <c r="D23" s="2">
        <v>5.3</v>
      </c>
      <c r="E23" s="3">
        <f t="shared" si="0"/>
        <v>6.0881631960621213E-2</v>
      </c>
      <c r="F23" s="4">
        <f t="shared" si="1"/>
        <v>737.20992645998331</v>
      </c>
    </row>
    <row r="24" spans="1:8">
      <c r="A24" s="7">
        <v>42946</v>
      </c>
      <c r="B24" s="9">
        <v>0.33333333333333331</v>
      </c>
      <c r="C24" s="2">
        <v>8323.9</v>
      </c>
      <c r="D24" s="2">
        <v>5.3</v>
      </c>
      <c r="E24" s="3">
        <f t="shared" si="0"/>
        <v>6.0603851002940828E-2</v>
      </c>
      <c r="F24" s="4">
        <f t="shared" si="1"/>
        <v>737.18159280229997</v>
      </c>
    </row>
    <row r="25" spans="1:8">
      <c r="A25" s="7">
        <v>42957</v>
      </c>
      <c r="B25" s="9">
        <v>0.33333333333333331</v>
      </c>
      <c r="C25" s="2">
        <v>8320.9</v>
      </c>
      <c r="D25" s="2">
        <v>5.3</v>
      </c>
      <c r="E25" s="3">
        <f t="shared" si="0"/>
        <v>6.1042449636817903E-2</v>
      </c>
      <c r="F25" s="4">
        <f t="shared" si="1"/>
        <v>737.22632986295548</v>
      </c>
    </row>
    <row r="26" spans="1:8">
      <c r="A26" s="7">
        <v>42967</v>
      </c>
      <c r="B26" s="9">
        <v>0.33333333333333331</v>
      </c>
      <c r="C26" s="2">
        <v>8317.2999999999993</v>
      </c>
      <c r="D26" s="2">
        <v>5.3</v>
      </c>
      <c r="E26" s="3">
        <f t="shared" si="0"/>
        <v>6.1568747274069219E-2</v>
      </c>
      <c r="F26" s="4">
        <f t="shared" si="1"/>
        <v>737.28001222195508</v>
      </c>
    </row>
    <row r="27" spans="1:8">
      <c r="A27" s="7">
        <v>42977</v>
      </c>
      <c r="B27" s="9">
        <v>0.33333333333333331</v>
      </c>
      <c r="C27" s="2">
        <v>8317.4</v>
      </c>
      <c r="D27" s="2">
        <v>6</v>
      </c>
      <c r="E27" s="3">
        <f t="shared" si="0"/>
        <v>6.3569508700525523E-2</v>
      </c>
      <c r="F27" s="4">
        <f t="shared" si="1"/>
        <v>737.48408988745359</v>
      </c>
    </row>
    <row r="28" spans="1:8">
      <c r="A28" s="6">
        <v>42988</v>
      </c>
      <c r="B28" s="9">
        <v>0.33333333333333331</v>
      </c>
      <c r="C28" s="2">
        <v>8315.1</v>
      </c>
      <c r="D28" s="2">
        <v>5.2</v>
      </c>
      <c r="E28" s="3">
        <f t="shared" si="0"/>
        <v>6.1602450978711143E-2</v>
      </c>
      <c r="F28" s="4">
        <f t="shared" si="1"/>
        <v>737.28344999982858</v>
      </c>
    </row>
    <row r="29" spans="1:8">
      <c r="A29" s="7">
        <v>42998</v>
      </c>
      <c r="B29" s="9">
        <v>0.33333333333333331</v>
      </c>
      <c r="C29" s="2">
        <v>8321.2000000000007</v>
      </c>
      <c r="D29" s="2">
        <v>5.2</v>
      </c>
      <c r="E29" s="3">
        <f t="shared" si="0"/>
        <v>6.0710678979909394E-2</v>
      </c>
      <c r="F29" s="4">
        <f t="shared" si="1"/>
        <v>737.1924892559507</v>
      </c>
    </row>
    <row r="30" spans="1:8">
      <c r="A30" s="7">
        <v>43008</v>
      </c>
      <c r="B30" s="9">
        <v>0.33333333333333331</v>
      </c>
      <c r="C30" s="2">
        <v>8323.1</v>
      </c>
      <c r="D30" s="2">
        <v>5.3</v>
      </c>
      <c r="E30" s="3">
        <f t="shared" si="0"/>
        <v>6.0720812173708033E-2</v>
      </c>
      <c r="F30" s="4">
        <f t="shared" si="1"/>
        <v>737.19352284171816</v>
      </c>
    </row>
    <row r="31" spans="1:8">
      <c r="A31" s="7">
        <v>43018</v>
      </c>
      <c r="B31" s="9">
        <v>0.33333333333333331</v>
      </c>
      <c r="C31" s="2">
        <v>8318.7000000000007</v>
      </c>
      <c r="D31" s="2">
        <v>5.2</v>
      </c>
      <c r="E31" s="3">
        <f t="shared" si="0"/>
        <v>6.1076167157060268E-2</v>
      </c>
      <c r="F31" s="4">
        <f t="shared" si="1"/>
        <v>737.2297690500202</v>
      </c>
    </row>
    <row r="32" spans="1:8">
      <c r="A32" s="7">
        <v>43230</v>
      </c>
      <c r="B32" s="9">
        <v>0.33333333333333298</v>
      </c>
      <c r="C32" s="2">
        <v>8329.6</v>
      </c>
      <c r="D32" s="2">
        <v>5</v>
      </c>
      <c r="E32" s="3">
        <f t="shared" si="0"/>
        <v>5.8906735846325636E-2</v>
      </c>
      <c r="F32" s="4">
        <f t="shared" si="1"/>
        <v>737.00848705632518</v>
      </c>
    </row>
    <row r="33" spans="1:6">
      <c r="A33" s="7">
        <v>43240</v>
      </c>
      <c r="B33" s="9">
        <v>0.33333333333333298</v>
      </c>
      <c r="C33" s="2">
        <v>8331.9</v>
      </c>
      <c r="D33" s="2">
        <v>5.2</v>
      </c>
      <c r="E33" s="3">
        <f>($B$2*C33^2+$B$3*C33+$B$4)-$B$5*D33-$E$7</f>
        <v>5.9146266392600066E-2</v>
      </c>
      <c r="F33" s="4">
        <f t="shared" si="1"/>
        <v>737.03291917204524</v>
      </c>
    </row>
    <row r="34" spans="1:6">
      <c r="A34" s="7">
        <v>43250</v>
      </c>
      <c r="B34" s="9">
        <v>0.33333333333333331</v>
      </c>
      <c r="C34" s="2">
        <v>8328.6</v>
      </c>
      <c r="D34" s="2">
        <v>5.2</v>
      </c>
      <c r="E34" s="3">
        <f>($B$2*C34^2+$B$3*C34+$B$4)-$B$5*D34-$E$7</f>
        <v>5.9628770078391014E-2</v>
      </c>
      <c r="F34" s="4">
        <f t="shared" si="1"/>
        <v>737.08213454799591</v>
      </c>
    </row>
    <row r="35" spans="1:6">
      <c r="A35" s="7">
        <v>43261</v>
      </c>
      <c r="B35" s="9">
        <v>0.33333333333333298</v>
      </c>
      <c r="C35" s="2">
        <v>8326.2999999999993</v>
      </c>
      <c r="D35" s="2">
        <v>5.0999999999999996</v>
      </c>
      <c r="E35" s="3">
        <f>($B$2*C35^2+$B$3*C35+$B$4)-$B$5*D35-$E$7</f>
        <v>5.9677137792166352E-2</v>
      </c>
      <c r="F35" s="4">
        <f t="shared" si="1"/>
        <v>737.08706805480097</v>
      </c>
    </row>
    <row r="36" spans="1:6">
      <c r="A36" s="7">
        <v>43271</v>
      </c>
      <c r="B36" s="9">
        <v>0.33333333333333298</v>
      </c>
      <c r="C36" s="2">
        <v>8267.4</v>
      </c>
      <c r="D36" s="2">
        <v>5.2</v>
      </c>
      <c r="E36" s="3">
        <f>($B$2*C36^2+$B$3*C36+$B$4)-$B$5*D36-$E$7</f>
        <v>6.8573577340805547E-2</v>
      </c>
      <c r="F36" s="4">
        <f t="shared" si="1"/>
        <v>737.99450488876221</v>
      </c>
    </row>
    <row r="37" spans="1:6">
      <c r="A37" s="7">
        <v>43281</v>
      </c>
      <c r="B37" s="9">
        <v>0.33333333333333331</v>
      </c>
      <c r="C37" s="2">
        <v>8264.2999999999993</v>
      </c>
      <c r="D37" s="2">
        <v>5</v>
      </c>
      <c r="E37" s="3">
        <f>($B$2*C37^2+$B$3*C37+$B$4)-$B$5*D37-$E$7</f>
        <v>6.8450667128154702E-2</v>
      </c>
      <c r="F37" s="4">
        <f t="shared" si="1"/>
        <v>737.98196804707175</v>
      </c>
    </row>
    <row r="38" spans="1:6">
      <c r="A38" s="7">
        <v>43291</v>
      </c>
      <c r="B38" s="9">
        <v>0.33333333333333331</v>
      </c>
      <c r="C38" s="2">
        <v>8275.7999999999993</v>
      </c>
      <c r="D38" s="2">
        <v>5.5</v>
      </c>
      <c r="E38" s="3">
        <f t="shared" ref="E38:E59" si="2">($B$2*C38^2+$B$3*C38+$B$4)-$B$5*D38-$E$7</f>
        <v>6.8209980033758277E-2</v>
      </c>
      <c r="F38" s="4">
        <f t="shared" ref="F38:F59" si="3">$D$1+102*E38</f>
        <v>737.95741796344339</v>
      </c>
    </row>
    <row r="39" spans="1:6">
      <c r="A39" s="7">
        <v>43301</v>
      </c>
      <c r="B39" s="9">
        <v>0.33333333333333331</v>
      </c>
      <c r="C39" s="2">
        <v>8283.1</v>
      </c>
      <c r="D39" s="2">
        <v>5.3</v>
      </c>
      <c r="E39" s="3">
        <f t="shared" si="2"/>
        <v>6.6567447286563913E-2</v>
      </c>
      <c r="F39" s="4">
        <f t="shared" si="3"/>
        <v>737.78987962322947</v>
      </c>
    </row>
    <row r="40" spans="1:6">
      <c r="A40" s="7">
        <v>43311</v>
      </c>
      <c r="B40" s="9">
        <v>0.33333333333333331</v>
      </c>
      <c r="C40" s="2">
        <v>8281.7999999999993</v>
      </c>
      <c r="D40" s="2">
        <v>5.0999999999999996</v>
      </c>
      <c r="E40" s="3">
        <f t="shared" si="2"/>
        <v>6.6181593099475161E-2</v>
      </c>
      <c r="F40" s="4">
        <f t="shared" si="3"/>
        <v>737.75052249614646</v>
      </c>
    </row>
    <row r="41" spans="1:6">
      <c r="A41" s="7">
        <v>43322</v>
      </c>
      <c r="B41" s="9">
        <v>0.33333333333333331</v>
      </c>
      <c r="C41" s="2">
        <v>8266.6</v>
      </c>
      <c r="D41" s="2">
        <v>5.0999999999999996</v>
      </c>
      <c r="E41" s="3">
        <f t="shared" si="2"/>
        <v>6.8402548164963745E-2</v>
      </c>
      <c r="F41" s="4">
        <f t="shared" si="3"/>
        <v>737.97705991282635</v>
      </c>
    </row>
    <row r="42" spans="1:6">
      <c r="A42" s="7">
        <v>43332</v>
      </c>
      <c r="B42" s="9">
        <v>0.33333333333333331</v>
      </c>
      <c r="C42" s="2">
        <v>8272.2999999999993</v>
      </c>
      <c r="D42" s="2">
        <v>5.0999999999999996</v>
      </c>
      <c r="E42" s="3">
        <f t="shared" si="2"/>
        <v>6.7569737244873168E-2</v>
      </c>
      <c r="F42" s="4">
        <f t="shared" si="3"/>
        <v>737.89211319897709</v>
      </c>
    </row>
    <row r="43" spans="1:6">
      <c r="A43" s="7">
        <v>43342</v>
      </c>
      <c r="B43" s="9">
        <v>0.33333333333333331</v>
      </c>
      <c r="C43" s="2">
        <v>8272</v>
      </c>
      <c r="D43" s="2">
        <v>5</v>
      </c>
      <c r="E43" s="3">
        <f t="shared" si="2"/>
        <v>6.7325659311521319E-2</v>
      </c>
      <c r="F43" s="4">
        <f t="shared" si="3"/>
        <v>737.86721724977519</v>
      </c>
    </row>
    <row r="44" spans="1:6">
      <c r="A44" s="7">
        <v>43353</v>
      </c>
      <c r="B44" s="9">
        <v>0.33333333333333331</v>
      </c>
      <c r="C44" s="2">
        <v>8271.1</v>
      </c>
      <c r="D44" s="2">
        <v>5</v>
      </c>
      <c r="E44" s="3">
        <f t="shared" si="2"/>
        <v>6.7457159069492872E-2</v>
      </c>
      <c r="F44" s="4">
        <f t="shared" si="3"/>
        <v>737.88063022508823</v>
      </c>
    </row>
    <row r="45" spans="1:6">
      <c r="A45" s="7">
        <v>43363</v>
      </c>
      <c r="B45" s="9">
        <v>0.33333333333333331</v>
      </c>
      <c r="C45" s="2">
        <v>8245.9</v>
      </c>
      <c r="D45" s="2">
        <v>5</v>
      </c>
      <c r="E45" s="3">
        <f t="shared" si="2"/>
        <v>7.113857863128778E-2</v>
      </c>
      <c r="F45" s="4">
        <f t="shared" si="3"/>
        <v>738.2561350203913</v>
      </c>
    </row>
    <row r="46" spans="1:6">
      <c r="A46" s="7">
        <v>43373</v>
      </c>
      <c r="B46" s="9">
        <v>0.33333333333333331</v>
      </c>
      <c r="C46" s="2">
        <v>8281.2999999999993</v>
      </c>
      <c r="D46" s="2">
        <v>5</v>
      </c>
      <c r="E46" s="3">
        <f t="shared" si="2"/>
        <v>6.5966745742540439E-2</v>
      </c>
      <c r="F46" s="4">
        <f t="shared" si="3"/>
        <v>737.72860806573908</v>
      </c>
    </row>
    <row r="47" spans="1:6">
      <c r="A47" s="7">
        <v>43383</v>
      </c>
      <c r="B47" s="9">
        <v>0.33333333333333331</v>
      </c>
      <c r="C47" s="2">
        <v>8283.6</v>
      </c>
      <c r="D47" s="2">
        <v>4.8</v>
      </c>
      <c r="E47" s="3">
        <f t="shared" si="2"/>
        <v>6.5054824073544015E-2</v>
      </c>
      <c r="F47" s="4">
        <f t="shared" si="3"/>
        <v>737.63559205550143</v>
      </c>
    </row>
    <row r="48" spans="1:6">
      <c r="A48" s="7">
        <v>43393</v>
      </c>
      <c r="B48" s="9">
        <v>0.33333333333333331</v>
      </c>
      <c r="C48" s="2">
        <v>8290.7000000000007</v>
      </c>
      <c r="D48" s="2">
        <v>4.5999999999999996</v>
      </c>
      <c r="E48" s="3">
        <f t="shared" si="2"/>
        <v>6.3441420884910477E-2</v>
      </c>
      <c r="F48" s="4">
        <f t="shared" si="3"/>
        <v>737.47102493026091</v>
      </c>
    </row>
    <row r="49" spans="1:6">
      <c r="A49" s="7">
        <v>43605</v>
      </c>
      <c r="B49" s="1">
        <v>0.33333333333333331</v>
      </c>
      <c r="C49" s="2">
        <v>8331.7999999999993</v>
      </c>
      <c r="D49" s="2">
        <v>4.7</v>
      </c>
      <c r="E49" s="3">
        <f t="shared" si="2"/>
        <v>5.772133049551495E-2</v>
      </c>
      <c r="F49" s="4">
        <f t="shared" si="3"/>
        <v>736.88757571054248</v>
      </c>
    </row>
    <row r="50" spans="1:6">
      <c r="A50" s="7">
        <v>43615</v>
      </c>
      <c r="B50" s="1">
        <v>0.33333333333333331</v>
      </c>
      <c r="C50" s="2">
        <v>8320.5</v>
      </c>
      <c r="D50" s="2">
        <v>4.7</v>
      </c>
      <c r="E50" s="3">
        <f t="shared" si="2"/>
        <v>5.9373459268479895E-2</v>
      </c>
      <c r="F50" s="4">
        <f t="shared" si="3"/>
        <v>737.05609284538491</v>
      </c>
    </row>
    <row r="51" spans="1:6">
      <c r="A51" s="7">
        <v>43626</v>
      </c>
      <c r="B51" s="1">
        <v>0.33333333333333331</v>
      </c>
      <c r="C51" s="2">
        <v>8325.2000000000007</v>
      </c>
      <c r="D51" s="2">
        <v>4.8</v>
      </c>
      <c r="E51" s="3">
        <f t="shared" si="2"/>
        <v>5.8974229219346266E-2</v>
      </c>
      <c r="F51" s="4">
        <f t="shared" si="3"/>
        <v>737.01537138037327</v>
      </c>
    </row>
    <row r="52" spans="1:6">
      <c r="A52" s="7">
        <v>43636</v>
      </c>
      <c r="B52" s="1">
        <v>0.33333333333333331</v>
      </c>
      <c r="C52" s="2">
        <v>8327.6</v>
      </c>
      <c r="D52" s="2">
        <v>4.8</v>
      </c>
      <c r="E52" s="3">
        <f t="shared" si="2"/>
        <v>5.8623333566062433E-2</v>
      </c>
      <c r="F52" s="4">
        <f t="shared" si="3"/>
        <v>736.97958002373832</v>
      </c>
    </row>
    <row r="53" spans="1:6">
      <c r="A53" s="7">
        <v>43646</v>
      </c>
      <c r="B53" s="1">
        <v>0.33333333333333331</v>
      </c>
      <c r="C53" s="2">
        <v>8312.7000000000007</v>
      </c>
      <c r="D53" s="2">
        <v>4.7</v>
      </c>
      <c r="E53" s="3">
        <f t="shared" si="2"/>
        <v>6.0513736800174994E-2</v>
      </c>
      <c r="F53" s="4">
        <f t="shared" si="3"/>
        <v>737.1724011536179</v>
      </c>
    </row>
    <row r="54" spans="1:6">
      <c r="A54" s="7">
        <v>43656</v>
      </c>
      <c r="B54" s="1">
        <v>0.33333333333333331</v>
      </c>
      <c r="C54" s="2">
        <v>8307.5</v>
      </c>
      <c r="D54" s="2">
        <v>4.7</v>
      </c>
      <c r="E54" s="3">
        <f t="shared" si="2"/>
        <v>6.1273862860787925E-2</v>
      </c>
      <c r="F54" s="4">
        <f t="shared" si="3"/>
        <v>737.24993401180041</v>
      </c>
    </row>
    <row r="55" spans="1:6">
      <c r="A55" s="7">
        <v>43666</v>
      </c>
      <c r="B55" s="1">
        <v>0.33333333333333331</v>
      </c>
      <c r="C55" s="2">
        <v>8296.2999999999993</v>
      </c>
      <c r="D55" s="2">
        <v>4.7</v>
      </c>
      <c r="E55" s="3">
        <f t="shared" si="2"/>
        <v>6.2910897247732439E-2</v>
      </c>
      <c r="F55" s="4">
        <f t="shared" si="3"/>
        <v>737.41691151926875</v>
      </c>
    </row>
    <row r="56" spans="1:6">
      <c r="A56" s="7">
        <v>43676</v>
      </c>
      <c r="B56" s="1">
        <v>0.33333333333333331</v>
      </c>
      <c r="C56" s="2">
        <v>8278.1</v>
      </c>
      <c r="D56" s="2">
        <v>4.7</v>
      </c>
      <c r="E56" s="3">
        <f t="shared" si="2"/>
        <v>6.5570611431345988E-2</v>
      </c>
      <c r="F56" s="4">
        <f t="shared" si="3"/>
        <v>737.68820236599731</v>
      </c>
    </row>
    <row r="57" spans="1:6">
      <c r="A57" s="7">
        <v>43687</v>
      </c>
      <c r="B57" s="9">
        <v>0.33333333333333331</v>
      </c>
      <c r="C57" s="2">
        <v>8257.6</v>
      </c>
      <c r="D57" s="2">
        <v>4.8</v>
      </c>
      <c r="E57" s="3">
        <f t="shared" si="2"/>
        <v>6.8853662883970435E-2</v>
      </c>
      <c r="F57" s="4">
        <f t="shared" si="3"/>
        <v>738.02307361416501</v>
      </c>
    </row>
    <row r="58" spans="1:6">
      <c r="A58" s="7">
        <v>43697</v>
      </c>
      <c r="B58" s="1">
        <v>0.33333333333333331</v>
      </c>
      <c r="C58" s="2">
        <v>8241.5</v>
      </c>
      <c r="D58" s="2">
        <v>4.7</v>
      </c>
      <c r="E58" s="3">
        <f t="shared" si="2"/>
        <v>7.0917518078885994E-2</v>
      </c>
      <c r="F58" s="4">
        <f t="shared" si="3"/>
        <v>738.23358684404639</v>
      </c>
    </row>
    <row r="59" spans="1:6">
      <c r="A59" s="7">
        <v>43707</v>
      </c>
      <c r="B59" s="9">
        <v>0.33333333333333331</v>
      </c>
      <c r="C59" s="2">
        <v>8233.5</v>
      </c>
      <c r="D59" s="2">
        <v>4.7</v>
      </c>
      <c r="E59" s="3">
        <f t="shared" si="2"/>
        <v>7.2085929643486008E-2</v>
      </c>
      <c r="F59" s="4">
        <f t="shared" si="3"/>
        <v>738.35276482363554</v>
      </c>
    </row>
    <row r="60" spans="1:6">
      <c r="B60" s="9"/>
    </row>
    <row r="61" spans="1:6">
      <c r="B61" s="9"/>
    </row>
    <row r="62" spans="1:6">
      <c r="B62" s="9"/>
    </row>
    <row r="63" spans="1:6">
      <c r="B63" s="9"/>
    </row>
    <row r="64" spans="1:6">
      <c r="B64" s="9"/>
    </row>
    <row r="65" spans="2:2">
      <c r="B65" s="9"/>
    </row>
    <row r="66" spans="2:2">
      <c r="B66" s="9"/>
    </row>
    <row r="67" spans="2:2">
      <c r="B67" s="9"/>
    </row>
    <row r="68" spans="2:2">
      <c r="B68" s="9"/>
    </row>
    <row r="69" spans="2:2">
      <c r="B69" s="9"/>
    </row>
    <row r="70" spans="2:2">
      <c r="B70" s="9"/>
    </row>
    <row r="71" spans="2:2">
      <c r="B71" s="9"/>
    </row>
    <row r="72" spans="2:2">
      <c r="B72" s="9"/>
    </row>
    <row r="73" spans="2:2">
      <c r="B73" s="9"/>
    </row>
    <row r="74" spans="2:2">
      <c r="B74" s="9"/>
    </row>
    <row r="75" spans="2:2">
      <c r="B75" s="9"/>
    </row>
    <row r="76" spans="2:2">
      <c r="B76" s="9"/>
    </row>
    <row r="77" spans="2:2">
      <c r="B77" s="9"/>
    </row>
    <row r="78" spans="2:2">
      <c r="B78" s="9"/>
    </row>
    <row r="79" spans="2:2">
      <c r="B79" s="9"/>
    </row>
    <row r="80" spans="2:2">
      <c r="B80" s="9"/>
    </row>
    <row r="81" spans="2:2">
      <c r="B81" s="9"/>
    </row>
    <row r="82" spans="2:2">
      <c r="B82" s="9"/>
    </row>
    <row r="83" spans="2:2">
      <c r="B83" s="9"/>
    </row>
    <row r="84" spans="2:2">
      <c r="B84" s="9"/>
    </row>
    <row r="85" spans="2:2">
      <c r="B85" s="9"/>
    </row>
    <row r="86" spans="2:2">
      <c r="B86" s="9"/>
    </row>
    <row r="87" spans="2:2">
      <c r="B87" s="9"/>
    </row>
    <row r="88" spans="2:2">
      <c r="B88" s="9"/>
    </row>
    <row r="89" spans="2:2">
      <c r="B89" s="9"/>
    </row>
    <row r="90" spans="2:2">
      <c r="B90" s="9"/>
    </row>
    <row r="91" spans="2:2">
      <c r="B91" s="9"/>
    </row>
    <row r="92" spans="2:2">
      <c r="B92" s="9"/>
    </row>
    <row r="93" spans="2:2">
      <c r="B93" s="9"/>
    </row>
    <row r="94" spans="2:2">
      <c r="B94" s="9"/>
    </row>
    <row r="95" spans="2:2">
      <c r="B95" s="9"/>
    </row>
    <row r="96" spans="2:2">
      <c r="B96" s="9"/>
    </row>
    <row r="97" spans="2:2">
      <c r="B97" s="9"/>
    </row>
    <row r="98" spans="2:2">
      <c r="B98" s="9"/>
    </row>
    <row r="99" spans="2:2">
      <c r="B99" s="9"/>
    </row>
    <row r="100" spans="2:2">
      <c r="B100" s="9"/>
    </row>
    <row r="101" spans="2:2">
      <c r="B101" s="9"/>
    </row>
    <row r="102" spans="2:2">
      <c r="B102" s="9"/>
    </row>
    <row r="103" spans="2:2">
      <c r="B103" s="9"/>
    </row>
    <row r="104" spans="2:2">
      <c r="B104" s="9"/>
    </row>
    <row r="105" spans="2:2">
      <c r="B105" s="9"/>
    </row>
    <row r="106" spans="2:2">
      <c r="B106" s="9"/>
    </row>
    <row r="107" spans="2:2">
      <c r="B107" s="9"/>
    </row>
    <row r="108" spans="2:2">
      <c r="B108" s="9"/>
    </row>
    <row r="109" spans="2:2">
      <c r="B109" s="9"/>
    </row>
    <row r="110" spans="2:2">
      <c r="B110" s="9"/>
    </row>
    <row r="111" spans="2:2">
      <c r="B111" s="9"/>
    </row>
    <row r="112" spans="2:2">
      <c r="B112" s="9"/>
    </row>
    <row r="113" spans="2:2">
      <c r="B113" s="9"/>
    </row>
    <row r="114" spans="2:2">
      <c r="B114" s="9"/>
    </row>
    <row r="115" spans="2:2">
      <c r="B115" s="9"/>
    </row>
    <row r="116" spans="2:2">
      <c r="B116" s="9"/>
    </row>
    <row r="117" spans="2:2">
      <c r="B117" s="9"/>
    </row>
    <row r="118" spans="2:2">
      <c r="B118" s="9"/>
    </row>
    <row r="119" spans="2:2">
      <c r="B119" s="9"/>
    </row>
    <row r="120" spans="2:2">
      <c r="B120" s="9"/>
    </row>
    <row r="121" spans="2:2">
      <c r="B121" s="9"/>
    </row>
    <row r="122" spans="2:2">
      <c r="B122" s="9"/>
    </row>
    <row r="123" spans="2:2">
      <c r="B123" s="9"/>
    </row>
    <row r="124" spans="2:2">
      <c r="B124" s="9"/>
    </row>
    <row r="125" spans="2:2">
      <c r="B125" s="9"/>
    </row>
    <row r="126" spans="2:2">
      <c r="B126" s="9"/>
    </row>
    <row r="127" spans="2:2">
      <c r="B127" s="9"/>
    </row>
    <row r="128" spans="2:2">
      <c r="B128" s="9"/>
    </row>
    <row r="129" spans="2:2">
      <c r="B129" s="9"/>
    </row>
    <row r="130" spans="2:2">
      <c r="B130" s="9"/>
    </row>
    <row r="131" spans="2:2">
      <c r="B131" s="9"/>
    </row>
    <row r="132" spans="2:2">
      <c r="B132" s="9"/>
    </row>
    <row r="133" spans="2:2">
      <c r="B133" s="9"/>
    </row>
    <row r="134" spans="2:2">
      <c r="B134" s="9"/>
    </row>
    <row r="135" spans="2:2">
      <c r="B135" s="9"/>
    </row>
    <row r="136" spans="2:2">
      <c r="B136" s="9"/>
    </row>
    <row r="137" spans="2:2">
      <c r="B137" s="9"/>
    </row>
    <row r="138" spans="2:2">
      <c r="B138" s="9"/>
    </row>
    <row r="139" spans="2:2">
      <c r="B139" s="9"/>
    </row>
    <row r="140" spans="2:2">
      <c r="B140" s="9"/>
    </row>
    <row r="141" spans="2:2">
      <c r="B141" s="9"/>
    </row>
    <row r="142" spans="2:2">
      <c r="B142" s="9"/>
    </row>
    <row r="143" spans="2:2">
      <c r="B143" s="9"/>
    </row>
    <row r="144" spans="2:2">
      <c r="B144" s="9"/>
    </row>
    <row r="145" spans="2:2">
      <c r="B145" s="9"/>
    </row>
    <row r="146" spans="2:2">
      <c r="B146" s="9"/>
    </row>
    <row r="147" spans="2:2">
      <c r="B147" s="9"/>
    </row>
    <row r="148" spans="2:2">
      <c r="B148" s="9"/>
    </row>
    <row r="149" spans="2:2">
      <c r="B149" s="9"/>
    </row>
    <row r="150" spans="2:2">
      <c r="B150" s="9"/>
    </row>
    <row r="151" spans="2:2">
      <c r="B151" s="9"/>
    </row>
    <row r="152" spans="2:2">
      <c r="B152" s="9"/>
    </row>
    <row r="153" spans="2:2">
      <c r="B153" s="9"/>
    </row>
    <row r="154" spans="2:2">
      <c r="B154" s="9"/>
    </row>
    <row r="155" spans="2:2">
      <c r="B155" s="9"/>
    </row>
    <row r="156" spans="2:2">
      <c r="B156" s="9"/>
    </row>
    <row r="157" spans="2:2">
      <c r="B157" s="9"/>
    </row>
    <row r="158" spans="2:2">
      <c r="B158" s="9"/>
    </row>
    <row r="159" spans="2:2">
      <c r="B159" s="9"/>
    </row>
    <row r="160" spans="2:2">
      <c r="B160" s="9"/>
    </row>
    <row r="161" spans="2:2">
      <c r="B161" s="9"/>
    </row>
    <row r="162" spans="2:2">
      <c r="B162" s="9"/>
    </row>
    <row r="163" spans="2:2">
      <c r="B163" s="9"/>
    </row>
    <row r="164" spans="2:2">
      <c r="B164" s="9"/>
    </row>
    <row r="165" spans="2:2">
      <c r="B165" s="9"/>
    </row>
    <row r="166" spans="2:2">
      <c r="B166" s="9"/>
    </row>
    <row r="167" spans="2:2">
      <c r="B167" s="9"/>
    </row>
    <row r="168" spans="2:2">
      <c r="B168" s="9"/>
    </row>
    <row r="169" spans="2:2">
      <c r="B169" s="9"/>
    </row>
    <row r="170" spans="2:2">
      <c r="B170" s="9"/>
    </row>
    <row r="171" spans="2:2">
      <c r="B171" s="9"/>
    </row>
    <row r="172" spans="2:2">
      <c r="B172" s="9"/>
    </row>
    <row r="173" spans="2:2">
      <c r="B173" s="9"/>
    </row>
    <row r="174" spans="2:2">
      <c r="B174" s="9"/>
    </row>
    <row r="175" spans="2:2">
      <c r="B175" s="9"/>
    </row>
    <row r="176" spans="2:2">
      <c r="B176" s="9"/>
    </row>
  </sheetData>
  <phoneticPr fontId="4" type="noConversion"/>
  <pageMargins left="0.69930555555555596" right="0.69930555555555596" top="0.75" bottom="0.75" header="0.3" footer="0.3"/>
  <pageSetup paperSize="9" orientation="portrait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4"/>
  <sheetViews>
    <sheetView topLeftCell="A40" workbookViewId="0">
      <selection activeCell="A58" sqref="A58:B64"/>
    </sheetView>
  </sheetViews>
  <sheetFormatPr defaultColWidth="9" defaultRowHeight="13.5"/>
  <cols>
    <col min="1" max="1" width="11.5" customWidth="1"/>
    <col min="2" max="2" width="13.875" customWidth="1"/>
  </cols>
  <sheetData>
    <row r="1" spans="1:7">
      <c r="A1" t="s">
        <v>0</v>
      </c>
      <c r="B1">
        <v>11267</v>
      </c>
      <c r="C1" t="s">
        <v>1</v>
      </c>
      <c r="D1">
        <v>722</v>
      </c>
    </row>
    <row r="2" spans="1:7">
      <c r="A2" t="s">
        <v>2</v>
      </c>
      <c r="B2" s="10">
        <v>6.40933E-10</v>
      </c>
    </row>
    <row r="3" spans="1:7">
      <c r="A3" t="s">
        <v>3</v>
      </c>
      <c r="B3">
        <v>-1.5858699999999999E-4</v>
      </c>
    </row>
    <row r="4" spans="1:7">
      <c r="A4" t="s">
        <v>4</v>
      </c>
      <c r="B4">
        <v>1.5164918700000001</v>
      </c>
    </row>
    <row r="5" spans="1:7">
      <c r="A5" t="s">
        <v>5</v>
      </c>
      <c r="B5">
        <v>-2.6703690000000001E-3</v>
      </c>
    </row>
    <row r="6" spans="1:7">
      <c r="A6" t="s">
        <v>6</v>
      </c>
      <c r="B6" t="s">
        <v>7</v>
      </c>
      <c r="C6" t="s">
        <v>8</v>
      </c>
      <c r="D6" t="s">
        <v>9</v>
      </c>
      <c r="E6" t="s">
        <v>10</v>
      </c>
      <c r="F6" t="s">
        <v>11</v>
      </c>
      <c r="G6" t="s">
        <v>12</v>
      </c>
    </row>
    <row r="7" spans="1:7">
      <c r="A7" s="7">
        <v>42609</v>
      </c>
      <c r="B7" s="1">
        <v>0.72916666666666696</v>
      </c>
      <c r="C7" s="2">
        <v>9783.4</v>
      </c>
      <c r="D7" s="2">
        <v>13.3</v>
      </c>
      <c r="E7" s="3">
        <f>($B$2*C7^2+$B$3*C7+$B$4)-$B$5*D7</f>
        <v>6.1834569874617648E-2</v>
      </c>
      <c r="G7" t="s">
        <v>13</v>
      </c>
    </row>
    <row r="8" spans="1:7">
      <c r="A8" s="7">
        <v>42611</v>
      </c>
      <c r="B8" s="1">
        <v>0.75</v>
      </c>
      <c r="C8" s="2">
        <v>8089.6</v>
      </c>
      <c r="D8" s="2">
        <v>7.4</v>
      </c>
      <c r="E8" s="3">
        <f t="shared" ref="E8:E46" si="0">($B$2*C8^2+$B$3*C8+$B$4)-$B$5*D8-$E$7</f>
        <v>0.23345633458685561</v>
      </c>
      <c r="F8" s="4">
        <f>$D$1+102*E8</f>
        <v>745.81254612785926</v>
      </c>
      <c r="G8" t="s">
        <v>14</v>
      </c>
    </row>
    <row r="9" spans="1:7">
      <c r="A9" s="7">
        <v>42612</v>
      </c>
      <c r="B9" s="1">
        <v>0.33333333333333298</v>
      </c>
      <c r="C9" s="2">
        <v>8294.2999999999993</v>
      </c>
      <c r="D9" s="2">
        <v>6.1</v>
      </c>
      <c r="E9" s="3">
        <f t="shared" si="0"/>
        <v>0.19967164703883589</v>
      </c>
      <c r="F9" s="4">
        <f t="shared" ref="F9:F46" si="1">$D$1+102*E9</f>
        <v>742.36650799796121</v>
      </c>
    </row>
    <row r="10" spans="1:7">
      <c r="A10" s="7">
        <v>42613</v>
      </c>
      <c r="B10" s="1">
        <v>0.33333333333333298</v>
      </c>
      <c r="C10" s="2">
        <v>8324.6</v>
      </c>
      <c r="D10" s="2">
        <v>5.9</v>
      </c>
      <c r="E10" s="3">
        <f t="shared" si="0"/>
        <v>0.19465513066227663</v>
      </c>
      <c r="F10" s="4">
        <f t="shared" si="1"/>
        <v>741.85482332755225</v>
      </c>
    </row>
    <row r="11" spans="1:7">
      <c r="A11" s="7">
        <v>42614</v>
      </c>
      <c r="B11" s="1">
        <v>0.33333333333333298</v>
      </c>
      <c r="C11" s="2">
        <v>8465.2000000000007</v>
      </c>
      <c r="D11" s="2">
        <v>5.7</v>
      </c>
      <c r="E11" s="3">
        <f t="shared" si="0"/>
        <v>0.17333674050808279</v>
      </c>
      <c r="F11" s="4">
        <f t="shared" si="1"/>
        <v>739.6803475318244</v>
      </c>
    </row>
    <row r="12" spans="1:7">
      <c r="A12" s="7">
        <v>42615</v>
      </c>
      <c r="B12" s="1">
        <v>0.33333333333333298</v>
      </c>
      <c r="C12" s="2">
        <v>8382</v>
      </c>
      <c r="D12" s="2">
        <v>5.7</v>
      </c>
      <c r="E12" s="3">
        <f t="shared" si="0"/>
        <v>0.18563279142847455</v>
      </c>
      <c r="F12" s="4">
        <f t="shared" si="1"/>
        <v>740.93454472570443</v>
      </c>
    </row>
    <row r="13" spans="1:7">
      <c r="A13" s="7">
        <v>42616</v>
      </c>
      <c r="B13" s="1">
        <v>0.33333333333333298</v>
      </c>
      <c r="C13" s="2">
        <v>8417.4</v>
      </c>
      <c r="D13" s="2">
        <v>5.6</v>
      </c>
      <c r="E13" s="3">
        <f t="shared" si="0"/>
        <v>0.18013293678881775</v>
      </c>
      <c r="F13" s="4">
        <f t="shared" si="1"/>
        <v>740.37355955245937</v>
      </c>
    </row>
    <row r="14" spans="1:7">
      <c r="A14" s="7">
        <v>42617</v>
      </c>
      <c r="B14" s="1">
        <v>0.33333333333333298</v>
      </c>
      <c r="C14" s="2">
        <v>8458.2000000000007</v>
      </c>
      <c r="D14" s="2">
        <v>5.6</v>
      </c>
      <c r="E14" s="3">
        <f t="shared" si="0"/>
        <v>0.17410388524935722</v>
      </c>
      <c r="F14" s="4">
        <f t="shared" si="1"/>
        <v>739.75859629543447</v>
      </c>
    </row>
    <row r="15" spans="1:7">
      <c r="A15" s="7">
        <v>42623</v>
      </c>
      <c r="B15" s="1">
        <v>0.33333333333333298</v>
      </c>
      <c r="C15" s="2">
        <v>8561.1</v>
      </c>
      <c r="D15" s="2">
        <v>5.6</v>
      </c>
      <c r="E15" s="3">
        <f t="shared" si="0"/>
        <v>0.15890773991996737</v>
      </c>
      <c r="F15" s="4">
        <f t="shared" si="1"/>
        <v>738.20858947183672</v>
      </c>
    </row>
    <row r="16" spans="1:7">
      <c r="A16" s="7">
        <v>42633</v>
      </c>
      <c r="B16" s="1">
        <v>0.33333333333333331</v>
      </c>
      <c r="C16" s="2">
        <v>8544.4</v>
      </c>
      <c r="D16" s="2">
        <v>5.5</v>
      </c>
      <c r="E16" s="3">
        <f t="shared" si="0"/>
        <v>0.16110601581346151</v>
      </c>
      <c r="F16" s="4">
        <f t="shared" si="1"/>
        <v>738.43281361297306</v>
      </c>
    </row>
    <row r="17" spans="1:6">
      <c r="A17" s="7">
        <v>42643</v>
      </c>
      <c r="B17" s="1">
        <v>0.33333333333333331</v>
      </c>
      <c r="C17" s="2">
        <v>8569.6</v>
      </c>
      <c r="D17" s="2">
        <v>5.5</v>
      </c>
      <c r="E17" s="3">
        <f t="shared" si="0"/>
        <v>0.15738604038298376</v>
      </c>
      <c r="F17" s="4">
        <f t="shared" si="1"/>
        <v>738.0533761190643</v>
      </c>
    </row>
    <row r="18" spans="1:6">
      <c r="A18" s="27">
        <v>42653</v>
      </c>
      <c r="B18" s="1">
        <v>0.33333333333333331</v>
      </c>
      <c r="C18" s="2">
        <v>8602.9</v>
      </c>
      <c r="D18" s="2">
        <v>5.5</v>
      </c>
      <c r="E18" s="3">
        <f t="shared" si="0"/>
        <v>0.15247160713366903</v>
      </c>
      <c r="F18" s="4">
        <f t="shared" si="1"/>
        <v>737.55210392763422</v>
      </c>
    </row>
    <row r="19" spans="1:6">
      <c r="A19" s="7">
        <v>42846</v>
      </c>
      <c r="B19" s="1">
        <v>0.54166666666666663</v>
      </c>
      <c r="C19" s="2">
        <v>8607.5</v>
      </c>
      <c r="D19" s="2">
        <v>6.2</v>
      </c>
      <c r="E19" s="3">
        <f t="shared" si="0"/>
        <v>0.15366210651486373</v>
      </c>
      <c r="F19" s="4">
        <f t="shared" si="1"/>
        <v>737.67353486451611</v>
      </c>
    </row>
    <row r="20" spans="1:6">
      <c r="A20" s="7">
        <v>42855</v>
      </c>
      <c r="B20" s="1">
        <v>0.33333333333333331</v>
      </c>
      <c r="C20" s="2">
        <v>8611.9</v>
      </c>
      <c r="D20" s="2">
        <v>6.2</v>
      </c>
      <c r="E20" s="3">
        <f t="shared" si="0"/>
        <v>0.15301288423434473</v>
      </c>
      <c r="F20" s="4">
        <f t="shared" si="1"/>
        <v>737.60731419190313</v>
      </c>
    </row>
    <row r="21" spans="1:6">
      <c r="A21" s="7">
        <v>42865</v>
      </c>
      <c r="B21" s="1">
        <v>0.33333333333333331</v>
      </c>
      <c r="C21" s="2">
        <v>8589.7000000000007</v>
      </c>
      <c r="D21" s="2">
        <v>6.2</v>
      </c>
      <c r="E21" s="3">
        <f t="shared" si="0"/>
        <v>0.15628875901168432</v>
      </c>
      <c r="F21" s="4">
        <f t="shared" si="1"/>
        <v>737.94145341919182</v>
      </c>
    </row>
    <row r="22" spans="1:6">
      <c r="A22" s="7">
        <v>42875</v>
      </c>
      <c r="B22" s="1">
        <v>0.33333333333333331</v>
      </c>
      <c r="C22" s="2">
        <v>8589.4</v>
      </c>
      <c r="D22" s="2">
        <v>6.3</v>
      </c>
      <c r="E22" s="3">
        <f t="shared" si="0"/>
        <v>0.15660006881605426</v>
      </c>
      <c r="F22" s="4">
        <f t="shared" si="1"/>
        <v>737.97320701923752</v>
      </c>
    </row>
    <row r="23" spans="1:6">
      <c r="A23" s="6">
        <v>42885</v>
      </c>
      <c r="B23" s="1">
        <v>0.33333333333333331</v>
      </c>
      <c r="C23" s="2">
        <v>8610.7999999999993</v>
      </c>
      <c r="D23" s="2">
        <v>6.8</v>
      </c>
      <c r="E23" s="3">
        <f t="shared" si="0"/>
        <v>0.15477740887788766</v>
      </c>
      <c r="F23" s="4">
        <f t="shared" si="1"/>
        <v>737.78729570554458</v>
      </c>
    </row>
    <row r="24" spans="1:6">
      <c r="A24" s="6">
        <v>42896</v>
      </c>
      <c r="B24" s="1">
        <v>0.33333333333333331</v>
      </c>
      <c r="C24" s="2">
        <v>8612.5</v>
      </c>
      <c r="D24" s="2">
        <v>6.3</v>
      </c>
      <c r="E24" s="3">
        <f t="shared" si="0"/>
        <v>0.15319139274616367</v>
      </c>
      <c r="F24" s="4">
        <f t="shared" si="1"/>
        <v>737.62552206010866</v>
      </c>
    </row>
    <row r="25" spans="1:6">
      <c r="A25" s="7">
        <v>42906</v>
      </c>
      <c r="B25" s="9">
        <v>0.33333333333333331</v>
      </c>
      <c r="C25" s="2">
        <v>8610.9</v>
      </c>
      <c r="D25" s="2">
        <v>6.3</v>
      </c>
      <c r="E25" s="3">
        <f t="shared" si="0"/>
        <v>0.1534274694734723</v>
      </c>
      <c r="F25" s="4">
        <f t="shared" si="1"/>
        <v>737.64960188629414</v>
      </c>
    </row>
    <row r="26" spans="1:6">
      <c r="A26" s="7">
        <v>42916</v>
      </c>
      <c r="B26" s="9">
        <v>0.33333333333333331</v>
      </c>
      <c r="C26" s="2">
        <v>8602.6</v>
      </c>
      <c r="D26" s="2">
        <v>6.4</v>
      </c>
      <c r="E26" s="3">
        <f t="shared" si="0"/>
        <v>0.15491920706184947</v>
      </c>
      <c r="F26" s="4">
        <f t="shared" si="1"/>
        <v>737.80175912030859</v>
      </c>
    </row>
    <row r="27" spans="1:6">
      <c r="A27" s="7">
        <v>42926</v>
      </c>
      <c r="B27" s="9">
        <v>0.33333333333333331</v>
      </c>
      <c r="C27" s="2">
        <v>8616</v>
      </c>
      <c r="D27" s="2">
        <v>6.4</v>
      </c>
      <c r="E27" s="3">
        <f t="shared" si="0"/>
        <v>0.15294202324583051</v>
      </c>
      <c r="F27" s="4">
        <f t="shared" si="1"/>
        <v>737.60008637107467</v>
      </c>
    </row>
    <row r="28" spans="1:6">
      <c r="A28" s="7">
        <v>42936</v>
      </c>
      <c r="B28" s="9">
        <v>0.33333333333333331</v>
      </c>
      <c r="C28" s="2">
        <v>8615.7999999999993</v>
      </c>
      <c r="D28" s="2">
        <v>6.4</v>
      </c>
      <c r="E28" s="3">
        <f t="shared" si="0"/>
        <v>0.15297153175997669</v>
      </c>
      <c r="F28" s="4">
        <f t="shared" si="1"/>
        <v>737.60309623951764</v>
      </c>
    </row>
    <row r="29" spans="1:6">
      <c r="A29" s="7">
        <v>42946</v>
      </c>
      <c r="B29" s="1">
        <v>0.33333333333333331</v>
      </c>
      <c r="C29" s="2">
        <v>8621.9</v>
      </c>
      <c r="D29" s="2">
        <v>6.4</v>
      </c>
      <c r="E29" s="3">
        <f t="shared" si="0"/>
        <v>0.15207154514569865</v>
      </c>
      <c r="F29" s="4">
        <f t="shared" si="1"/>
        <v>737.51129760486128</v>
      </c>
    </row>
    <row r="30" spans="1:6">
      <c r="A30" s="7">
        <v>42957</v>
      </c>
      <c r="B30" s="1">
        <v>0.33333333333333331</v>
      </c>
      <c r="C30" s="2">
        <v>8614.1</v>
      </c>
      <c r="D30" s="2">
        <v>6.4</v>
      </c>
      <c r="E30" s="3">
        <f t="shared" si="0"/>
        <v>0.15322235620043223</v>
      </c>
      <c r="F30" s="4">
        <f t="shared" si="1"/>
        <v>737.62868033244411</v>
      </c>
    </row>
    <row r="31" spans="1:6">
      <c r="A31" s="7">
        <v>42967</v>
      </c>
      <c r="B31" s="1">
        <v>0.33333333333333331</v>
      </c>
      <c r="C31" s="2">
        <v>8620.1</v>
      </c>
      <c r="D31" s="2">
        <v>6.4</v>
      </c>
      <c r="E31" s="3">
        <f t="shared" si="0"/>
        <v>0.15233711000548378</v>
      </c>
      <c r="F31" s="4">
        <f t="shared" si="1"/>
        <v>737.53838522055935</v>
      </c>
    </row>
    <row r="32" spans="1:6">
      <c r="A32" s="7">
        <v>42977</v>
      </c>
      <c r="B32" s="1">
        <v>0.33333333333333331</v>
      </c>
      <c r="C32" s="2">
        <v>8613.9</v>
      </c>
      <c r="D32" s="2">
        <v>6.9</v>
      </c>
      <c r="E32" s="3">
        <f t="shared" si="0"/>
        <v>0.15458704970168746</v>
      </c>
      <c r="F32" s="4">
        <f t="shared" si="1"/>
        <v>737.76787906957213</v>
      </c>
    </row>
    <row r="33" spans="1:6">
      <c r="A33" s="7">
        <v>42988</v>
      </c>
      <c r="B33" s="1">
        <v>0.33333333333333331</v>
      </c>
      <c r="C33" s="2">
        <v>8611</v>
      </c>
      <c r="D33" s="2">
        <v>6</v>
      </c>
      <c r="E33" s="3">
        <f t="shared" si="0"/>
        <v>0.15261160388187556</v>
      </c>
      <c r="F33" s="4">
        <f t="shared" si="1"/>
        <v>737.56638359595127</v>
      </c>
    </row>
    <row r="34" spans="1:6">
      <c r="A34" s="7">
        <v>42998</v>
      </c>
      <c r="B34" s="1">
        <v>0.33333333333333331</v>
      </c>
      <c r="C34" s="2">
        <v>8618.4</v>
      </c>
      <c r="D34" s="2">
        <v>6.5</v>
      </c>
      <c r="E34" s="3">
        <f t="shared" si="0"/>
        <v>0.15285496197549892</v>
      </c>
      <c r="F34" s="4">
        <f t="shared" si="1"/>
        <v>737.59120612150093</v>
      </c>
    </row>
    <row r="35" spans="1:6">
      <c r="A35" s="7">
        <v>43008</v>
      </c>
      <c r="B35" s="1">
        <v>0.33333333333333331</v>
      </c>
      <c r="C35" s="2">
        <v>8624.1</v>
      </c>
      <c r="D35" s="2">
        <v>6.2</v>
      </c>
      <c r="E35" s="3">
        <f t="shared" si="0"/>
        <v>0.15121289771283813</v>
      </c>
      <c r="F35" s="4">
        <f t="shared" si="1"/>
        <v>737.42371556670946</v>
      </c>
    </row>
    <row r="36" spans="1:6">
      <c r="A36" s="7">
        <v>43018</v>
      </c>
      <c r="B36" s="1">
        <v>0.33333333333333331</v>
      </c>
      <c r="C36" s="2">
        <v>8617.4</v>
      </c>
      <c r="D36" s="2">
        <v>6.2</v>
      </c>
      <c r="E36" s="3">
        <f t="shared" si="0"/>
        <v>0.15220139128249771</v>
      </c>
      <c r="F36" s="4">
        <f t="shared" si="1"/>
        <v>737.52454191081472</v>
      </c>
    </row>
    <row r="37" spans="1:6">
      <c r="A37" s="7">
        <v>43230</v>
      </c>
      <c r="B37" s="1">
        <v>0.33333333333333331</v>
      </c>
      <c r="C37" s="2">
        <v>8626.6</v>
      </c>
      <c r="D37" s="2">
        <v>6.5</v>
      </c>
      <c r="E37" s="3">
        <f t="shared" si="0"/>
        <v>0.15164518227009599</v>
      </c>
      <c r="F37" s="4">
        <f t="shared" si="1"/>
        <v>737.46780859154978</v>
      </c>
    </row>
    <row r="38" spans="1:6">
      <c r="A38" s="7">
        <v>43240</v>
      </c>
      <c r="B38" s="1">
        <v>0.33333333333333331</v>
      </c>
      <c r="C38" s="2">
        <v>8629.7999999999993</v>
      </c>
      <c r="D38" s="2">
        <v>6.7</v>
      </c>
      <c r="E38" s="3">
        <f t="shared" si="0"/>
        <v>0.15170717029800385</v>
      </c>
      <c r="F38" s="4">
        <f t="shared" si="1"/>
        <v>737.47413137039644</v>
      </c>
    </row>
    <row r="39" spans="1:6">
      <c r="A39" s="7">
        <v>43250</v>
      </c>
      <c r="B39" s="1">
        <v>0.33333333333333331</v>
      </c>
      <c r="C39" s="2">
        <v>8625.4</v>
      </c>
      <c r="D39" s="2">
        <v>6.6</v>
      </c>
      <c r="E39" s="3">
        <f t="shared" si="0"/>
        <v>0.15208925471875678</v>
      </c>
      <c r="F39" s="4">
        <f t="shared" si="1"/>
        <v>737.51310398131318</v>
      </c>
    </row>
    <row r="40" spans="1:6">
      <c r="A40" s="7">
        <v>43261</v>
      </c>
      <c r="B40" s="1">
        <v>0.33333333333333331</v>
      </c>
      <c r="C40" s="2">
        <v>8614.1</v>
      </c>
      <c r="D40" s="2">
        <v>6.6</v>
      </c>
      <c r="E40" s="3">
        <f t="shared" si="0"/>
        <v>0.15375643000043226</v>
      </c>
      <c r="F40" s="4">
        <f t="shared" si="1"/>
        <v>737.68315586004405</v>
      </c>
    </row>
    <row r="41" spans="1:6">
      <c r="A41" s="7">
        <v>43271</v>
      </c>
      <c r="B41" s="1">
        <v>0.33333333333333331</v>
      </c>
      <c r="C41" s="2">
        <v>8546.5</v>
      </c>
      <c r="D41" s="2">
        <v>6.5</v>
      </c>
      <c r="E41" s="3">
        <f t="shared" si="0"/>
        <v>0.16346635576926177</v>
      </c>
      <c r="F41" s="4">
        <f t="shared" si="1"/>
        <v>738.67356828846471</v>
      </c>
    </row>
    <row r="42" spans="1:6">
      <c r="A42" s="7">
        <v>43281</v>
      </c>
      <c r="B42" s="1">
        <v>0.33333333333333331</v>
      </c>
      <c r="C42" s="2">
        <v>8558.9</v>
      </c>
      <c r="D42" s="2">
        <v>6.6</v>
      </c>
      <c r="E42" s="3">
        <f t="shared" si="0"/>
        <v>0.16190286021945532</v>
      </c>
      <c r="F42" s="4">
        <f t="shared" si="1"/>
        <v>738.51409174238449</v>
      </c>
    </row>
    <row r="43" spans="1:6">
      <c r="A43" s="7">
        <v>43291</v>
      </c>
      <c r="B43" s="1">
        <v>0.33333333333333331</v>
      </c>
      <c r="C43" s="2">
        <v>8575.7999999999993</v>
      </c>
      <c r="D43" s="2">
        <v>6.6</v>
      </c>
      <c r="E43" s="3">
        <f t="shared" si="0"/>
        <v>0.15940833900946483</v>
      </c>
      <c r="F43" s="4">
        <f t="shared" si="1"/>
        <v>738.25965057896542</v>
      </c>
    </row>
    <row r="44" spans="1:6">
      <c r="A44" s="7">
        <v>43301</v>
      </c>
      <c r="B44" s="1">
        <v>0.33333333333333331</v>
      </c>
      <c r="C44" s="2">
        <v>8593.7000000000007</v>
      </c>
      <c r="D44" s="2">
        <v>7.2</v>
      </c>
      <c r="E44" s="3">
        <f t="shared" si="0"/>
        <v>0.15836883364413323</v>
      </c>
      <c r="F44" s="4">
        <f t="shared" si="1"/>
        <v>738.15362103170162</v>
      </c>
    </row>
    <row r="45" spans="1:6">
      <c r="A45" s="7">
        <v>43311</v>
      </c>
      <c r="B45" s="1">
        <v>0.33333333333333331</v>
      </c>
      <c r="C45" s="2">
        <v>8590.1</v>
      </c>
      <c r="D45" s="2">
        <v>6.6</v>
      </c>
      <c r="E45" s="3">
        <f t="shared" si="0"/>
        <v>0.15729787625198577</v>
      </c>
      <c r="F45" s="4">
        <f t="shared" si="1"/>
        <v>738.0443833777025</v>
      </c>
    </row>
    <row r="46" spans="1:6">
      <c r="A46" s="7">
        <v>43322</v>
      </c>
      <c r="B46" s="1">
        <v>0.33333333333333331</v>
      </c>
      <c r="C46" s="2">
        <v>8570.2999999999993</v>
      </c>
      <c r="D46" s="2">
        <v>6.4</v>
      </c>
      <c r="E46" s="3">
        <f t="shared" si="0"/>
        <v>0.15968605145225268</v>
      </c>
      <c r="F46" s="4">
        <f t="shared" si="1"/>
        <v>738.28797724812978</v>
      </c>
    </row>
    <row r="47" spans="1:6">
      <c r="A47" s="7">
        <v>43332</v>
      </c>
      <c r="B47" s="1">
        <v>0.33333333333333331</v>
      </c>
      <c r="C47" s="2">
        <v>8581.6</v>
      </c>
      <c r="D47" s="2">
        <v>6.6</v>
      </c>
      <c r="E47" s="3">
        <f t="shared" ref="E47:E64" si="2">($B$2*C47^2+$B$3*C47+$B$4)-$B$5*D47-$E$7</f>
        <v>0.15855231552381899</v>
      </c>
      <c r="F47" s="4">
        <f t="shared" ref="F47:F64" si="3">$D$1+102*E47</f>
        <v>738.17233618342948</v>
      </c>
    </row>
    <row r="48" spans="1:6">
      <c r="A48" s="7">
        <v>43342</v>
      </c>
      <c r="B48" s="1">
        <v>0.33333333333333331</v>
      </c>
      <c r="C48" s="2">
        <v>8567.2000000000007</v>
      </c>
      <c r="D48" s="2">
        <v>6.5</v>
      </c>
      <c r="E48" s="3">
        <f t="shared" si="2"/>
        <v>0.1604106576854612</v>
      </c>
      <c r="F48" s="4">
        <f t="shared" si="3"/>
        <v>738.36188708391705</v>
      </c>
    </row>
    <row r="49" spans="1:6">
      <c r="A49" s="7">
        <v>43353</v>
      </c>
      <c r="B49" s="1">
        <v>0.33333333333333331</v>
      </c>
      <c r="C49" s="2">
        <v>8522.2999999999993</v>
      </c>
      <c r="D49" s="2">
        <v>6.4</v>
      </c>
      <c r="E49" s="3">
        <f t="shared" si="2"/>
        <v>0.16677237730525407</v>
      </c>
      <c r="F49" s="4">
        <f t="shared" si="3"/>
        <v>739.01078248513591</v>
      </c>
    </row>
    <row r="50" spans="1:6">
      <c r="A50" s="7">
        <v>43363</v>
      </c>
      <c r="B50" s="1">
        <v>0.33333333333333331</v>
      </c>
      <c r="C50" s="2">
        <v>8555.4</v>
      </c>
      <c r="D50" s="2">
        <v>6.4</v>
      </c>
      <c r="E50" s="3">
        <f t="shared" si="2"/>
        <v>0.16188544900070889</v>
      </c>
      <c r="F50" s="4">
        <f t="shared" si="3"/>
        <v>738.51231579807234</v>
      </c>
    </row>
    <row r="51" spans="1:6">
      <c r="A51" s="7">
        <v>43373</v>
      </c>
      <c r="B51" s="1">
        <v>0.33333333333333331</v>
      </c>
      <c r="C51" s="2">
        <v>8577.4</v>
      </c>
      <c r="D51" s="2">
        <v>6.2</v>
      </c>
      <c r="E51" s="3">
        <f t="shared" si="2"/>
        <v>0.15810404269256167</v>
      </c>
      <c r="F51" s="4">
        <f t="shared" si="3"/>
        <v>738.12661235464134</v>
      </c>
    </row>
    <row r="52" spans="1:6">
      <c r="A52" s="7">
        <v>43383</v>
      </c>
      <c r="B52" s="1">
        <v>0.33333333333333331</v>
      </c>
      <c r="C52" s="2">
        <v>8580.2999999999993</v>
      </c>
      <c r="D52" s="2">
        <v>6.2</v>
      </c>
      <c r="E52" s="3">
        <f t="shared" si="2"/>
        <v>0.1576760315073506</v>
      </c>
      <c r="F52" s="4">
        <f t="shared" si="3"/>
        <v>738.08295521374976</v>
      </c>
    </row>
    <row r="53" spans="1:6">
      <c r="A53" s="7">
        <v>43393</v>
      </c>
      <c r="B53" s="1">
        <v>0.33333333333333331</v>
      </c>
      <c r="C53" s="2">
        <v>8584.7000000000007</v>
      </c>
      <c r="D53" s="2">
        <v>6.1</v>
      </c>
      <c r="E53" s="3">
        <f t="shared" si="2"/>
        <v>0.1567596189131083</v>
      </c>
      <c r="F53" s="4">
        <f t="shared" si="3"/>
        <v>737.98948112913706</v>
      </c>
    </row>
    <row r="54" spans="1:6">
      <c r="A54" s="7">
        <v>43605</v>
      </c>
      <c r="B54" s="1">
        <v>0.33333333333333331</v>
      </c>
      <c r="C54" s="2">
        <v>8597.5</v>
      </c>
      <c r="D54" s="2">
        <v>5.8</v>
      </c>
      <c r="E54" s="3">
        <f t="shared" si="2"/>
        <v>0.15406955639221365</v>
      </c>
      <c r="F54" s="4">
        <f t="shared" si="3"/>
        <v>737.71509475200583</v>
      </c>
    </row>
    <row r="55" spans="1:6">
      <c r="A55" s="7">
        <v>43615</v>
      </c>
      <c r="B55" s="1">
        <v>0.33333333333333331</v>
      </c>
      <c r="C55" s="2">
        <v>8602.2999999999993</v>
      </c>
      <c r="D55" s="2">
        <v>5.8</v>
      </c>
      <c r="E55" s="3">
        <f t="shared" si="2"/>
        <v>0.15336125360539832</v>
      </c>
      <c r="F55" s="4">
        <f t="shared" si="3"/>
        <v>737.64284786775067</v>
      </c>
    </row>
    <row r="56" spans="1:6">
      <c r="A56" s="7">
        <v>43626</v>
      </c>
      <c r="B56" s="1">
        <v>0.33333333333333331</v>
      </c>
      <c r="C56" s="2">
        <v>8605.7000000000007</v>
      </c>
      <c r="D56" s="2">
        <v>5.9</v>
      </c>
      <c r="E56" s="3">
        <f t="shared" si="2"/>
        <v>0.1531265939006155</v>
      </c>
      <c r="F56" s="4">
        <f t="shared" si="3"/>
        <v>737.61891257786283</v>
      </c>
    </row>
    <row r="57" spans="1:6">
      <c r="A57" s="7">
        <v>43636</v>
      </c>
      <c r="B57" s="1">
        <v>0.33333333333333331</v>
      </c>
      <c r="C57" s="2">
        <v>8608.1</v>
      </c>
      <c r="D57" s="2">
        <v>5.9</v>
      </c>
      <c r="E57" s="3">
        <f t="shared" si="2"/>
        <v>0.15277246404255657</v>
      </c>
      <c r="F57" s="4">
        <f t="shared" si="3"/>
        <v>737.58279133234078</v>
      </c>
    </row>
    <row r="58" spans="1:6">
      <c r="A58" s="7">
        <v>43646</v>
      </c>
      <c r="B58" s="1">
        <v>0.33333333333333331</v>
      </c>
      <c r="C58" s="2">
        <v>8611.2999999999993</v>
      </c>
      <c r="D58" s="2">
        <v>5.9</v>
      </c>
      <c r="E58" s="3">
        <f t="shared" si="2"/>
        <v>0.15230030238399755</v>
      </c>
      <c r="F58" s="4">
        <f t="shared" si="3"/>
        <v>737.53463084316775</v>
      </c>
    </row>
    <row r="59" spans="1:6">
      <c r="A59" s="7">
        <v>43656</v>
      </c>
      <c r="B59" s="1">
        <v>0.33333333333333331</v>
      </c>
      <c r="C59" s="2">
        <v>8615.6</v>
      </c>
      <c r="D59" s="2">
        <v>6.1</v>
      </c>
      <c r="E59" s="3">
        <f t="shared" si="2"/>
        <v>0.15219992962539741</v>
      </c>
      <c r="F59" s="4">
        <f t="shared" si="3"/>
        <v>737.52439282179057</v>
      </c>
    </row>
    <row r="60" spans="1:6">
      <c r="A60" s="7">
        <v>43666</v>
      </c>
      <c r="B60" s="1">
        <v>0.33333333333333331</v>
      </c>
      <c r="C60" s="2">
        <v>8618.2000000000007</v>
      </c>
      <c r="D60" s="2">
        <v>6.3</v>
      </c>
      <c r="E60" s="3">
        <f t="shared" si="2"/>
        <v>0.1523503960743493</v>
      </c>
      <c r="F60" s="4">
        <f t="shared" si="3"/>
        <v>737.53974039958359</v>
      </c>
    </row>
    <row r="61" spans="1:6">
      <c r="A61" s="7">
        <v>43676</v>
      </c>
      <c r="B61" s="1">
        <v>0.33333333333333331</v>
      </c>
      <c r="C61" s="2">
        <v>8609.2000000000007</v>
      </c>
      <c r="D61" s="2">
        <v>6.3</v>
      </c>
      <c r="E61" s="3">
        <f t="shared" si="2"/>
        <v>0.15367830459187171</v>
      </c>
      <c r="F61" s="4">
        <f t="shared" si="3"/>
        <v>737.67518706837086</v>
      </c>
    </row>
    <row r="62" spans="1:6">
      <c r="A62" s="7">
        <v>43687</v>
      </c>
      <c r="B62" s="1">
        <v>0.33333333333333331</v>
      </c>
      <c r="C62" s="2">
        <v>8600.1</v>
      </c>
      <c r="D62" s="2">
        <v>6.3</v>
      </c>
      <c r="E62" s="3">
        <f t="shared" si="2"/>
        <v>0.15502107321655179</v>
      </c>
      <c r="F62" s="4">
        <f t="shared" si="3"/>
        <v>737.81214946808825</v>
      </c>
    </row>
    <row r="63" spans="1:6">
      <c r="A63" s="7">
        <v>43697</v>
      </c>
      <c r="B63" s="1">
        <v>0.33333333333333331</v>
      </c>
      <c r="C63" s="2">
        <v>8557.2000000000007</v>
      </c>
      <c r="D63" s="2">
        <v>6.4</v>
      </c>
      <c r="E63" s="3">
        <f t="shared" si="2"/>
        <v>0.16161973485480918</v>
      </c>
      <c r="F63" s="4">
        <f t="shared" si="3"/>
        <v>738.48521295519049</v>
      </c>
    </row>
    <row r="64" spans="1:6">
      <c r="A64" s="7">
        <v>43707</v>
      </c>
      <c r="B64" s="1">
        <v>0.33333333333333331</v>
      </c>
      <c r="C64" s="2">
        <v>8528</v>
      </c>
      <c r="D64" s="2">
        <v>6.4</v>
      </c>
      <c r="E64" s="3">
        <f t="shared" si="2"/>
        <v>0.16593072157485467</v>
      </c>
      <c r="F64" s="4">
        <f t="shared" si="3"/>
        <v>738.9249336006352</v>
      </c>
    </row>
  </sheetData>
  <phoneticPr fontId="4" type="noConversion"/>
  <pageMargins left="0.69930555555555596" right="0.69930555555555596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4"/>
  <sheetViews>
    <sheetView topLeftCell="A5" workbookViewId="0">
      <selection activeCell="H50" sqref="H50"/>
    </sheetView>
  </sheetViews>
  <sheetFormatPr defaultColWidth="9" defaultRowHeight="13.5"/>
  <cols>
    <col min="1" max="1" width="12.125" customWidth="1"/>
    <col min="2" max="2" width="13.875" customWidth="1"/>
  </cols>
  <sheetData>
    <row r="1" spans="1:7">
      <c r="A1" t="s">
        <v>0</v>
      </c>
      <c r="B1">
        <v>11237</v>
      </c>
      <c r="C1" t="s">
        <v>1</v>
      </c>
      <c r="D1">
        <v>718</v>
      </c>
    </row>
    <row r="2" spans="1:7">
      <c r="A2" t="s">
        <v>2</v>
      </c>
      <c r="B2" s="10">
        <v>3.1884700000000002E-10</v>
      </c>
    </row>
    <row r="3" spans="1:7">
      <c r="A3" t="s">
        <v>3</v>
      </c>
      <c r="B3">
        <v>-1.8036899999999999E-4</v>
      </c>
    </row>
    <row r="4" spans="1:7">
      <c r="A4" t="s">
        <v>4</v>
      </c>
      <c r="B4">
        <v>1.5376450100000001</v>
      </c>
    </row>
    <row r="5" spans="1:7">
      <c r="A5" t="s">
        <v>5</v>
      </c>
      <c r="B5">
        <v>-3.2078969999999999E-3</v>
      </c>
    </row>
    <row r="6" spans="1:7">
      <c r="A6" t="s">
        <v>6</v>
      </c>
      <c r="B6" t="s">
        <v>7</v>
      </c>
      <c r="C6" t="s">
        <v>8</v>
      </c>
      <c r="D6" t="s">
        <v>9</v>
      </c>
      <c r="E6" t="s">
        <v>10</v>
      </c>
      <c r="F6" t="s">
        <v>11</v>
      </c>
      <c r="G6" t="s">
        <v>12</v>
      </c>
    </row>
    <row r="7" spans="1:7">
      <c r="A7" s="7">
        <v>42609</v>
      </c>
      <c r="B7" s="1">
        <v>0.72916666666666696</v>
      </c>
      <c r="C7" s="2">
        <v>8508.1</v>
      </c>
      <c r="D7" s="2">
        <v>13.2</v>
      </c>
      <c r="E7" s="3">
        <f>($B$2*C7^2+$B$3*C7+$B$4)-$B$5*D7</f>
        <v>6.8472383401451717E-2</v>
      </c>
      <c r="G7" t="s">
        <v>13</v>
      </c>
    </row>
    <row r="8" spans="1:7">
      <c r="A8" s="7">
        <v>42611</v>
      </c>
      <c r="B8" s="1">
        <v>0.75</v>
      </c>
      <c r="C8" s="2">
        <v>6819.8</v>
      </c>
      <c r="D8" s="2">
        <v>6.5</v>
      </c>
      <c r="E8" s="3">
        <f t="shared" ref="E8:E46" si="0">($B$2*C8^2+$B$3*C8+$B$4)-$B$5*D8-$E$7</f>
        <v>0.27477292029948625</v>
      </c>
      <c r="F8" s="4">
        <f>$D$1+102*E8</f>
        <v>746.02683787054764</v>
      </c>
      <c r="G8" t="s">
        <v>14</v>
      </c>
    </row>
    <row r="9" spans="1:7">
      <c r="A9" s="7">
        <v>42612</v>
      </c>
      <c r="B9" s="1">
        <v>0.33333333333333298</v>
      </c>
      <c r="C9" s="2">
        <v>7038</v>
      </c>
      <c r="D9" s="2">
        <v>6</v>
      </c>
      <c r="E9" s="3">
        <f t="shared" si="0"/>
        <v>0.23477657661761636</v>
      </c>
      <c r="F9" s="4">
        <f t="shared" ref="F9:F46" si="1">$D$1+102*E9</f>
        <v>741.94721081499688</v>
      </c>
    </row>
    <row r="10" spans="1:7">
      <c r="A10" s="7">
        <v>42613</v>
      </c>
      <c r="B10" s="1">
        <v>0.33333333333333298</v>
      </c>
      <c r="C10" s="2">
        <v>7147.4</v>
      </c>
      <c r="D10" s="2">
        <v>5.8</v>
      </c>
      <c r="E10" s="3">
        <f t="shared" si="0"/>
        <v>0.21489744177999409</v>
      </c>
      <c r="F10" s="4">
        <f t="shared" si="1"/>
        <v>739.91953906155936</v>
      </c>
    </row>
    <row r="11" spans="1:7">
      <c r="A11" s="7">
        <v>42614</v>
      </c>
      <c r="B11" s="1">
        <v>0.33333333333333298</v>
      </c>
      <c r="C11" s="2">
        <v>7268.2</v>
      </c>
      <c r="D11" s="2">
        <v>5.8</v>
      </c>
      <c r="E11" s="3">
        <f t="shared" si="0"/>
        <v>0.1936641081742288</v>
      </c>
      <c r="F11" s="4">
        <f t="shared" si="1"/>
        <v>737.75373903377135</v>
      </c>
    </row>
    <row r="12" spans="1:7">
      <c r="A12" s="7">
        <v>42615</v>
      </c>
      <c r="B12" s="1">
        <v>0.33333333333333298</v>
      </c>
      <c r="C12" s="2">
        <v>7262.7</v>
      </c>
      <c r="D12" s="2">
        <v>5.7</v>
      </c>
      <c r="E12" s="3">
        <f t="shared" si="0"/>
        <v>0.19430986573793096</v>
      </c>
      <c r="F12" s="4">
        <f t="shared" si="1"/>
        <v>737.81960630526896</v>
      </c>
    </row>
    <row r="13" spans="1:7">
      <c r="A13" s="7">
        <v>42616</v>
      </c>
      <c r="B13" s="1">
        <v>0.33333333333333298</v>
      </c>
      <c r="C13" s="2">
        <v>7255.9</v>
      </c>
      <c r="D13" s="2">
        <v>5.7</v>
      </c>
      <c r="E13" s="3">
        <f t="shared" si="0"/>
        <v>0.19550489629596246</v>
      </c>
      <c r="F13" s="4">
        <f t="shared" si="1"/>
        <v>737.94149942218814</v>
      </c>
    </row>
    <row r="14" spans="1:7">
      <c r="A14" s="7">
        <v>42617</v>
      </c>
      <c r="B14" s="1">
        <v>0.33333333333333298</v>
      </c>
      <c r="C14" s="2">
        <v>7250.5</v>
      </c>
      <c r="D14" s="2">
        <v>5.7</v>
      </c>
      <c r="E14" s="3">
        <f t="shared" si="0"/>
        <v>0.19645391215651009</v>
      </c>
      <c r="F14" s="4">
        <f t="shared" si="1"/>
        <v>738.03829903996404</v>
      </c>
    </row>
    <row r="15" spans="1:7">
      <c r="A15" s="7">
        <v>42623</v>
      </c>
      <c r="B15" s="1">
        <v>0.33333333333333298</v>
      </c>
      <c r="C15" s="2">
        <v>7244</v>
      </c>
      <c r="D15" s="2">
        <v>5.7</v>
      </c>
      <c r="E15" s="3">
        <f t="shared" si="0"/>
        <v>0.19759627072554031</v>
      </c>
      <c r="F15" s="4">
        <f t="shared" si="1"/>
        <v>738.15481961400508</v>
      </c>
    </row>
    <row r="16" spans="1:7">
      <c r="A16" s="7">
        <v>42633</v>
      </c>
      <c r="B16" s="1">
        <v>0.33333333333333331</v>
      </c>
      <c r="C16" s="2">
        <v>7229.9</v>
      </c>
      <c r="D16" s="2">
        <v>5.7</v>
      </c>
      <c r="E16" s="3">
        <f t="shared" si="0"/>
        <v>0.20007440269527499</v>
      </c>
      <c r="F16" s="4">
        <f t="shared" si="1"/>
        <v>738.40758907491806</v>
      </c>
    </row>
    <row r="17" spans="1:6">
      <c r="A17" s="7">
        <v>42643</v>
      </c>
      <c r="B17" s="1">
        <v>0.33333333333333331</v>
      </c>
      <c r="C17" s="2">
        <v>7248.2</v>
      </c>
      <c r="D17" s="2">
        <v>5.7</v>
      </c>
      <c r="E17" s="3">
        <f t="shared" si="0"/>
        <v>0.19685812826241289</v>
      </c>
      <c r="F17" s="4">
        <f t="shared" si="1"/>
        <v>738.07952908276616</v>
      </c>
    </row>
    <row r="18" spans="1:6">
      <c r="A18" s="27">
        <v>42653</v>
      </c>
      <c r="B18" s="1">
        <v>0.33333333333333331</v>
      </c>
      <c r="C18" s="2">
        <v>7273.6</v>
      </c>
      <c r="D18" s="2">
        <v>5.6</v>
      </c>
      <c r="E18" s="3">
        <f t="shared" si="0"/>
        <v>0.1920735738644736</v>
      </c>
      <c r="F18" s="4">
        <f t="shared" si="1"/>
        <v>737.59150453417635</v>
      </c>
    </row>
    <row r="19" spans="1:6">
      <c r="A19" s="7">
        <v>42846</v>
      </c>
      <c r="B19" s="1">
        <v>0.54166666666666663</v>
      </c>
      <c r="C19" s="2">
        <v>7274.2</v>
      </c>
      <c r="D19" s="2">
        <v>5.8</v>
      </c>
      <c r="E19" s="3">
        <f t="shared" si="0"/>
        <v>0.19260971497790563</v>
      </c>
      <c r="F19" s="4">
        <f t="shared" si="1"/>
        <v>737.64619092774637</v>
      </c>
    </row>
    <row r="20" spans="1:6">
      <c r="A20" s="7">
        <v>42855</v>
      </c>
      <c r="B20" s="1">
        <v>0.33333333333333331</v>
      </c>
      <c r="C20" s="2">
        <v>7277.9</v>
      </c>
      <c r="D20" s="2">
        <v>5.8</v>
      </c>
      <c r="E20" s="3">
        <f t="shared" si="0"/>
        <v>0.19195951728359179</v>
      </c>
      <c r="F20" s="4">
        <f t="shared" si="1"/>
        <v>737.57987076292636</v>
      </c>
    </row>
    <row r="21" spans="1:6">
      <c r="A21" s="7">
        <v>42865</v>
      </c>
      <c r="B21" s="1">
        <v>0.33333333333333331</v>
      </c>
      <c r="C21" s="2">
        <v>7261.4</v>
      </c>
      <c r="D21" s="2">
        <v>5.8</v>
      </c>
      <c r="E21" s="3">
        <f t="shared" si="0"/>
        <v>0.19485911488250479</v>
      </c>
      <c r="F21" s="4">
        <f t="shared" si="1"/>
        <v>737.87562971801549</v>
      </c>
    </row>
    <row r="22" spans="1:6">
      <c r="A22" s="7">
        <v>42875</v>
      </c>
      <c r="B22" s="1">
        <v>0.33333333333333331</v>
      </c>
      <c r="C22" s="2">
        <v>7258.3</v>
      </c>
      <c r="D22" s="2">
        <v>5.8</v>
      </c>
      <c r="E22" s="3">
        <f t="shared" si="0"/>
        <v>0.1954039071378682</v>
      </c>
      <c r="F22" s="4">
        <f t="shared" si="1"/>
        <v>737.93119852806251</v>
      </c>
    </row>
    <row r="23" spans="1:6">
      <c r="A23" s="6">
        <v>42885</v>
      </c>
      <c r="B23" s="1">
        <v>0.33333333333333331</v>
      </c>
      <c r="C23" s="2">
        <v>7276.8</v>
      </c>
      <c r="D23" s="2">
        <v>5.8</v>
      </c>
      <c r="E23" s="3">
        <f t="shared" si="0"/>
        <v>0.19215281838891768</v>
      </c>
      <c r="F23" s="4">
        <f t="shared" si="1"/>
        <v>737.59958747566964</v>
      </c>
    </row>
    <row r="24" spans="1:6">
      <c r="A24" s="6">
        <v>42896</v>
      </c>
      <c r="B24" s="1">
        <v>0.33333333333333331</v>
      </c>
      <c r="C24" s="2">
        <v>7278.6</v>
      </c>
      <c r="D24" s="2">
        <v>5.8</v>
      </c>
      <c r="E24" s="3">
        <f t="shared" si="0"/>
        <v>0.19183650789104051</v>
      </c>
      <c r="F24" s="4">
        <f t="shared" si="1"/>
        <v>737.56732380488609</v>
      </c>
    </row>
    <row r="25" spans="1:6">
      <c r="A25" s="7">
        <v>42906</v>
      </c>
      <c r="B25" s="9">
        <v>0.33333333333333331</v>
      </c>
      <c r="C25" s="2">
        <v>7276.9</v>
      </c>
      <c r="D25" s="2">
        <v>5.9</v>
      </c>
      <c r="E25" s="3">
        <f t="shared" si="0"/>
        <v>0.19245603522927601</v>
      </c>
      <c r="F25" s="4">
        <f t="shared" si="1"/>
        <v>737.63051559338612</v>
      </c>
    </row>
    <row r="26" spans="1:6">
      <c r="A26" s="7">
        <v>42916</v>
      </c>
      <c r="B26" s="9">
        <v>0.33333333333333331</v>
      </c>
      <c r="C26" s="2">
        <v>7270</v>
      </c>
      <c r="D26" s="2">
        <v>5.9</v>
      </c>
      <c r="E26" s="3">
        <f t="shared" si="0"/>
        <v>0.19366857750484845</v>
      </c>
      <c r="F26" s="4">
        <f t="shared" si="1"/>
        <v>737.7541949054945</v>
      </c>
    </row>
    <row r="27" spans="1:6">
      <c r="A27" s="7">
        <v>42926</v>
      </c>
      <c r="B27" s="9">
        <v>0.33333333333333331</v>
      </c>
      <c r="C27" s="2">
        <v>7281</v>
      </c>
      <c r="D27" s="2">
        <v>5.9</v>
      </c>
      <c r="E27" s="3">
        <f t="shared" si="0"/>
        <v>0.19173555347451543</v>
      </c>
      <c r="F27" s="4">
        <f t="shared" si="1"/>
        <v>737.55702645440056</v>
      </c>
    </row>
    <row r="28" spans="1:6">
      <c r="A28" s="7">
        <v>42936</v>
      </c>
      <c r="B28" s="9">
        <v>0.33333333333333331</v>
      </c>
      <c r="C28" s="2">
        <v>7281.3</v>
      </c>
      <c r="D28" s="2">
        <v>5.9</v>
      </c>
      <c r="E28" s="3">
        <f t="shared" si="0"/>
        <v>0.19168283571821576</v>
      </c>
      <c r="F28" s="4">
        <f t="shared" si="1"/>
        <v>737.551649243258</v>
      </c>
    </row>
    <row r="29" spans="1:6">
      <c r="A29" s="7">
        <v>42946</v>
      </c>
      <c r="B29" s="1">
        <v>0.33333333333333331</v>
      </c>
      <c r="C29" s="2">
        <v>7286.9</v>
      </c>
      <c r="D29" s="2">
        <v>5.9</v>
      </c>
      <c r="E29" s="3">
        <f t="shared" si="0"/>
        <v>0.19069878146866215</v>
      </c>
      <c r="F29" s="4">
        <f t="shared" si="1"/>
        <v>737.45127570980355</v>
      </c>
    </row>
    <row r="30" spans="1:6">
      <c r="A30" s="7">
        <v>42957</v>
      </c>
      <c r="B30" s="1">
        <v>0.33333333333333331</v>
      </c>
      <c r="C30" s="2">
        <v>7280.5</v>
      </c>
      <c r="D30" s="2">
        <v>5.9</v>
      </c>
      <c r="E30" s="3">
        <f t="shared" si="0"/>
        <v>0.19182341652922019</v>
      </c>
      <c r="F30" s="4">
        <f t="shared" si="1"/>
        <v>737.56598848598048</v>
      </c>
    </row>
    <row r="31" spans="1:6">
      <c r="A31" s="7">
        <v>42967</v>
      </c>
      <c r="B31" s="1">
        <v>0.33333333333333331</v>
      </c>
      <c r="C31" s="2">
        <v>7285.8</v>
      </c>
      <c r="D31" s="2">
        <v>6.1</v>
      </c>
      <c r="E31" s="3">
        <f t="shared" si="0"/>
        <v>0.19153365566081743</v>
      </c>
      <c r="F31" s="4">
        <f t="shared" si="1"/>
        <v>737.5364328774034</v>
      </c>
    </row>
    <row r="32" spans="1:6">
      <c r="A32" s="7">
        <v>42977</v>
      </c>
      <c r="B32" s="1">
        <v>0.33333333333333331</v>
      </c>
      <c r="C32" s="2">
        <v>7280.8</v>
      </c>
      <c r="D32" s="2">
        <v>6.3</v>
      </c>
      <c r="E32" s="3">
        <f t="shared" si="0"/>
        <v>0.19305385747726639</v>
      </c>
      <c r="F32" s="4">
        <f t="shared" si="1"/>
        <v>737.69149346268114</v>
      </c>
    </row>
    <row r="33" spans="1:6">
      <c r="A33" s="7">
        <v>42988</v>
      </c>
      <c r="B33" s="1">
        <v>0.33333333333333331</v>
      </c>
      <c r="C33" s="2">
        <v>7278.2</v>
      </c>
      <c r="D33" s="2">
        <v>6</v>
      </c>
      <c r="E33" s="3">
        <f t="shared" si="0"/>
        <v>0.19254837833423671</v>
      </c>
      <c r="F33" s="4">
        <f t="shared" si="1"/>
        <v>737.63993459009214</v>
      </c>
    </row>
    <row r="34" spans="1:6">
      <c r="A34" s="7">
        <v>42998</v>
      </c>
      <c r="B34" s="1">
        <v>0.33333333333333331</v>
      </c>
      <c r="C34" s="2">
        <v>7284.6</v>
      </c>
      <c r="D34" s="2">
        <v>6</v>
      </c>
      <c r="E34" s="3">
        <f t="shared" si="0"/>
        <v>0.19142373388682293</v>
      </c>
      <c r="F34" s="4">
        <f t="shared" si="1"/>
        <v>737.52522085645592</v>
      </c>
    </row>
    <row r="35" spans="1:6">
      <c r="A35" s="7">
        <v>43008</v>
      </c>
      <c r="B35" s="1">
        <v>0.33333333333333331</v>
      </c>
      <c r="C35" s="2">
        <v>7285.7</v>
      </c>
      <c r="D35" s="2">
        <v>6</v>
      </c>
      <c r="E35" s="3">
        <f t="shared" si="0"/>
        <v>0.19123043825291147</v>
      </c>
      <c r="F35" s="4">
        <f t="shared" si="1"/>
        <v>737.50550470179701</v>
      </c>
    </row>
    <row r="36" spans="1:6">
      <c r="A36" s="7">
        <v>43018</v>
      </c>
      <c r="B36" s="1">
        <v>0.33333333333333331</v>
      </c>
      <c r="C36" s="2">
        <v>7284.1</v>
      </c>
      <c r="D36" s="2">
        <v>6</v>
      </c>
      <c r="E36" s="3">
        <f t="shared" si="0"/>
        <v>0.19151159579367832</v>
      </c>
      <c r="F36" s="4">
        <f t="shared" si="1"/>
        <v>737.53418277095523</v>
      </c>
    </row>
    <row r="37" spans="1:6">
      <c r="A37" s="7">
        <v>43230</v>
      </c>
      <c r="B37" s="1">
        <v>0.33333333333333331</v>
      </c>
      <c r="C37" s="2">
        <v>7293.4</v>
      </c>
      <c r="D37" s="2">
        <v>6.3</v>
      </c>
      <c r="E37" s="3">
        <f t="shared" si="0"/>
        <v>0.19083975952060367</v>
      </c>
      <c r="F37" s="4">
        <f t="shared" si="1"/>
        <v>737.46565547110163</v>
      </c>
    </row>
    <row r="38" spans="1:6">
      <c r="A38" s="7">
        <v>43240</v>
      </c>
      <c r="B38" s="1">
        <v>0.33333333333333331</v>
      </c>
      <c r="C38">
        <v>7296.3</v>
      </c>
      <c r="D38" s="2">
        <v>6.4</v>
      </c>
      <c r="E38" s="3">
        <f t="shared" si="0"/>
        <v>0.19065096957862382</v>
      </c>
      <c r="F38" s="4">
        <f t="shared" si="1"/>
        <v>737.44639889701966</v>
      </c>
    </row>
    <row r="39" spans="1:6">
      <c r="A39" s="7">
        <v>43250</v>
      </c>
      <c r="B39" s="1">
        <v>0.33333333333333331</v>
      </c>
      <c r="C39" s="2">
        <v>7292.9</v>
      </c>
      <c r="D39" s="2">
        <v>6.3</v>
      </c>
      <c r="E39" s="3">
        <f t="shared" si="0"/>
        <v>0.19092761862160573</v>
      </c>
      <c r="F39" s="4">
        <f t="shared" si="1"/>
        <v>737.47461709940376</v>
      </c>
    </row>
    <row r="40" spans="1:6">
      <c r="A40" s="7">
        <v>43261</v>
      </c>
      <c r="B40" s="1">
        <v>0.33333333333333331</v>
      </c>
      <c r="C40" s="2">
        <v>7284.2</v>
      </c>
      <c r="D40" s="2">
        <v>6.3</v>
      </c>
      <c r="E40" s="3">
        <f t="shared" si="0"/>
        <v>0.19245639249955365</v>
      </c>
      <c r="F40" s="4">
        <f t="shared" si="1"/>
        <v>737.63055203495446</v>
      </c>
    </row>
    <row r="41" spans="1:6">
      <c r="A41" s="7">
        <v>43271</v>
      </c>
      <c r="B41" s="1">
        <v>0.33333333333333331</v>
      </c>
      <c r="C41" s="2">
        <v>7226.5</v>
      </c>
      <c r="D41" s="2">
        <v>6.3</v>
      </c>
      <c r="E41" s="3">
        <f t="shared" si="0"/>
        <v>0.20259672360405417</v>
      </c>
      <c r="F41" s="4">
        <f t="shared" si="1"/>
        <v>738.66486580761352</v>
      </c>
    </row>
    <row r="42" spans="1:6">
      <c r="A42" s="7">
        <v>43281</v>
      </c>
      <c r="B42" s="1">
        <v>0.33333333333333331</v>
      </c>
      <c r="C42" s="2">
        <v>7237.1</v>
      </c>
      <c r="D42" s="2">
        <v>6.4</v>
      </c>
      <c r="E42" s="3">
        <f t="shared" si="0"/>
        <v>0.2010544856640275</v>
      </c>
      <c r="F42" s="4">
        <f t="shared" si="1"/>
        <v>738.5075575377308</v>
      </c>
    </row>
    <row r="43" spans="1:6">
      <c r="A43" s="7">
        <v>43291</v>
      </c>
      <c r="B43" s="1">
        <v>0.33333333333333331</v>
      </c>
      <c r="C43" s="2">
        <v>7250.6</v>
      </c>
      <c r="D43" s="2">
        <v>6.4</v>
      </c>
      <c r="E43" s="3">
        <f t="shared" si="0"/>
        <v>0.19868186551973332</v>
      </c>
      <c r="F43" s="4">
        <f t="shared" si="1"/>
        <v>738.26555028301277</v>
      </c>
    </row>
    <row r="44" spans="1:6">
      <c r="A44" s="7">
        <v>43301</v>
      </c>
      <c r="B44" s="1">
        <v>0.33333333333333331</v>
      </c>
      <c r="C44" s="2">
        <v>7265.6</v>
      </c>
      <c r="D44" s="2">
        <v>6.8</v>
      </c>
      <c r="E44" s="3">
        <f t="shared" si="0"/>
        <v>0.19732891602205421</v>
      </c>
      <c r="F44" s="4">
        <f t="shared" si="1"/>
        <v>738.12754943424954</v>
      </c>
    </row>
    <row r="45" spans="1:6">
      <c r="A45" s="7">
        <v>43311</v>
      </c>
      <c r="B45" s="1">
        <v>0.33333333333333331</v>
      </c>
      <c r="C45" s="2">
        <v>7262.5</v>
      </c>
      <c r="D45" s="2">
        <v>6.3</v>
      </c>
      <c r="E45" s="3">
        <f t="shared" si="0"/>
        <v>0.19626975147464204</v>
      </c>
      <c r="F45" s="4">
        <f t="shared" si="1"/>
        <v>738.0195146504135</v>
      </c>
    </row>
    <row r="46" spans="1:6">
      <c r="A46" s="7">
        <v>43322</v>
      </c>
      <c r="B46" s="1">
        <v>0.33333333333333331</v>
      </c>
      <c r="C46" s="2">
        <v>7245.9</v>
      </c>
      <c r="D46" s="2">
        <v>6.2</v>
      </c>
      <c r="E46" s="3">
        <f t="shared" si="0"/>
        <v>0.19886629624171659</v>
      </c>
      <c r="F46" s="4">
        <f t="shared" si="1"/>
        <v>738.28436221665504</v>
      </c>
    </row>
    <row r="47" spans="1:6">
      <c r="A47" s="7">
        <v>43332</v>
      </c>
      <c r="B47" s="1">
        <v>0.33333333333333331</v>
      </c>
      <c r="C47" s="2">
        <v>7255.2</v>
      </c>
      <c r="D47" s="2">
        <v>6.3</v>
      </c>
      <c r="E47" s="3">
        <f t="shared" ref="E47:E64" si="2">($B$2*C47^2+$B$3*C47+$B$4)-$B$5*D47-$E$7</f>
        <v>0.19755265402147132</v>
      </c>
      <c r="F47" s="4">
        <f t="shared" ref="F47:F64" si="3">$D$1+102*E47</f>
        <v>738.15037071019003</v>
      </c>
    </row>
    <row r="48" spans="1:6">
      <c r="A48" s="7">
        <v>43342</v>
      </c>
      <c r="B48" s="1">
        <v>0.33333333333333331</v>
      </c>
      <c r="C48" s="2">
        <v>7242.1</v>
      </c>
      <c r="D48" s="2">
        <v>6.2</v>
      </c>
      <c r="E48" s="3">
        <f t="shared" si="2"/>
        <v>0.19953414451143947</v>
      </c>
      <c r="F48" s="4">
        <f t="shared" si="3"/>
        <v>738.35248274016681</v>
      </c>
    </row>
    <row r="49" spans="1:6">
      <c r="A49" s="7">
        <v>43353</v>
      </c>
      <c r="B49" s="1">
        <v>0.33333333333333331</v>
      </c>
      <c r="C49" s="2">
        <v>7233.9</v>
      </c>
      <c r="D49" s="2">
        <v>6</v>
      </c>
      <c r="E49" s="3">
        <f t="shared" si="2"/>
        <v>0.20033374275222932</v>
      </c>
      <c r="F49" s="4">
        <f t="shared" si="3"/>
        <v>738.43404176072738</v>
      </c>
    </row>
    <row r="50" spans="1:6">
      <c r="A50" s="7">
        <v>43363</v>
      </c>
      <c r="B50" s="1">
        <v>0.33333333333333331</v>
      </c>
      <c r="C50" s="2">
        <v>7234.6</v>
      </c>
      <c r="D50" s="2">
        <v>6.2</v>
      </c>
      <c r="E50" s="3">
        <f t="shared" si="2"/>
        <v>0.20085229311870278</v>
      </c>
      <c r="F50" s="4">
        <f t="shared" si="3"/>
        <v>738.48693389810774</v>
      </c>
    </row>
    <row r="51" spans="1:6">
      <c r="A51" s="7">
        <v>43373</v>
      </c>
      <c r="B51" s="1">
        <v>0.33333333333333331</v>
      </c>
      <c r="C51" s="2">
        <v>7247.4</v>
      </c>
      <c r="D51" s="2">
        <v>5.9</v>
      </c>
      <c r="E51" s="3">
        <f t="shared" si="2"/>
        <v>0.19764030535955424</v>
      </c>
      <c r="F51" s="4">
        <f t="shared" si="3"/>
        <v>738.15931114667455</v>
      </c>
    </row>
    <row r="52" spans="1:6">
      <c r="A52" s="7">
        <v>43383</v>
      </c>
      <c r="B52" s="1">
        <v>0.33333333333333331</v>
      </c>
      <c r="C52" s="2">
        <v>7251.2</v>
      </c>
      <c r="D52" s="2">
        <v>5.9</v>
      </c>
      <c r="E52" s="3">
        <f t="shared" si="2"/>
        <v>0.19697246993298811</v>
      </c>
      <c r="F52" s="4">
        <f t="shared" si="3"/>
        <v>738.09119193316474</v>
      </c>
    </row>
    <row r="53" spans="1:6">
      <c r="A53" s="7">
        <v>43393</v>
      </c>
      <c r="B53" s="1">
        <v>0.33333333333333331</v>
      </c>
      <c r="C53" s="2">
        <v>7256.3</v>
      </c>
      <c r="D53" s="2">
        <v>5.8</v>
      </c>
      <c r="E53" s="3">
        <f t="shared" si="2"/>
        <v>0.1957553892645359</v>
      </c>
      <c r="F53" s="4">
        <f t="shared" si="3"/>
        <v>737.96704970498263</v>
      </c>
    </row>
    <row r="54" spans="1:6">
      <c r="A54" s="7">
        <v>43605</v>
      </c>
      <c r="B54" s="1">
        <v>0.33333333333333331</v>
      </c>
      <c r="C54" s="2">
        <v>7269.5</v>
      </c>
      <c r="D54" s="2">
        <v>5.4</v>
      </c>
      <c r="E54" s="3">
        <f t="shared" si="2"/>
        <v>0.19215249556687009</v>
      </c>
      <c r="F54" s="4">
        <f t="shared" si="3"/>
        <v>737.59955454782073</v>
      </c>
    </row>
    <row r="55" spans="1:6">
      <c r="A55" s="7">
        <v>43615</v>
      </c>
      <c r="B55" s="1">
        <v>0.33333333333333331</v>
      </c>
      <c r="C55" s="2">
        <v>7272.3</v>
      </c>
      <c r="D55" s="2">
        <v>5.6</v>
      </c>
      <c r="E55" s="3">
        <f t="shared" si="2"/>
        <v>0.19230202427292292</v>
      </c>
      <c r="F55" s="4">
        <f t="shared" si="3"/>
        <v>737.61480647583812</v>
      </c>
    </row>
    <row r="56" spans="1:6">
      <c r="A56" s="7">
        <v>43626</v>
      </c>
      <c r="B56" s="1">
        <v>0.33333333333333331</v>
      </c>
      <c r="C56" s="2">
        <v>7274.5</v>
      </c>
      <c r="D56" s="2">
        <v>5.6</v>
      </c>
      <c r="E56" s="3">
        <f t="shared" si="2"/>
        <v>0.19191541652071015</v>
      </c>
      <c r="F56" s="4">
        <f t="shared" si="3"/>
        <v>737.57537248511244</v>
      </c>
    </row>
    <row r="57" spans="1:6">
      <c r="A57" s="7">
        <v>43636</v>
      </c>
      <c r="B57" s="1">
        <v>0.33333333333333331</v>
      </c>
      <c r="C57" s="2">
        <v>7276.9</v>
      </c>
      <c r="D57" s="2">
        <v>5.8</v>
      </c>
      <c r="E57" s="3">
        <f t="shared" si="2"/>
        <v>0.19213524552927602</v>
      </c>
      <c r="F57" s="4">
        <f t="shared" si="3"/>
        <v>737.59779504398614</v>
      </c>
    </row>
    <row r="58" spans="1:6">
      <c r="A58" s="7">
        <v>43646</v>
      </c>
      <c r="B58" s="1">
        <v>0.33333333333333331</v>
      </c>
      <c r="C58" s="2">
        <v>7278.1</v>
      </c>
      <c r="D58" s="2">
        <v>5.8</v>
      </c>
      <c r="E58" s="3">
        <f t="shared" si="2"/>
        <v>0.19192437171097781</v>
      </c>
      <c r="F58" s="4">
        <f t="shared" si="3"/>
        <v>737.57628591451976</v>
      </c>
    </row>
    <row r="59" spans="1:6">
      <c r="A59" s="7">
        <v>43656</v>
      </c>
      <c r="B59" s="1">
        <v>0.33333333333333331</v>
      </c>
      <c r="C59" s="2">
        <v>7280.4</v>
      </c>
      <c r="D59" s="2">
        <v>5.9</v>
      </c>
      <c r="E59" s="3">
        <f t="shared" si="2"/>
        <v>0.19184098915929193</v>
      </c>
      <c r="F59" s="4">
        <f t="shared" si="3"/>
        <v>737.56778089424779</v>
      </c>
    </row>
    <row r="60" spans="1:6">
      <c r="A60" s="7">
        <v>43666</v>
      </c>
      <c r="B60" s="1">
        <v>0.33333333333333331</v>
      </c>
      <c r="C60" s="2">
        <v>7284.6</v>
      </c>
      <c r="D60" s="2">
        <v>6.1</v>
      </c>
      <c r="E60" s="3">
        <f t="shared" si="2"/>
        <v>0.19174452358682298</v>
      </c>
      <c r="F60" s="4">
        <f t="shared" si="3"/>
        <v>737.5579414058559</v>
      </c>
    </row>
    <row r="61" spans="1:6">
      <c r="A61" s="7">
        <v>43676</v>
      </c>
      <c r="B61" s="1">
        <v>0.33333333333333331</v>
      </c>
      <c r="C61" s="2">
        <v>7279.6</v>
      </c>
      <c r="D61" s="2">
        <v>6.1</v>
      </c>
      <c r="E61" s="3">
        <f t="shared" si="2"/>
        <v>0.19262314982943601</v>
      </c>
      <c r="F61" s="4">
        <f t="shared" si="3"/>
        <v>737.64756128260251</v>
      </c>
    </row>
    <row r="62" spans="1:6">
      <c r="A62" s="7">
        <v>43687</v>
      </c>
      <c r="B62" s="1">
        <v>0.33333333333333331</v>
      </c>
      <c r="C62" s="2">
        <v>7256.3</v>
      </c>
      <c r="D62" s="2">
        <v>6.1</v>
      </c>
      <c r="E62" s="3">
        <f t="shared" si="2"/>
        <v>0.19671775836453592</v>
      </c>
      <c r="F62" s="4">
        <f t="shared" si="3"/>
        <v>738.06521135318269</v>
      </c>
    </row>
    <row r="63" spans="1:6">
      <c r="A63" s="7">
        <v>43697</v>
      </c>
      <c r="B63" s="1">
        <v>0.33333333333333331</v>
      </c>
      <c r="C63" s="2">
        <v>7198.3</v>
      </c>
      <c r="D63" s="2">
        <v>6.2</v>
      </c>
      <c r="E63" s="3">
        <f t="shared" si="2"/>
        <v>0.20723263932545632</v>
      </c>
      <c r="F63" s="4">
        <f t="shared" si="3"/>
        <v>739.13772921119653</v>
      </c>
    </row>
    <row r="64" spans="1:6">
      <c r="A64" s="7">
        <v>43707</v>
      </c>
      <c r="B64" s="1">
        <v>0.33333333333333331</v>
      </c>
      <c r="C64" s="2">
        <v>7157.2</v>
      </c>
      <c r="D64" s="2">
        <v>6.3</v>
      </c>
      <c r="E64" s="3">
        <f t="shared" si="2"/>
        <v>0.21477847167219694</v>
      </c>
      <c r="F64" s="4">
        <f t="shared" si="3"/>
        <v>739.90740411056413</v>
      </c>
    </row>
  </sheetData>
  <phoneticPr fontId="4" type="noConversion"/>
  <pageMargins left="0.69930555555555596" right="0.69930555555555596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2"/>
  <sheetViews>
    <sheetView topLeftCell="A31" workbookViewId="0">
      <selection activeCell="A46" sqref="A46:B52"/>
    </sheetView>
  </sheetViews>
  <sheetFormatPr defaultColWidth="9" defaultRowHeight="13.5"/>
  <cols>
    <col min="1" max="1" width="11.375" customWidth="1"/>
    <col min="2" max="2" width="13.875" customWidth="1"/>
  </cols>
  <sheetData>
    <row r="1" spans="1:7">
      <c r="A1" t="s">
        <v>0</v>
      </c>
      <c r="B1">
        <v>50361</v>
      </c>
      <c r="C1" t="s">
        <v>1</v>
      </c>
      <c r="D1">
        <v>750</v>
      </c>
    </row>
    <row r="2" spans="1:7">
      <c r="A2" t="s">
        <v>2</v>
      </c>
      <c r="B2" s="10">
        <v>4.02312E-10</v>
      </c>
    </row>
    <row r="3" spans="1:7">
      <c r="A3" t="s">
        <v>3</v>
      </c>
      <c r="B3">
        <v>-6.9518999999999996E-5</v>
      </c>
    </row>
    <row r="4" spans="1:7">
      <c r="A4" t="s">
        <v>4</v>
      </c>
      <c r="B4">
        <v>0.52086633999999998</v>
      </c>
    </row>
    <row r="5" spans="1:7">
      <c r="A5" t="s">
        <v>5</v>
      </c>
      <c r="B5">
        <v>-8.5425099999999999E-4</v>
      </c>
    </row>
    <row r="6" spans="1:7">
      <c r="A6" t="s">
        <v>6</v>
      </c>
      <c r="B6" t="s">
        <v>7</v>
      </c>
      <c r="C6" t="s">
        <v>8</v>
      </c>
      <c r="D6" t="s">
        <v>9</v>
      </c>
      <c r="E6" t="s">
        <v>10</v>
      </c>
      <c r="F6" t="s">
        <v>11</v>
      </c>
      <c r="G6" t="s">
        <v>12</v>
      </c>
    </row>
    <row r="7" spans="1:7">
      <c r="A7" s="7">
        <v>42915</v>
      </c>
      <c r="B7" s="1">
        <v>0.45833333333333331</v>
      </c>
      <c r="C7" s="2">
        <v>7845</v>
      </c>
      <c r="D7" s="2">
        <v>19.899999999999999</v>
      </c>
      <c r="E7" s="3">
        <f>($B$2*C7^2+$B$3*C7+$B$4)-$B$5*D7</f>
        <v>1.7249279685800006E-2</v>
      </c>
      <c r="G7" t="s">
        <v>13</v>
      </c>
    </row>
    <row r="8" spans="1:7">
      <c r="A8" s="7">
        <v>42915</v>
      </c>
      <c r="B8" s="1">
        <v>0.58333333333333337</v>
      </c>
      <c r="C8" s="2">
        <v>7909.8</v>
      </c>
      <c r="D8" s="2">
        <v>21.3</v>
      </c>
      <c r="E8" s="3">
        <f t="shared" ref="E8:E25" si="0">($B$2*C8^2+$B$3*C8+$B$4)-$B$5*D8-$E$7</f>
        <v>-2.8981550376754907E-3</v>
      </c>
      <c r="F8" s="4">
        <f>$D$1+102*E8</f>
        <v>749.70438818615708</v>
      </c>
      <c r="G8" t="s">
        <v>14</v>
      </c>
    </row>
    <row r="9" spans="1:7">
      <c r="A9" s="7">
        <v>42916</v>
      </c>
      <c r="B9" s="1">
        <v>0.33333333333333331</v>
      </c>
      <c r="C9" s="2">
        <v>7914.6</v>
      </c>
      <c r="D9" s="2">
        <v>23.1</v>
      </c>
      <c r="E9" s="3">
        <f t="shared" si="0"/>
        <v>-1.6636359768141123E-3</v>
      </c>
      <c r="F9" s="4">
        <f t="shared" ref="F9:F36" si="1">$D$1+102*E9</f>
        <v>749.83030913036498</v>
      </c>
    </row>
    <row r="10" spans="1:7">
      <c r="A10" s="7">
        <v>42917</v>
      </c>
      <c r="B10" s="1">
        <v>0.33333333333333331</v>
      </c>
      <c r="C10" s="2">
        <v>7923.9</v>
      </c>
      <c r="D10" s="2">
        <v>25.2</v>
      </c>
      <c r="E10" s="3">
        <f t="shared" si="0"/>
        <v>-4.5697580372247235E-4</v>
      </c>
      <c r="F10" s="4">
        <f t="shared" si="1"/>
        <v>749.95338846802031</v>
      </c>
    </row>
    <row r="11" spans="1:7">
      <c r="A11" s="7">
        <v>42918</v>
      </c>
      <c r="B11" s="1">
        <v>0.33333333333333331</v>
      </c>
      <c r="C11" s="2">
        <v>7874.7</v>
      </c>
      <c r="D11" s="2">
        <v>20.6</v>
      </c>
      <c r="E11" s="3">
        <f t="shared" si="0"/>
        <v>-1.2789091487918902E-3</v>
      </c>
      <c r="F11" s="4">
        <f t="shared" si="1"/>
        <v>749.86955126682324</v>
      </c>
    </row>
    <row r="12" spans="1:7">
      <c r="A12" s="7">
        <v>42919</v>
      </c>
      <c r="B12" s="1">
        <v>0.33333333333333331</v>
      </c>
      <c r="C12" s="2">
        <v>7924.2</v>
      </c>
      <c r="D12" s="2">
        <v>23.5</v>
      </c>
      <c r="E12" s="3">
        <f t="shared" si="0"/>
        <v>-1.928145439480243E-3</v>
      </c>
      <c r="F12" s="4">
        <f t="shared" si="1"/>
        <v>749.80332916517307</v>
      </c>
    </row>
    <row r="13" spans="1:7">
      <c r="A13" s="7">
        <v>42920</v>
      </c>
      <c r="B13" s="1">
        <v>0.33333333333333331</v>
      </c>
      <c r="C13" s="2">
        <v>7924.6</v>
      </c>
      <c r="D13" s="2">
        <v>24.6</v>
      </c>
      <c r="E13" s="3">
        <f t="shared" si="0"/>
        <v>-1.0137264745101182E-3</v>
      </c>
      <c r="F13" s="4">
        <f t="shared" si="1"/>
        <v>749.89659989960001</v>
      </c>
    </row>
    <row r="14" spans="1:7">
      <c r="A14" s="7">
        <v>42921</v>
      </c>
      <c r="B14" s="1">
        <v>0.33333333333333331</v>
      </c>
      <c r="C14" s="2">
        <v>7917.6</v>
      </c>
      <c r="D14" s="2">
        <v>24.4</v>
      </c>
      <c r="E14" s="3">
        <f t="shared" si="0"/>
        <v>-7.4255822467485244E-4</v>
      </c>
      <c r="F14" s="4">
        <f t="shared" si="1"/>
        <v>749.92425906108315</v>
      </c>
    </row>
    <row r="15" spans="1:7">
      <c r="A15" s="7">
        <v>42926</v>
      </c>
      <c r="B15" s="1">
        <v>0.33333333333333331</v>
      </c>
      <c r="C15" s="2">
        <v>7945.1</v>
      </c>
      <c r="D15" s="2">
        <v>25.2</v>
      </c>
      <c r="E15" s="3">
        <f t="shared" si="0"/>
        <v>-1.7954316742088937E-3</v>
      </c>
      <c r="F15" s="4">
        <f t="shared" si="1"/>
        <v>749.81686596923066</v>
      </c>
    </row>
    <row r="16" spans="1:7">
      <c r="A16" s="7">
        <v>42875</v>
      </c>
      <c r="B16" s="1">
        <v>0.33333333333333331</v>
      </c>
      <c r="C16" s="2">
        <v>7940.5</v>
      </c>
      <c r="D16" s="2">
        <v>26.2</v>
      </c>
      <c r="E16" s="3">
        <f t="shared" si="0"/>
        <v>-6.507917247420246E-4</v>
      </c>
      <c r="F16" s="4">
        <f t="shared" si="1"/>
        <v>749.93361924407634</v>
      </c>
    </row>
    <row r="17" spans="1:7">
      <c r="A17" s="7">
        <v>42946</v>
      </c>
      <c r="B17" s="1">
        <v>0.33333333333333331</v>
      </c>
      <c r="C17" s="2">
        <v>7939.2</v>
      </c>
      <c r="D17" s="2">
        <v>25.8</v>
      </c>
      <c r="E17" s="3">
        <f t="shared" si="0"/>
        <v>-9.104225967682851E-4</v>
      </c>
      <c r="F17" s="4">
        <f t="shared" si="1"/>
        <v>749.90713689512961</v>
      </c>
    </row>
    <row r="18" spans="1:7">
      <c r="A18" s="7">
        <v>42957</v>
      </c>
      <c r="B18" s="1">
        <v>0.33333333333333331</v>
      </c>
      <c r="C18" s="2">
        <v>7918.5</v>
      </c>
      <c r="D18" s="2">
        <v>24.9</v>
      </c>
      <c r="E18" s="3">
        <f t="shared" si="0"/>
        <v>-3.7226587691799318E-4</v>
      </c>
      <c r="F18" s="4">
        <f t="shared" si="1"/>
        <v>749.96202888055439</v>
      </c>
    </row>
    <row r="19" spans="1:7">
      <c r="A19" s="7">
        <v>42967</v>
      </c>
      <c r="B19" s="1">
        <v>0.33333333333333331</v>
      </c>
      <c r="C19" s="2">
        <v>7904.2</v>
      </c>
      <c r="D19" s="2">
        <v>24.5</v>
      </c>
      <c r="E19" s="3">
        <f t="shared" si="0"/>
        <v>1.8912645530378552E-4</v>
      </c>
      <c r="F19" s="4">
        <f t="shared" si="1"/>
        <v>750.019290898441</v>
      </c>
      <c r="G19" s="2"/>
    </row>
    <row r="20" spans="1:7">
      <c r="A20" s="7">
        <v>42977</v>
      </c>
      <c r="B20" s="1">
        <v>0.33333333333333331</v>
      </c>
      <c r="C20" s="2">
        <v>7911.7</v>
      </c>
      <c r="D20" s="2">
        <v>23.9</v>
      </c>
      <c r="E20" s="3">
        <f t="shared" si="0"/>
        <v>-7.97094696990297E-4</v>
      </c>
      <c r="F20" s="4">
        <f t="shared" si="1"/>
        <v>749.91869634090699</v>
      </c>
      <c r="G20" s="2"/>
    </row>
    <row r="21" spans="1:7">
      <c r="A21" s="7">
        <v>42988</v>
      </c>
      <c r="B21" s="1">
        <v>0.33333333333333331</v>
      </c>
      <c r="C21" s="2">
        <v>7879.9</v>
      </c>
      <c r="D21" s="2">
        <v>23.4</v>
      </c>
      <c r="E21" s="3">
        <f t="shared" si="0"/>
        <v>7.8445382731119617E-4</v>
      </c>
      <c r="F21" s="4">
        <f t="shared" si="1"/>
        <v>750.08001429038575</v>
      </c>
      <c r="G21" s="2"/>
    </row>
    <row r="22" spans="1:7">
      <c r="A22" s="7">
        <v>42998</v>
      </c>
      <c r="B22" s="1">
        <v>0.33333333333333331</v>
      </c>
      <c r="C22" s="2">
        <v>7898.6</v>
      </c>
      <c r="D22" s="2">
        <v>22.8</v>
      </c>
      <c r="E22" s="3">
        <f t="shared" si="0"/>
        <v>-9.0939671870847796E-4</v>
      </c>
      <c r="F22" s="4">
        <f t="shared" si="1"/>
        <v>749.90724153469171</v>
      </c>
    </row>
    <row r="23" spans="1:7">
      <c r="A23" s="7">
        <v>43008</v>
      </c>
      <c r="B23" s="1">
        <v>0.33333333333333331</v>
      </c>
      <c r="C23" s="2">
        <v>7894.3</v>
      </c>
      <c r="D23" s="2">
        <v>22.3</v>
      </c>
      <c r="E23" s="3">
        <f t="shared" si="0"/>
        <v>-1.0649113134031142E-3</v>
      </c>
      <c r="F23" s="4">
        <f t="shared" si="1"/>
        <v>749.89137904603285</v>
      </c>
    </row>
    <row r="24" spans="1:7">
      <c r="A24" s="6">
        <v>43018</v>
      </c>
      <c r="B24" s="1">
        <v>0.33333333333333331</v>
      </c>
      <c r="C24" s="14">
        <v>7869.4</v>
      </c>
      <c r="D24" s="14">
        <v>21.5</v>
      </c>
      <c r="E24" s="3">
        <f t="shared" si="0"/>
        <v>-1.7520296269559615E-4</v>
      </c>
      <c r="F24" s="4">
        <f t="shared" si="1"/>
        <v>749.98212929780505</v>
      </c>
    </row>
    <row r="25" spans="1:7">
      <c r="A25" s="7">
        <v>43230</v>
      </c>
      <c r="B25" s="9">
        <v>0.33333333333333331</v>
      </c>
      <c r="C25" s="14">
        <v>7709.9</v>
      </c>
      <c r="D25" s="14">
        <v>5.6</v>
      </c>
      <c r="E25" s="3">
        <f t="shared" si="0"/>
        <v>-3.6692177876808084E-3</v>
      </c>
      <c r="F25" s="4">
        <f t="shared" si="1"/>
        <v>749.62573978565661</v>
      </c>
    </row>
    <row r="26" spans="1:7">
      <c r="A26" s="7">
        <v>43240</v>
      </c>
      <c r="B26" s="9">
        <v>0.33333333333333331</v>
      </c>
      <c r="C26" s="14">
        <v>7695.6</v>
      </c>
      <c r="D26" s="14">
        <v>8.9</v>
      </c>
      <c r="E26" s="3">
        <f>($B$2*C26^2+$B$3*C26+$B$4)-$B$5*D26-$E$7</f>
        <v>5.5303421840326161E-5</v>
      </c>
      <c r="F26" s="4">
        <f t="shared" si="1"/>
        <v>750.00564094902768</v>
      </c>
    </row>
    <row r="27" spans="1:7">
      <c r="A27" s="7">
        <v>43250</v>
      </c>
      <c r="B27" s="9">
        <v>0.33333333333333331</v>
      </c>
      <c r="C27" s="14">
        <v>7689.4</v>
      </c>
      <c r="D27" s="14">
        <v>8</v>
      </c>
      <c r="E27" s="3">
        <f>($B$2*C27^2+$B$3*C27+$B$4)-$B$5*D27-$E$7</f>
        <v>-3.208800129036217E-4</v>
      </c>
      <c r="F27" s="4">
        <f t="shared" si="1"/>
        <v>749.9672702386838</v>
      </c>
    </row>
    <row r="28" spans="1:7">
      <c r="A28" s="7">
        <v>43261</v>
      </c>
      <c r="B28" s="9">
        <v>0.33333333333333331</v>
      </c>
      <c r="C28" s="14">
        <v>7699.4</v>
      </c>
      <c r="D28" s="14">
        <v>7.8</v>
      </c>
      <c r="E28" s="3">
        <f>($B$2*C28^2+$B$3*C28+$B$4)-$B$5*D28-$E$7</f>
        <v>-1.1250092238476311E-3</v>
      </c>
      <c r="F28" s="4">
        <f t="shared" si="1"/>
        <v>749.88524905916756</v>
      </c>
    </row>
    <row r="29" spans="1:7">
      <c r="A29" s="7">
        <v>43271</v>
      </c>
      <c r="B29" s="1">
        <v>0.33333333333333331</v>
      </c>
      <c r="C29" s="14">
        <v>7698.5</v>
      </c>
      <c r="D29" s="14">
        <v>7.8</v>
      </c>
      <c r="E29" s="3">
        <f>($B$2*C29^2+$B$3*C29+$B$4)-$B$5*D29-$E$7</f>
        <v>-1.0680174077980636E-3</v>
      </c>
      <c r="F29" s="4">
        <f t="shared" si="1"/>
        <v>749.89106222440455</v>
      </c>
    </row>
    <row r="30" spans="1:7">
      <c r="A30" s="7">
        <v>43281</v>
      </c>
      <c r="B30" s="1">
        <v>0.33333333333333331</v>
      </c>
      <c r="C30" s="14">
        <v>7694.4</v>
      </c>
      <c r="D30" s="14">
        <v>7.7</v>
      </c>
      <c r="E30" s="3">
        <f>($B$2*C30^2+$B$3*C30+$B$4)-$B$5*D30-$E$7</f>
        <v>-8.9380487617566479E-4</v>
      </c>
      <c r="F30" s="4">
        <f t="shared" si="1"/>
        <v>749.90883190263003</v>
      </c>
    </row>
    <row r="31" spans="1:7">
      <c r="A31" s="7">
        <v>43291</v>
      </c>
      <c r="B31" s="1">
        <v>0.33333333333333331</v>
      </c>
      <c r="C31" s="14">
        <v>7683.4</v>
      </c>
      <c r="D31" s="14">
        <v>7.6</v>
      </c>
      <c r="E31" s="3">
        <f t="shared" ref="E31:E36" si="2">($B$2*C31^2+$B$3*C31+$B$4)-$B$5*D31-$E$7</f>
        <v>-2.8257438438522228E-4</v>
      </c>
      <c r="F31" s="4">
        <f t="shared" si="1"/>
        <v>749.97117741279271</v>
      </c>
    </row>
    <row r="32" spans="1:7">
      <c r="A32" s="7">
        <v>43301</v>
      </c>
      <c r="B32" s="1">
        <v>0.33333333333333331</v>
      </c>
      <c r="C32" s="14">
        <v>7709.6</v>
      </c>
      <c r="D32" s="14">
        <v>8.1999999999999993</v>
      </c>
      <c r="E32" s="3">
        <f t="shared" si="2"/>
        <v>-1.4291705226461768E-3</v>
      </c>
      <c r="F32" s="4">
        <f t="shared" si="1"/>
        <v>749.85422460669008</v>
      </c>
    </row>
    <row r="33" spans="1:6">
      <c r="A33" s="7">
        <v>43311</v>
      </c>
      <c r="B33" s="1">
        <v>0.33333333333333331</v>
      </c>
      <c r="C33" s="14">
        <v>7704.9</v>
      </c>
      <c r="D33" s="14">
        <v>9</v>
      </c>
      <c r="E33" s="3">
        <f t="shared" si="2"/>
        <v>-4.4817718276890864E-4</v>
      </c>
      <c r="F33" s="4">
        <f t="shared" si="1"/>
        <v>749.95428592735755</v>
      </c>
    </row>
    <row r="34" spans="1:6">
      <c r="A34" s="7">
        <v>43322</v>
      </c>
      <c r="B34" s="1">
        <v>0.33333333333333331</v>
      </c>
      <c r="C34" s="14">
        <v>7709.6</v>
      </c>
      <c r="D34" s="14">
        <v>9.5</v>
      </c>
      <c r="E34" s="3">
        <f t="shared" si="2"/>
        <v>-3.1864422264617567E-4</v>
      </c>
      <c r="F34" s="4">
        <f t="shared" si="1"/>
        <v>749.96749828929012</v>
      </c>
    </row>
    <row r="35" spans="1:6">
      <c r="A35" s="7">
        <v>43332</v>
      </c>
      <c r="B35" s="1">
        <v>0.33333333333333331</v>
      </c>
      <c r="C35" s="14">
        <v>7722.9</v>
      </c>
      <c r="D35" s="14">
        <v>10</v>
      </c>
      <c r="E35" s="3">
        <f t="shared" si="2"/>
        <v>-7.3354597944411473E-4</v>
      </c>
      <c r="F35" s="4">
        <f t="shared" si="1"/>
        <v>749.92517831009673</v>
      </c>
    </row>
    <row r="36" spans="1:6">
      <c r="A36" s="7">
        <v>43342</v>
      </c>
      <c r="B36" s="1">
        <v>0.33333333333333331</v>
      </c>
      <c r="C36" s="14">
        <v>7727.6</v>
      </c>
      <c r="D36" s="14">
        <v>11</v>
      </c>
      <c r="E36" s="3">
        <f t="shared" si="2"/>
        <v>-1.7681944813091946E-4</v>
      </c>
      <c r="F36" s="4">
        <f t="shared" si="1"/>
        <v>749.98196441629068</v>
      </c>
    </row>
    <row r="37" spans="1:6">
      <c r="A37" s="7">
        <v>43353</v>
      </c>
      <c r="B37" s="1">
        <v>0.33333333333333331</v>
      </c>
      <c r="C37" s="14">
        <v>7738.4</v>
      </c>
      <c r="D37" s="14">
        <v>11.7</v>
      </c>
      <c r="E37" s="3">
        <f t="shared" ref="E37:E52" si="3">($B$2*C37^2+$B$3*C37+$B$4)-$B$5*D37-$E$7</f>
        <v>-2.6244964829728185E-4</v>
      </c>
      <c r="F37" s="4">
        <f t="shared" ref="F37:F52" si="4">$D$1+102*E37</f>
        <v>749.97323013587368</v>
      </c>
    </row>
    <row r="38" spans="1:6">
      <c r="A38" s="7">
        <v>43363</v>
      </c>
      <c r="B38" s="1">
        <v>0.33333333333333331</v>
      </c>
      <c r="C38" s="14">
        <v>7727.2</v>
      </c>
      <c r="D38" s="14">
        <v>11.4</v>
      </c>
      <c r="E38" s="3">
        <f t="shared" si="3"/>
        <v>1.9020149127015745E-4</v>
      </c>
      <c r="F38" s="4">
        <f t="shared" si="4"/>
        <v>750.01940055210957</v>
      </c>
    </row>
    <row r="39" spans="1:6">
      <c r="A39" s="7">
        <v>43373</v>
      </c>
      <c r="B39" s="1">
        <v>0.33333333333333331</v>
      </c>
      <c r="C39" s="14">
        <v>7740.1</v>
      </c>
      <c r="D39" s="14">
        <v>11.2</v>
      </c>
      <c r="E39" s="3">
        <f t="shared" si="3"/>
        <v>-7.9717123160085585E-4</v>
      </c>
      <c r="F39" s="4">
        <f t="shared" si="4"/>
        <v>749.91868853437666</v>
      </c>
    </row>
    <row r="40" spans="1:6">
      <c r="A40" s="7">
        <v>43383</v>
      </c>
      <c r="B40" s="1">
        <v>0.33333333333333331</v>
      </c>
      <c r="C40" s="14">
        <v>7741.6</v>
      </c>
      <c r="D40" s="14">
        <v>11.2</v>
      </c>
      <c r="E40" s="3">
        <f t="shared" si="3"/>
        <v>-8.9210702106536782E-4</v>
      </c>
      <c r="F40" s="4">
        <f t="shared" si="4"/>
        <v>749.9090050838513</v>
      </c>
    </row>
    <row r="41" spans="1:6">
      <c r="A41" s="7">
        <v>43393</v>
      </c>
      <c r="B41" s="1">
        <v>0.33333333333333331</v>
      </c>
      <c r="C41" s="14">
        <v>7742.7</v>
      </c>
      <c r="D41" s="14">
        <v>10.9</v>
      </c>
      <c r="E41" s="3">
        <f t="shared" si="3"/>
        <v>-1.2180007493935649E-3</v>
      </c>
      <c r="F41" s="4">
        <f t="shared" si="4"/>
        <v>749.87576392356186</v>
      </c>
    </row>
    <row r="42" spans="1:6">
      <c r="A42" s="32">
        <v>43605</v>
      </c>
      <c r="B42" s="1">
        <v>0.33333333333333331</v>
      </c>
      <c r="C42" s="14">
        <v>7749.5</v>
      </c>
      <c r="D42" s="14">
        <v>9.1999999999999993</v>
      </c>
      <c r="E42" s="3">
        <f t="shared" si="3"/>
        <v>-3.1005743032220465E-3</v>
      </c>
      <c r="F42" s="4">
        <f t="shared" si="4"/>
        <v>749.68374142107132</v>
      </c>
    </row>
    <row r="43" spans="1:6">
      <c r="A43" s="32">
        <v>43615</v>
      </c>
      <c r="B43" s="1">
        <v>0.33333333333333331</v>
      </c>
      <c r="C43" s="14">
        <v>7746.3</v>
      </c>
      <c r="D43" s="14">
        <v>9.5</v>
      </c>
      <c r="E43" s="3">
        <f t="shared" si="3"/>
        <v>-2.6417874713487062E-3</v>
      </c>
      <c r="F43" s="4">
        <f t="shared" si="4"/>
        <v>749.73053767792248</v>
      </c>
    </row>
    <row r="44" spans="1:6">
      <c r="A44" s="32">
        <v>43626</v>
      </c>
      <c r="B44" s="1">
        <v>0.33333333333333331</v>
      </c>
      <c r="C44" s="14">
        <v>7744.2</v>
      </c>
      <c r="D44" s="14">
        <v>9.5</v>
      </c>
      <c r="E44" s="3">
        <f t="shared" si="3"/>
        <v>-2.5088848008242466E-3</v>
      </c>
      <c r="F44" s="4">
        <f t="shared" si="4"/>
        <v>749.74409375031598</v>
      </c>
    </row>
    <row r="45" spans="1:6">
      <c r="A45" s="32">
        <v>43636</v>
      </c>
      <c r="B45" s="1">
        <v>0.33333333333333331</v>
      </c>
      <c r="C45" s="14">
        <v>7743.6</v>
      </c>
      <c r="D45" s="14">
        <v>9.6</v>
      </c>
      <c r="E45" s="3">
        <f t="shared" si="3"/>
        <v>-2.3854868575005055E-3</v>
      </c>
      <c r="F45" s="4">
        <f t="shared" si="4"/>
        <v>749.7566803405349</v>
      </c>
    </row>
    <row r="46" spans="1:6">
      <c r="A46" s="7">
        <v>43646</v>
      </c>
      <c r="B46" s="1">
        <v>0.33333333333333331</v>
      </c>
      <c r="C46" s="14">
        <v>7737.2</v>
      </c>
      <c r="D46" s="14">
        <v>9.3000000000000007</v>
      </c>
      <c r="E46" s="3">
        <f t="shared" si="3"/>
        <v>-2.2367004718019667E-3</v>
      </c>
      <c r="F46" s="4">
        <f t="shared" si="4"/>
        <v>749.77185655187623</v>
      </c>
    </row>
    <row r="47" spans="1:6">
      <c r="A47" s="7">
        <v>43656</v>
      </c>
      <c r="B47" s="1">
        <v>0.33333333333333331</v>
      </c>
      <c r="C47" s="14">
        <v>7726.2</v>
      </c>
      <c r="D47" s="14">
        <v>9.3000000000000007</v>
      </c>
      <c r="E47" s="3">
        <f t="shared" si="3"/>
        <v>-1.5404236969907559E-3</v>
      </c>
      <c r="F47" s="4">
        <f t="shared" si="4"/>
        <v>749.84287678290696</v>
      </c>
    </row>
    <row r="48" spans="1:6">
      <c r="A48" s="7">
        <v>43666</v>
      </c>
      <c r="B48" s="1">
        <v>0.33333333333333331</v>
      </c>
      <c r="C48" s="14">
        <v>7718.3</v>
      </c>
      <c r="D48" s="14">
        <v>8.9</v>
      </c>
      <c r="E48" s="3">
        <f t="shared" si="3"/>
        <v>-1.382010707694413E-3</v>
      </c>
      <c r="F48" s="4">
        <f t="shared" si="4"/>
        <v>749.85903490781516</v>
      </c>
    </row>
    <row r="49" spans="1:6">
      <c r="A49" s="7">
        <v>43676</v>
      </c>
      <c r="B49" s="1">
        <v>0.33333333333333331</v>
      </c>
      <c r="C49" s="14">
        <v>7709.5</v>
      </c>
      <c r="D49" s="14">
        <v>8.6999999999999993</v>
      </c>
      <c r="E49" s="3">
        <f t="shared" si="3"/>
        <v>-9.9571345154198659E-4</v>
      </c>
      <c r="F49" s="4">
        <f t="shared" si="4"/>
        <v>749.89843722794274</v>
      </c>
    </row>
    <row r="50" spans="1:6">
      <c r="A50" s="7">
        <v>43687</v>
      </c>
      <c r="B50" s="1">
        <v>0.33333333333333331</v>
      </c>
      <c r="C50" s="14">
        <v>7701.2</v>
      </c>
      <c r="D50" s="14">
        <v>8.5</v>
      </c>
      <c r="E50" s="3">
        <f t="shared" si="3"/>
        <v>-6.4101520071079346E-4</v>
      </c>
      <c r="F50" s="4">
        <f t="shared" si="4"/>
        <v>749.93461644952754</v>
      </c>
    </row>
    <row r="51" spans="1:6">
      <c r="A51" s="7">
        <v>43697</v>
      </c>
      <c r="B51" s="1">
        <v>0.33333333333333331</v>
      </c>
      <c r="C51" s="14">
        <v>7698.2</v>
      </c>
      <c r="D51" s="14">
        <v>8.3000000000000007</v>
      </c>
      <c r="E51" s="3">
        <f t="shared" si="3"/>
        <v>-6.2189449094909866E-4</v>
      </c>
      <c r="F51" s="4">
        <f t="shared" si="4"/>
        <v>749.93656676192325</v>
      </c>
    </row>
    <row r="52" spans="1:6">
      <c r="A52" s="7">
        <v>43707</v>
      </c>
      <c r="B52" s="1">
        <v>0.33333333333333331</v>
      </c>
      <c r="C52" s="14">
        <v>7690.8</v>
      </c>
      <c r="D52" s="14">
        <v>8.1</v>
      </c>
      <c r="E52" s="3">
        <f t="shared" si="3"/>
        <v>-3.2411881827227804E-4</v>
      </c>
      <c r="F52" s="4">
        <f t="shared" si="4"/>
        <v>749.96693988053619</v>
      </c>
    </row>
  </sheetData>
  <phoneticPr fontId="5" type="noConversion"/>
  <pageMargins left="0.69930555555555596" right="0.69930555555555596" top="0.75" bottom="0.75" header="0.3" footer="0.3"/>
  <pageSetup paperSize="9" orientation="portrait" verticalDpi="0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7"/>
  <sheetViews>
    <sheetView topLeftCell="A33" workbookViewId="0">
      <selection activeCell="A51" sqref="A51:B57"/>
    </sheetView>
  </sheetViews>
  <sheetFormatPr defaultColWidth="9" defaultRowHeight="13.5"/>
  <cols>
    <col min="1" max="1" width="11.25" customWidth="1"/>
    <col min="2" max="2" width="13.875" customWidth="1"/>
  </cols>
  <sheetData>
    <row r="1" spans="1:7">
      <c r="A1" t="s">
        <v>0</v>
      </c>
      <c r="B1">
        <v>50362</v>
      </c>
      <c r="C1" t="s">
        <v>1</v>
      </c>
      <c r="D1">
        <v>744.5</v>
      </c>
    </row>
    <row r="2" spans="1:7">
      <c r="A2" t="s">
        <v>2</v>
      </c>
      <c r="B2" s="10">
        <v>6.2404900000000002E-10</v>
      </c>
    </row>
    <row r="3" spans="1:7">
      <c r="A3" t="s">
        <v>3</v>
      </c>
      <c r="B3">
        <v>-8.3269000000000005E-5</v>
      </c>
    </row>
    <row r="4" spans="1:7">
      <c r="A4" t="s">
        <v>4</v>
      </c>
      <c r="B4">
        <v>0.70908218000000001</v>
      </c>
    </row>
    <row r="5" spans="1:7">
      <c r="A5" t="s">
        <v>5</v>
      </c>
      <c r="B5">
        <v>-1.035174E-3</v>
      </c>
    </row>
    <row r="6" spans="1:7">
      <c r="A6" t="s">
        <v>6</v>
      </c>
      <c r="B6" t="s">
        <v>7</v>
      </c>
      <c r="C6" t="s">
        <v>8</v>
      </c>
      <c r="D6" t="s">
        <v>9</v>
      </c>
      <c r="E6" t="s">
        <v>10</v>
      </c>
      <c r="F6" t="s">
        <v>11</v>
      </c>
      <c r="G6" t="s">
        <v>12</v>
      </c>
    </row>
    <row r="7" spans="1:7">
      <c r="A7" s="7">
        <v>42872</v>
      </c>
      <c r="B7" s="1">
        <v>0.66666666666666663</v>
      </c>
      <c r="C7" s="2">
        <v>9167.2999999999993</v>
      </c>
      <c r="D7" s="2">
        <v>21.2</v>
      </c>
      <c r="E7" s="3">
        <f>($B$2*C7^2+$B$3*C7+$B$4)-$B$5*D7</f>
        <v>2.0120661947035295E-2</v>
      </c>
      <c r="G7" t="s">
        <v>13</v>
      </c>
    </row>
    <row r="8" spans="1:7">
      <c r="A8" s="7">
        <v>42875</v>
      </c>
      <c r="B8" s="1">
        <v>0.33333333333333331</v>
      </c>
      <c r="C8" s="2">
        <v>9052.9</v>
      </c>
      <c r="D8" s="2">
        <v>16</v>
      </c>
      <c r="E8" s="3">
        <f t="shared" ref="E8:E30" si="0">($B$2*C8^2+$B$3*C8+$B$4)-$B$5*D8-$E$7</f>
        <v>2.8423067557268623E-3</v>
      </c>
      <c r="F8" s="4">
        <f>$D$1+102*E8</f>
        <v>744.78991528908409</v>
      </c>
      <c r="G8" t="s">
        <v>14</v>
      </c>
    </row>
    <row r="9" spans="1:7">
      <c r="A9" s="7">
        <v>42876</v>
      </c>
      <c r="B9" s="1">
        <v>0.33333333333333331</v>
      </c>
      <c r="C9" s="2">
        <v>9051.6</v>
      </c>
      <c r="D9" s="2">
        <v>16.5</v>
      </c>
      <c r="E9" s="3">
        <f t="shared" si="0"/>
        <v>3.453455932070016E-3</v>
      </c>
      <c r="F9" s="4">
        <f t="shared" ref="F9:F39" si="1">$D$1+102*E9</f>
        <v>744.85225250507119</v>
      </c>
    </row>
    <row r="10" spans="1:7">
      <c r="A10" s="7">
        <v>42877</v>
      </c>
      <c r="B10" s="1">
        <v>0.33333333333333331</v>
      </c>
      <c r="C10" s="2">
        <v>9071.7999999999993</v>
      </c>
      <c r="D10" s="2">
        <v>16.899999999999999</v>
      </c>
      <c r="E10" s="3">
        <f t="shared" si="0"/>
        <v>2.4139515029315307E-3</v>
      </c>
      <c r="F10" s="4">
        <f t="shared" si="1"/>
        <v>744.74622305329899</v>
      </c>
    </row>
    <row r="11" spans="1:7">
      <c r="A11" s="7">
        <v>42878</v>
      </c>
      <c r="B11" s="1">
        <v>0.33333333333333331</v>
      </c>
      <c r="C11" s="2">
        <v>9078.6</v>
      </c>
      <c r="D11" s="2">
        <v>17.2</v>
      </c>
      <c r="E11" s="3">
        <f t="shared" si="0"/>
        <v>2.2352963279246262E-3</v>
      </c>
      <c r="F11" s="4">
        <f t="shared" si="1"/>
        <v>744.72800022544834</v>
      </c>
    </row>
    <row r="12" spans="1:7">
      <c r="A12" s="7">
        <v>42879</v>
      </c>
      <c r="B12" s="1">
        <v>0.33333333333333331</v>
      </c>
      <c r="C12" s="2">
        <v>9082.2999999999993</v>
      </c>
      <c r="D12" s="2">
        <v>17.399999999999999</v>
      </c>
      <c r="E12" s="3">
        <f t="shared" si="0"/>
        <v>2.176169006415974E-3</v>
      </c>
      <c r="F12" s="4">
        <f t="shared" si="1"/>
        <v>744.72196923865442</v>
      </c>
    </row>
    <row r="13" spans="1:7">
      <c r="A13" s="7">
        <v>42880</v>
      </c>
      <c r="B13" s="1">
        <v>0.33333333333333331</v>
      </c>
      <c r="C13" s="2">
        <v>9089.6</v>
      </c>
      <c r="D13" s="2">
        <v>17.3</v>
      </c>
      <c r="E13" s="3">
        <f t="shared" si="0"/>
        <v>1.5475710453844681E-3</v>
      </c>
      <c r="F13" s="4">
        <f t="shared" si="1"/>
        <v>744.6578522466292</v>
      </c>
    </row>
    <row r="14" spans="1:7">
      <c r="A14" s="7">
        <v>42881</v>
      </c>
      <c r="B14" s="1">
        <v>0.33333333333333331</v>
      </c>
      <c r="C14" s="2">
        <v>9090.1</v>
      </c>
      <c r="D14" s="2">
        <v>17.5</v>
      </c>
      <c r="E14" s="3">
        <f t="shared" si="0"/>
        <v>1.7186438571871361E-3</v>
      </c>
      <c r="F14" s="4">
        <f t="shared" si="1"/>
        <v>744.67530167343307</v>
      </c>
    </row>
    <row r="15" spans="1:7">
      <c r="A15" s="7">
        <v>42882</v>
      </c>
      <c r="B15" s="1">
        <v>0.33333333333333331</v>
      </c>
      <c r="C15" s="2">
        <v>9092.4</v>
      </c>
      <c r="D15" s="2">
        <v>17.899999999999999</v>
      </c>
      <c r="E15" s="3">
        <f t="shared" si="0"/>
        <v>1.9672923303548674E-3</v>
      </c>
      <c r="F15" s="4">
        <f t="shared" si="1"/>
        <v>744.70066381769618</v>
      </c>
    </row>
    <row r="16" spans="1:7">
      <c r="A16" s="7">
        <v>42885</v>
      </c>
      <c r="B16" s="1">
        <v>0.33333333333333331</v>
      </c>
      <c r="C16" s="2">
        <v>9110.2000000000007</v>
      </c>
      <c r="D16" s="2">
        <v>18.899999999999999</v>
      </c>
      <c r="E16" s="3">
        <f t="shared" si="0"/>
        <v>1.7224739253825297E-3</v>
      </c>
      <c r="F16" s="4">
        <f t="shared" si="1"/>
        <v>744.67569234038899</v>
      </c>
    </row>
    <row r="17" spans="1:7">
      <c r="A17" s="7">
        <v>42896</v>
      </c>
      <c r="B17" s="1">
        <v>0.33333333333333331</v>
      </c>
      <c r="C17" s="2">
        <v>9101.5</v>
      </c>
      <c r="D17" s="2">
        <v>19.100000000000001</v>
      </c>
      <c r="E17" s="3">
        <f t="shared" si="0"/>
        <v>2.5550735847748897E-3</v>
      </c>
      <c r="F17" s="4">
        <f t="shared" si="1"/>
        <v>744.76061750564702</v>
      </c>
    </row>
    <row r="18" spans="1:7">
      <c r="A18" s="27">
        <v>42906</v>
      </c>
      <c r="B18" s="1">
        <v>0.33333333333333331</v>
      </c>
      <c r="C18" s="2">
        <v>9091</v>
      </c>
      <c r="D18" s="2">
        <v>18.399999999999999</v>
      </c>
      <c r="E18" s="3">
        <f t="shared" si="0"/>
        <v>2.5855696647336321E-3</v>
      </c>
      <c r="F18" s="4">
        <f t="shared" si="1"/>
        <v>744.76372810580278</v>
      </c>
    </row>
    <row r="19" spans="1:7">
      <c r="A19" s="7">
        <v>42916</v>
      </c>
      <c r="B19" s="1">
        <v>0.33333333333333331</v>
      </c>
      <c r="C19" s="2">
        <v>9090.5</v>
      </c>
      <c r="D19" s="2">
        <v>17.8</v>
      </c>
      <c r="E19" s="3">
        <f t="shared" si="0"/>
        <v>2.0004266912870099E-3</v>
      </c>
      <c r="F19" s="4">
        <f t="shared" si="1"/>
        <v>744.70404352251126</v>
      </c>
      <c r="G19" s="2"/>
    </row>
    <row r="20" spans="1:7">
      <c r="A20" s="7">
        <v>42926</v>
      </c>
      <c r="B20" s="1">
        <v>0.33333333333333331</v>
      </c>
      <c r="C20" s="2">
        <v>9097.4</v>
      </c>
      <c r="D20" s="2">
        <v>17.399999999999999</v>
      </c>
      <c r="E20" s="3">
        <f t="shared" si="0"/>
        <v>1.0901169628559255E-3</v>
      </c>
      <c r="F20" s="4">
        <f t="shared" si="1"/>
        <v>744.61119193021125</v>
      </c>
      <c r="G20" s="2"/>
    </row>
    <row r="21" spans="1:7">
      <c r="A21" s="7">
        <v>42875</v>
      </c>
      <c r="B21" s="1">
        <v>0.33333333333333331</v>
      </c>
      <c r="C21" s="2">
        <v>9080.2000000000007</v>
      </c>
      <c r="D21" s="2">
        <v>17.3</v>
      </c>
      <c r="E21" s="3">
        <f t="shared" si="0"/>
        <v>2.2237144974945576E-3</v>
      </c>
      <c r="F21" s="4">
        <f t="shared" si="1"/>
        <v>744.72681887874444</v>
      </c>
      <c r="G21" s="2"/>
    </row>
    <row r="22" spans="1:7">
      <c r="A22" s="7">
        <v>42946</v>
      </c>
      <c r="B22" s="1">
        <v>0.33333333333333331</v>
      </c>
      <c r="C22" s="14">
        <v>9082.7999999999993</v>
      </c>
      <c r="D22" s="15">
        <v>17.2</v>
      </c>
      <c r="E22" s="3">
        <f t="shared" si="0"/>
        <v>1.933167662660825E-3</v>
      </c>
      <c r="F22" s="4">
        <f t="shared" si="1"/>
        <v>744.69718310159135</v>
      </c>
    </row>
    <row r="23" spans="1:7">
      <c r="A23" s="6">
        <v>42957</v>
      </c>
      <c r="B23" s="1">
        <v>0.33333333333333331</v>
      </c>
      <c r="C23" s="14">
        <v>9075.7999999999993</v>
      </c>
      <c r="D23" s="14">
        <v>17.100000000000001</v>
      </c>
      <c r="E23" s="3">
        <f t="shared" si="0"/>
        <v>2.3332102694611258E-3</v>
      </c>
      <c r="F23" s="4">
        <f t="shared" si="1"/>
        <v>744.73798744748501</v>
      </c>
    </row>
    <row r="24" spans="1:7">
      <c r="A24" s="6">
        <v>42967</v>
      </c>
      <c r="B24" s="1">
        <v>0.33333333333333331</v>
      </c>
      <c r="C24" s="14">
        <v>9066.2999999999993</v>
      </c>
      <c r="D24" s="14">
        <v>17</v>
      </c>
      <c r="E24" s="3">
        <f t="shared" si="0"/>
        <v>2.9131935555135081E-3</v>
      </c>
      <c r="F24" s="4">
        <f t="shared" si="1"/>
        <v>744.79714574266234</v>
      </c>
    </row>
    <row r="25" spans="1:7">
      <c r="A25" s="6">
        <v>42977</v>
      </c>
      <c r="B25" s="1">
        <v>0.33333333333333331</v>
      </c>
      <c r="C25" s="14">
        <v>9077.7999999999993</v>
      </c>
      <c r="D25" s="14">
        <v>16.899999999999999</v>
      </c>
      <c r="E25" s="3">
        <f t="shared" si="0"/>
        <v>1.9822949413139425E-3</v>
      </c>
      <c r="F25" s="4">
        <f t="shared" si="1"/>
        <v>744.70219408401397</v>
      </c>
    </row>
    <row r="26" spans="1:7">
      <c r="A26" s="6">
        <v>42988</v>
      </c>
      <c r="B26" s="1">
        <v>0.33333333333333331</v>
      </c>
      <c r="C26" s="14">
        <v>9058.7999999999993</v>
      </c>
      <c r="D26" s="14">
        <v>17.5</v>
      </c>
      <c r="E26" s="3">
        <f t="shared" si="0"/>
        <v>3.9704659265392857E-3</v>
      </c>
      <c r="F26" s="4">
        <f t="shared" si="1"/>
        <v>744.90498752450696</v>
      </c>
    </row>
    <row r="27" spans="1:7">
      <c r="A27" s="6">
        <v>42998</v>
      </c>
      <c r="B27" s="1">
        <v>0.33333333333333331</v>
      </c>
      <c r="C27" s="14">
        <v>9078.2999999999993</v>
      </c>
      <c r="D27" s="14">
        <v>16.7</v>
      </c>
      <c r="E27" s="3">
        <f t="shared" si="0"/>
        <v>1.7392907893383595E-3</v>
      </c>
      <c r="F27" s="4">
        <f t="shared" si="1"/>
        <v>744.67740766051247</v>
      </c>
    </row>
    <row r="28" spans="1:7">
      <c r="A28" s="6">
        <v>43008</v>
      </c>
      <c r="B28" s="1">
        <v>0.33333333333333331</v>
      </c>
      <c r="C28" s="14">
        <v>9074.7999999999993</v>
      </c>
      <c r="D28" s="14">
        <v>16.5</v>
      </c>
      <c r="E28" s="3">
        <f t="shared" si="0"/>
        <v>1.7840480056817605E-3</v>
      </c>
      <c r="F28" s="4">
        <f t="shared" si="1"/>
        <v>744.68197289657951</v>
      </c>
    </row>
    <row r="29" spans="1:7">
      <c r="A29" s="6">
        <v>43018</v>
      </c>
      <c r="B29" s="1">
        <v>0.33333333333333331</v>
      </c>
      <c r="C29" s="14">
        <v>9063.5</v>
      </c>
      <c r="D29" s="14">
        <v>16.3</v>
      </c>
      <c r="E29" s="3">
        <f t="shared" si="0"/>
        <v>2.3900460815448575E-3</v>
      </c>
      <c r="F29" s="4">
        <f t="shared" si="1"/>
        <v>744.74378470031752</v>
      </c>
    </row>
    <row r="30" spans="1:7">
      <c r="A30" s="6">
        <v>43230</v>
      </c>
      <c r="B30" s="1">
        <v>0.33333333333333331</v>
      </c>
      <c r="C30" s="14">
        <v>9027.4</v>
      </c>
      <c r="D30" s="14">
        <v>12.8</v>
      </c>
      <c r="E30" s="3">
        <f t="shared" si="0"/>
        <v>1.3653931307919878E-3</v>
      </c>
      <c r="F30" s="4">
        <f t="shared" si="1"/>
        <v>744.63927009934082</v>
      </c>
    </row>
    <row r="31" spans="1:7">
      <c r="A31" s="6">
        <v>43240</v>
      </c>
      <c r="B31" s="1">
        <v>0.33333333333333331</v>
      </c>
      <c r="C31" s="14">
        <v>9017.5</v>
      </c>
      <c r="D31" s="14">
        <v>13.6</v>
      </c>
      <c r="E31" s="3">
        <f>($B$2*C31^2+$B$3*C31+$B$4)-$B$5*D31-$E$7</f>
        <v>2.9064125029709537E-3</v>
      </c>
      <c r="F31" s="4">
        <f t="shared" si="1"/>
        <v>744.79645407530302</v>
      </c>
    </row>
    <row r="32" spans="1:7">
      <c r="A32" s="6">
        <v>43250</v>
      </c>
      <c r="B32" s="1">
        <v>0.33333333333333331</v>
      </c>
      <c r="C32" s="14">
        <v>9012.5</v>
      </c>
      <c r="D32" s="14">
        <v>12.5</v>
      </c>
      <c r="E32" s="3">
        <f>($B$2*C32^2+$B$3*C32+$B$4)-$B$5*D32-$E$7</f>
        <v>2.1278080856209532E-3</v>
      </c>
      <c r="F32" s="4">
        <f t="shared" si="1"/>
        <v>744.71703642473335</v>
      </c>
    </row>
    <row r="33" spans="1:6">
      <c r="A33" s="6">
        <v>43261</v>
      </c>
      <c r="B33" s="1">
        <v>0.33333333333333331</v>
      </c>
      <c r="C33" s="14">
        <v>9021.7000000000007</v>
      </c>
      <c r="D33" s="14">
        <v>12.3</v>
      </c>
      <c r="E33" s="3">
        <f>($B$2*C33^2+$B$3*C33+$B$4)-$B$5*D33-$E$7</f>
        <v>1.2582373507981567E-3</v>
      </c>
      <c r="F33" s="4">
        <f t="shared" si="1"/>
        <v>744.62834020978141</v>
      </c>
    </row>
    <row r="34" spans="1:6">
      <c r="A34" s="7">
        <v>43271</v>
      </c>
      <c r="B34" s="1">
        <v>0.33333333333333331</v>
      </c>
      <c r="C34" s="14">
        <v>9021</v>
      </c>
      <c r="D34" s="14">
        <v>12</v>
      </c>
      <c r="E34" s="3">
        <f>($B$2*C34^2+$B$3*C34+$B$4)-$B$5*D34-$E$7</f>
        <v>9.9809178057367123E-4</v>
      </c>
      <c r="F34" s="4">
        <f t="shared" si="1"/>
        <v>744.60180536161852</v>
      </c>
    </row>
    <row r="35" spans="1:6">
      <c r="A35" s="7">
        <v>43281</v>
      </c>
      <c r="B35" s="1">
        <v>0.33333333333333331</v>
      </c>
      <c r="C35" s="14">
        <v>9014.4</v>
      </c>
      <c r="D35" s="14">
        <v>11.9</v>
      </c>
      <c r="E35" s="3">
        <f>($B$2*C35^2+$B$3*C35+$B$4)-$B$5*D35-$E$7</f>
        <v>1.3698669565653313E-3</v>
      </c>
      <c r="F35" s="4">
        <f t="shared" si="1"/>
        <v>744.63972642956969</v>
      </c>
    </row>
    <row r="36" spans="1:6">
      <c r="A36" s="7">
        <v>43291</v>
      </c>
      <c r="B36" s="1">
        <v>0.33333333333333331</v>
      </c>
      <c r="C36" s="14">
        <v>9001.2000000000007</v>
      </c>
      <c r="D36" s="14">
        <v>11.6</v>
      </c>
      <c r="E36" s="3">
        <f t="shared" ref="E36:E39" si="2">($B$2*C36^2+$B$3*C36+$B$4)-$B$5*D36-$E$7</f>
        <v>2.0100630099951083E-3</v>
      </c>
      <c r="F36" s="4">
        <f t="shared" si="1"/>
        <v>744.70502642701945</v>
      </c>
    </row>
    <row r="37" spans="1:6">
      <c r="A37" s="7">
        <v>43301</v>
      </c>
      <c r="B37" s="1">
        <v>0.33333333333333331</v>
      </c>
      <c r="C37" s="14">
        <v>9012.5</v>
      </c>
      <c r="D37" s="14">
        <v>11.6</v>
      </c>
      <c r="E37" s="3">
        <f t="shared" si="2"/>
        <v>1.1961514856209526E-3</v>
      </c>
      <c r="F37" s="4">
        <f t="shared" si="1"/>
        <v>744.62200745153336</v>
      </c>
    </row>
    <row r="38" spans="1:6">
      <c r="A38" s="7">
        <v>43311</v>
      </c>
      <c r="B38" s="1">
        <v>0.33333333333333331</v>
      </c>
      <c r="C38" s="14">
        <v>8999.6</v>
      </c>
      <c r="D38" s="14">
        <v>11.1</v>
      </c>
      <c r="E38" s="3">
        <f t="shared" si="2"/>
        <v>1.6077330000125734E-3</v>
      </c>
      <c r="F38" s="4">
        <f t="shared" si="1"/>
        <v>744.66398876600124</v>
      </c>
    </row>
    <row r="39" spans="1:6">
      <c r="A39" s="7">
        <v>43322</v>
      </c>
      <c r="B39" s="1">
        <v>0.33333333333333331</v>
      </c>
      <c r="C39" s="14">
        <v>8993.2999999999993</v>
      </c>
      <c r="D39" s="14">
        <v>10.9</v>
      </c>
      <c r="E39" s="3">
        <f t="shared" si="2"/>
        <v>1.8545536571243151E-3</v>
      </c>
      <c r="F39" s="4">
        <f t="shared" si="1"/>
        <v>744.68916447302672</v>
      </c>
    </row>
    <row r="40" spans="1:6">
      <c r="A40" s="7">
        <v>43332</v>
      </c>
      <c r="B40" s="1">
        <v>0.33333333333333331</v>
      </c>
      <c r="C40" s="14">
        <v>8997.6</v>
      </c>
      <c r="D40" s="14">
        <v>10.9</v>
      </c>
      <c r="E40" s="3">
        <f t="shared" ref="E40:E57" si="3">($B$2*C40^2+$B$3*C40+$B$4)-$B$5*D40-$E$7</f>
        <v>1.5447739306868949E-3</v>
      </c>
      <c r="F40" s="4">
        <f t="shared" ref="F40:F57" si="4">$D$1+102*E40</f>
        <v>744.65756694093011</v>
      </c>
    </row>
    <row r="41" spans="1:6">
      <c r="A41" s="7">
        <v>43342</v>
      </c>
      <c r="B41" s="1">
        <v>0.33333333333333331</v>
      </c>
      <c r="C41" s="14">
        <v>8997.5</v>
      </c>
      <c r="D41" s="14">
        <v>10.9</v>
      </c>
      <c r="E41" s="3">
        <f t="shared" si="3"/>
        <v>1.5519778482709148E-3</v>
      </c>
      <c r="F41" s="4">
        <f t="shared" si="4"/>
        <v>744.6583017405236</v>
      </c>
    </row>
    <row r="42" spans="1:6">
      <c r="A42" s="7">
        <v>43353</v>
      </c>
      <c r="B42" s="1">
        <v>0.33333333333333331</v>
      </c>
      <c r="C42" s="14">
        <v>8997.7000000000007</v>
      </c>
      <c r="D42" s="14">
        <v>11.2</v>
      </c>
      <c r="E42" s="3">
        <f t="shared" si="3"/>
        <v>1.848122225583778E-3</v>
      </c>
      <c r="F42" s="4">
        <f t="shared" si="4"/>
        <v>744.68850846700957</v>
      </c>
    </row>
    <row r="43" spans="1:6">
      <c r="A43" s="7">
        <v>43363</v>
      </c>
      <c r="B43" s="1">
        <v>0.33333333333333331</v>
      </c>
      <c r="C43" s="14">
        <v>8981.4</v>
      </c>
      <c r="D43" s="14">
        <v>10.5</v>
      </c>
      <c r="E43" s="3">
        <f t="shared" si="3"/>
        <v>2.2979017437567001E-3</v>
      </c>
      <c r="F43" s="4">
        <f t="shared" si="4"/>
        <v>744.73438597786321</v>
      </c>
    </row>
    <row r="44" spans="1:6">
      <c r="A44" s="7">
        <v>43373</v>
      </c>
      <c r="B44" s="1">
        <v>0.33333333333333331</v>
      </c>
      <c r="C44" s="14">
        <v>8996.2999999999993</v>
      </c>
      <c r="D44" s="14">
        <v>10.3</v>
      </c>
      <c r="E44" s="3">
        <f t="shared" si="3"/>
        <v>1.0173214327955302E-3</v>
      </c>
      <c r="F44" s="4">
        <f t="shared" si="4"/>
        <v>744.60376678614512</v>
      </c>
    </row>
    <row r="45" spans="1:6">
      <c r="A45" s="7">
        <v>43383</v>
      </c>
      <c r="B45" s="1">
        <v>0.33333333333333331</v>
      </c>
      <c r="C45" s="14">
        <v>8997.1</v>
      </c>
      <c r="D45" s="14">
        <v>10.199999999999999</v>
      </c>
      <c r="E45" s="3">
        <f t="shared" si="3"/>
        <v>8.5617184341671079E-4</v>
      </c>
      <c r="F45" s="4">
        <f t="shared" si="4"/>
        <v>744.58732952802848</v>
      </c>
    </row>
    <row r="46" spans="1:6">
      <c r="A46" s="7">
        <v>43393</v>
      </c>
      <c r="B46" s="1">
        <v>0.33333333333333331</v>
      </c>
      <c r="C46" s="14">
        <v>8997.9</v>
      </c>
      <c r="D46" s="14">
        <v>10.1</v>
      </c>
      <c r="E46" s="3">
        <f t="shared" si="3"/>
        <v>6.9502305282070909E-4</v>
      </c>
      <c r="F46" s="4">
        <f t="shared" si="4"/>
        <v>744.57089235138767</v>
      </c>
    </row>
    <row r="47" spans="1:6">
      <c r="A47" s="32">
        <v>43605</v>
      </c>
      <c r="B47" s="1">
        <v>0.33333333333333331</v>
      </c>
      <c r="C47" s="14">
        <v>8999.2000000000007</v>
      </c>
      <c r="D47" s="14">
        <v>9.8000000000000007</v>
      </c>
      <c r="E47" s="3">
        <f t="shared" si="3"/>
        <v>2.9082154675589417E-4</v>
      </c>
      <c r="F47" s="4">
        <f t="shared" si="4"/>
        <v>744.5296637977691</v>
      </c>
    </row>
    <row r="48" spans="1:6">
      <c r="A48" s="32">
        <v>43615</v>
      </c>
      <c r="B48" s="1">
        <v>0.33333333333333331</v>
      </c>
      <c r="C48" s="14">
        <v>9005.2000000000007</v>
      </c>
      <c r="D48" s="14">
        <v>9.9</v>
      </c>
      <c r="E48" s="3">
        <f t="shared" si="3"/>
        <v>-3.7861286350519829E-5</v>
      </c>
      <c r="F48" s="4">
        <f t="shared" si="4"/>
        <v>744.49613814879228</v>
      </c>
    </row>
    <row r="49" spans="1:6">
      <c r="A49" s="32">
        <v>43626</v>
      </c>
      <c r="B49" s="1">
        <v>0.33333333333333331</v>
      </c>
      <c r="C49" s="14">
        <v>9007.4</v>
      </c>
      <c r="D49" s="14">
        <v>10.1</v>
      </c>
      <c r="E49" s="3">
        <f t="shared" si="3"/>
        <v>1.0711352687875486E-5</v>
      </c>
      <c r="F49" s="4">
        <f t="shared" si="4"/>
        <v>744.50109255797418</v>
      </c>
    </row>
    <row r="50" spans="1:6">
      <c r="A50" s="32">
        <v>43636</v>
      </c>
      <c r="B50" s="1">
        <v>0.33333333333333331</v>
      </c>
      <c r="C50" s="14">
        <v>9005.9</v>
      </c>
      <c r="D50" s="14">
        <v>10.199999999999999</v>
      </c>
      <c r="E50" s="3">
        <f t="shared" si="3"/>
        <v>2.2227047991032686E-4</v>
      </c>
      <c r="F50" s="4">
        <f t="shared" si="4"/>
        <v>744.52267158895086</v>
      </c>
    </row>
    <row r="51" spans="1:6">
      <c r="A51" s="7">
        <v>43646</v>
      </c>
      <c r="B51" s="1">
        <v>0.33333333333333331</v>
      </c>
      <c r="C51" s="14">
        <v>9000.2000000000007</v>
      </c>
      <c r="D51" s="14">
        <v>10</v>
      </c>
      <c r="E51" s="3">
        <f t="shared" si="3"/>
        <v>4.2581985432652014E-4</v>
      </c>
      <c r="F51" s="4">
        <f t="shared" si="4"/>
        <v>744.54343362514135</v>
      </c>
    </row>
    <row r="52" spans="1:6">
      <c r="A52" s="7">
        <v>43656</v>
      </c>
      <c r="B52" s="1">
        <v>0.33333333333333331</v>
      </c>
      <c r="C52" s="14">
        <v>8997.4</v>
      </c>
      <c r="D52" s="14">
        <v>9.8000000000000007</v>
      </c>
      <c r="E52" s="3">
        <f t="shared" si="3"/>
        <v>4.2049037833594843E-4</v>
      </c>
      <c r="F52" s="4">
        <f t="shared" si="4"/>
        <v>744.54289001859024</v>
      </c>
    </row>
    <row r="53" spans="1:6">
      <c r="A53" s="7">
        <v>43666</v>
      </c>
      <c r="B53" s="1">
        <v>0.33333333333333331</v>
      </c>
      <c r="C53" s="14">
        <v>8988.1</v>
      </c>
      <c r="D53" s="14">
        <v>9.3000000000000007</v>
      </c>
      <c r="E53" s="3">
        <f t="shared" si="3"/>
        <v>5.7292342874345342E-4</v>
      </c>
      <c r="F53" s="4">
        <f t="shared" si="4"/>
        <v>744.55843818973187</v>
      </c>
    </row>
    <row r="54" spans="1:6">
      <c r="A54" s="7">
        <v>43676</v>
      </c>
      <c r="B54" s="1">
        <v>0.33333333333333331</v>
      </c>
      <c r="C54" s="14">
        <v>8985.2000000000007</v>
      </c>
      <c r="D54" s="14">
        <v>9</v>
      </c>
      <c r="E54" s="3">
        <f t="shared" si="3"/>
        <v>4.7132429105761764E-4</v>
      </c>
      <c r="F54" s="4">
        <f t="shared" si="4"/>
        <v>744.54807507768783</v>
      </c>
    </row>
    <row r="55" spans="1:6">
      <c r="A55" s="7">
        <v>43687</v>
      </c>
      <c r="B55" s="1">
        <v>0.33333333333333331</v>
      </c>
      <c r="C55" s="14">
        <v>8978.2000000000007</v>
      </c>
      <c r="D55" s="14">
        <v>8.8000000000000007</v>
      </c>
      <c r="E55" s="3">
        <f t="shared" si="3"/>
        <v>7.6870219841141535E-4</v>
      </c>
      <c r="F55" s="4">
        <f t="shared" si="4"/>
        <v>744.57840762423791</v>
      </c>
    </row>
    <row r="56" spans="1:6">
      <c r="A56" s="7">
        <v>43697</v>
      </c>
      <c r="B56" s="1">
        <v>0.33333333333333331</v>
      </c>
      <c r="C56" s="14">
        <v>8970.2999999999993</v>
      </c>
      <c r="D56" s="14">
        <v>8.6</v>
      </c>
      <c r="E56" s="3">
        <f t="shared" si="3"/>
        <v>1.1310066249470979E-3</v>
      </c>
      <c r="F56" s="4">
        <f t="shared" si="4"/>
        <v>744.61536267574456</v>
      </c>
    </row>
    <row r="57" spans="1:6">
      <c r="A57" s="7">
        <v>43707</v>
      </c>
      <c r="B57" s="1">
        <v>0.33333333333333331</v>
      </c>
      <c r="C57" s="14">
        <v>8961.5</v>
      </c>
      <c r="D57" s="14">
        <v>8.4</v>
      </c>
      <c r="E57" s="3">
        <f t="shared" si="3"/>
        <v>1.5582641925948812E-3</v>
      </c>
      <c r="F57" s="4">
        <f t="shared" si="4"/>
        <v>744.65894294764473</v>
      </c>
    </row>
  </sheetData>
  <phoneticPr fontId="5" type="noConversion"/>
  <pageMargins left="0.69930555555555596" right="0.69930555555555596" top="0.75" bottom="0.75" header="0.3" footer="0.3"/>
  <pageSetup paperSize="9" orientation="portrait" verticalDpi="0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3"/>
  <sheetViews>
    <sheetView topLeftCell="A42" workbookViewId="0">
      <selection activeCell="A57" sqref="A57:B63"/>
    </sheetView>
  </sheetViews>
  <sheetFormatPr defaultColWidth="9" defaultRowHeight="13.5"/>
  <cols>
    <col min="1" max="1" width="11" customWidth="1"/>
    <col min="2" max="2" width="13.875" customWidth="1"/>
  </cols>
  <sheetData>
    <row r="1" spans="1:7">
      <c r="A1" t="s">
        <v>0</v>
      </c>
      <c r="B1">
        <v>50386</v>
      </c>
      <c r="C1" t="s">
        <v>1</v>
      </c>
      <c r="D1">
        <v>741</v>
      </c>
    </row>
    <row r="2" spans="1:7">
      <c r="A2" t="s">
        <v>2</v>
      </c>
      <c r="B2" s="10">
        <v>8.5018299999999998E-10</v>
      </c>
    </row>
    <row r="3" spans="1:7">
      <c r="A3" t="s">
        <v>3</v>
      </c>
      <c r="B3">
        <v>-7.7299999999999995E-5</v>
      </c>
    </row>
    <row r="4" spans="1:7">
      <c r="A4" t="s">
        <v>4</v>
      </c>
      <c r="B4">
        <v>0.66181674999999995</v>
      </c>
    </row>
    <row r="5" spans="1:7">
      <c r="A5" t="s">
        <v>5</v>
      </c>
      <c r="B5">
        <v>-8.2454800000000003E-4</v>
      </c>
    </row>
    <row r="6" spans="1:7">
      <c r="A6" t="s">
        <v>6</v>
      </c>
      <c r="B6" t="s">
        <v>7</v>
      </c>
      <c r="C6" t="s">
        <v>8</v>
      </c>
      <c r="D6" t="s">
        <v>9</v>
      </c>
      <c r="E6" t="s">
        <v>10</v>
      </c>
      <c r="F6" t="s">
        <v>11</v>
      </c>
      <c r="G6" t="s">
        <v>12</v>
      </c>
    </row>
    <row r="7" spans="1:7">
      <c r="A7" s="7">
        <v>42616</v>
      </c>
      <c r="B7" s="1">
        <v>0.64583333333333304</v>
      </c>
      <c r="C7" s="2">
        <v>9555.5</v>
      </c>
      <c r="D7" s="2">
        <v>17.3</v>
      </c>
      <c r="E7" s="3">
        <f>($B$2*C7^2+$B$3*C7+$B$4)-$B$5*D7</f>
        <v>1.5069432899685814E-2</v>
      </c>
      <c r="G7" t="s">
        <v>13</v>
      </c>
    </row>
    <row r="8" spans="1:7">
      <c r="A8" s="7">
        <v>42616</v>
      </c>
      <c r="B8" s="1">
        <v>0.75</v>
      </c>
      <c r="C8" s="2">
        <v>9472.1</v>
      </c>
      <c r="D8" s="2">
        <v>19</v>
      </c>
      <c r="E8" s="3">
        <f t="shared" ref="E8:E24" si="0">($B$2*C8^2+$B$3*C8+$B$4)-$B$5*D8-$E$7</f>
        <v>6.4993946329632169E-3</v>
      </c>
      <c r="F8" s="4">
        <f>$D$1+102*E8</f>
        <v>741.6629382525623</v>
      </c>
      <c r="G8" t="s">
        <v>14</v>
      </c>
    </row>
    <row r="9" spans="1:7">
      <c r="A9" s="7">
        <v>42617</v>
      </c>
      <c r="B9" s="1">
        <v>0.33333333333333298</v>
      </c>
      <c r="C9" s="2">
        <v>9522</v>
      </c>
      <c r="D9" s="2">
        <v>17.8</v>
      </c>
      <c r="E9" s="3">
        <f t="shared" si="0"/>
        <v>2.4584752328861235E-3</v>
      </c>
      <c r="F9" s="4">
        <f t="shared" ref="F9:F45" si="1">$D$1+102*E9</f>
        <v>741.25076447375443</v>
      </c>
    </row>
    <row r="10" spans="1:7">
      <c r="A10" s="7">
        <v>42618</v>
      </c>
      <c r="B10" s="1">
        <v>0.33333333333333298</v>
      </c>
      <c r="C10" s="2">
        <v>9510</v>
      </c>
      <c r="D10" s="2">
        <v>17.7</v>
      </c>
      <c r="E10" s="3">
        <f t="shared" si="0"/>
        <v>3.109452238614167E-3</v>
      </c>
      <c r="F10" s="4">
        <f t="shared" si="1"/>
        <v>741.31716412833862</v>
      </c>
    </row>
    <row r="11" spans="1:7">
      <c r="A11" s="7">
        <v>42619</v>
      </c>
      <c r="B11" s="1">
        <v>0.33333333333333298</v>
      </c>
      <c r="C11" s="2">
        <v>9526.7000000000007</v>
      </c>
      <c r="D11" s="2">
        <v>17.8</v>
      </c>
      <c r="E11" s="3">
        <f t="shared" si="0"/>
        <v>2.1712811731730095E-3</v>
      </c>
      <c r="F11" s="4">
        <f t="shared" si="1"/>
        <v>741.22147067966364</v>
      </c>
    </row>
    <row r="12" spans="1:7">
      <c r="A12" s="7">
        <v>42620</v>
      </c>
      <c r="B12" s="1">
        <v>0.33333333333333298</v>
      </c>
      <c r="C12" s="2">
        <v>9536.6</v>
      </c>
      <c r="D12" s="2">
        <v>18</v>
      </c>
      <c r="E12" s="3">
        <f t="shared" si="0"/>
        <v>1.7313729796537228E-3</v>
      </c>
      <c r="F12" s="4">
        <f t="shared" si="1"/>
        <v>741.17660004392474</v>
      </c>
    </row>
    <row r="13" spans="1:7">
      <c r="A13" s="7">
        <v>42621</v>
      </c>
      <c r="B13" s="1">
        <v>0.33333333333333298</v>
      </c>
      <c r="C13" s="2">
        <v>9534.2000000000007</v>
      </c>
      <c r="D13" s="2">
        <v>18.100000000000001</v>
      </c>
      <c r="E13" s="3">
        <f t="shared" si="0"/>
        <v>1.960434971758301E-3</v>
      </c>
      <c r="F13" s="4">
        <f t="shared" si="1"/>
        <v>741.19996436711938</v>
      </c>
    </row>
    <row r="14" spans="1:7">
      <c r="A14" s="7">
        <v>42622</v>
      </c>
      <c r="B14" s="1">
        <v>0.33333333333333331</v>
      </c>
      <c r="C14" s="2">
        <v>9526.2000000000007</v>
      </c>
      <c r="D14" s="2">
        <v>18</v>
      </c>
      <c r="E14" s="3">
        <f t="shared" si="0"/>
        <v>2.3667415473327073E-3</v>
      </c>
      <c r="F14" s="4">
        <f t="shared" si="1"/>
        <v>741.24140763782793</v>
      </c>
    </row>
    <row r="15" spans="1:7">
      <c r="A15" s="7">
        <v>42623</v>
      </c>
      <c r="B15" s="1">
        <v>0.33333333333333331</v>
      </c>
      <c r="C15" s="2">
        <v>9520</v>
      </c>
      <c r="D15" s="2">
        <v>17.899999999999999</v>
      </c>
      <c r="E15" s="3">
        <f t="shared" si="0"/>
        <v>2.6631516635141472E-3</v>
      </c>
      <c r="F15" s="4">
        <f t="shared" si="1"/>
        <v>741.27164146967846</v>
      </c>
    </row>
    <row r="16" spans="1:7">
      <c r="A16" s="7">
        <v>42633</v>
      </c>
      <c r="B16" s="1">
        <v>0.33333333333333331</v>
      </c>
      <c r="C16" s="2">
        <v>9501.6</v>
      </c>
      <c r="D16" s="2">
        <v>15.6</v>
      </c>
      <c r="E16" s="3">
        <f t="shared" si="0"/>
        <v>1.8914493899825479E-3</v>
      </c>
      <c r="F16" s="4">
        <f t="shared" si="1"/>
        <v>741.19292783777826</v>
      </c>
    </row>
    <row r="17" spans="1:7">
      <c r="A17" s="7">
        <v>42643</v>
      </c>
      <c r="B17" s="1">
        <v>0.33333333333333331</v>
      </c>
      <c r="C17" s="2">
        <v>9484.9</v>
      </c>
      <c r="D17" s="2">
        <v>12.6</v>
      </c>
      <c r="E17" s="3">
        <f t="shared" si="0"/>
        <v>4.3914399784012598E-4</v>
      </c>
      <c r="F17" s="4">
        <f t="shared" si="1"/>
        <v>741.0447926877797</v>
      </c>
    </row>
    <row r="18" spans="1:7">
      <c r="A18" s="27">
        <v>42653</v>
      </c>
      <c r="B18" s="1">
        <v>0.33333333333333331</v>
      </c>
      <c r="C18" s="2">
        <v>9406.7000000000007</v>
      </c>
      <c r="D18" s="2">
        <v>8</v>
      </c>
      <c r="E18" s="3">
        <f t="shared" si="0"/>
        <v>1.4350881957089171E-3</v>
      </c>
      <c r="F18" s="4">
        <f t="shared" si="1"/>
        <v>741.14637899596232</v>
      </c>
    </row>
    <row r="19" spans="1:7">
      <c r="A19" s="7">
        <v>42855</v>
      </c>
      <c r="B19" s="1">
        <v>0.33333333333333331</v>
      </c>
      <c r="C19" s="2">
        <v>9420.7000000000007</v>
      </c>
      <c r="D19" s="2">
        <v>3.1</v>
      </c>
      <c r="E19" s="3">
        <f t="shared" si="0"/>
        <v>-3.4633027084921674E-3</v>
      </c>
      <c r="F19" s="4">
        <f t="shared" si="1"/>
        <v>740.64674312373381</v>
      </c>
      <c r="G19" s="2"/>
    </row>
    <row r="20" spans="1:7">
      <c r="A20" s="7">
        <v>42865</v>
      </c>
      <c r="B20" s="1">
        <v>0.33333333333333331</v>
      </c>
      <c r="C20" s="2">
        <v>9370.9</v>
      </c>
      <c r="D20" s="2">
        <v>3.5</v>
      </c>
      <c r="E20" s="3">
        <f t="shared" si="0"/>
        <v>-7.9563191859624918E-5</v>
      </c>
      <c r="F20" s="4">
        <f t="shared" si="1"/>
        <v>740.99188455443027</v>
      </c>
      <c r="G20" s="2"/>
    </row>
    <row r="21" spans="1:7">
      <c r="A21" s="7">
        <v>42875</v>
      </c>
      <c r="B21" s="1">
        <v>0.33333333333333331</v>
      </c>
      <c r="C21" s="2">
        <v>9363.5</v>
      </c>
      <c r="D21" s="2">
        <v>4.9000000000000004</v>
      </c>
      <c r="E21" s="3">
        <f t="shared" si="0"/>
        <v>1.528959262015973E-3</v>
      </c>
      <c r="F21" s="4">
        <f t="shared" si="1"/>
        <v>741.15595384472567</v>
      </c>
      <c r="G21" s="2"/>
    </row>
    <row r="22" spans="1:7">
      <c r="A22" s="7">
        <v>42885</v>
      </c>
      <c r="B22" s="1">
        <v>0.33333333333333331</v>
      </c>
      <c r="C22" s="14">
        <v>9398.7000000000007</v>
      </c>
      <c r="D22" s="15">
        <v>6</v>
      </c>
      <c r="E22" s="3">
        <f t="shared" si="0"/>
        <v>2.7648794460339958E-4</v>
      </c>
      <c r="F22" s="4">
        <f t="shared" si="1"/>
        <v>741.0282017703496</v>
      </c>
    </row>
    <row r="23" spans="1:7">
      <c r="A23" s="6">
        <v>42896</v>
      </c>
      <c r="B23" s="1">
        <v>0.33333333333333331</v>
      </c>
      <c r="C23" s="14">
        <v>9401.6</v>
      </c>
      <c r="D23" s="14">
        <v>7.2</v>
      </c>
      <c r="E23" s="3">
        <f t="shared" si="0"/>
        <v>1.0881282614226186E-3</v>
      </c>
      <c r="F23" s="4">
        <f t="shared" si="1"/>
        <v>741.11098908266513</v>
      </c>
    </row>
    <row r="24" spans="1:7">
      <c r="A24" s="6">
        <v>42906</v>
      </c>
      <c r="B24" s="1">
        <v>0.33333333333333331</v>
      </c>
      <c r="C24" s="14">
        <v>9412</v>
      </c>
      <c r="D24" s="14">
        <v>8</v>
      </c>
      <c r="E24" s="3">
        <f t="shared" si="0"/>
        <v>1.1101946914662212E-3</v>
      </c>
      <c r="F24" s="4">
        <f t="shared" si="1"/>
        <v>741.1132398585296</v>
      </c>
    </row>
    <row r="25" spans="1:7">
      <c r="A25" s="7">
        <v>42916</v>
      </c>
      <c r="B25" s="9">
        <v>0.33333333333333331</v>
      </c>
      <c r="C25" s="14">
        <v>9427.6</v>
      </c>
      <c r="D25" s="14">
        <v>8.5</v>
      </c>
      <c r="E25" s="3">
        <f t="shared" ref="E25:E36" si="2">($B$2*C25^2+$B$3*C25+$B$4)-$B$5*D25-$E$7</f>
        <v>5.6645557075630203E-4</v>
      </c>
      <c r="F25" s="4">
        <f t="shared" si="1"/>
        <v>741.05777846821718</v>
      </c>
    </row>
    <row r="26" spans="1:7">
      <c r="A26" s="7">
        <v>42926</v>
      </c>
      <c r="B26" s="9">
        <v>0.33333333333333331</v>
      </c>
      <c r="C26" s="14">
        <v>9447.6</v>
      </c>
      <c r="D26" s="14">
        <v>9</v>
      </c>
      <c r="E26" s="3">
        <f t="shared" si="2"/>
        <v>-2.4632294601177607E-4</v>
      </c>
      <c r="F26" s="4">
        <f t="shared" si="1"/>
        <v>740.97487505950676</v>
      </c>
    </row>
    <row r="27" spans="1:7">
      <c r="A27" s="7">
        <v>42936</v>
      </c>
      <c r="B27" s="9">
        <v>0.33333333333333331</v>
      </c>
      <c r="C27" s="14">
        <v>9432</v>
      </c>
      <c r="D27" s="14">
        <v>9.3000000000000007</v>
      </c>
      <c r="E27" s="3">
        <f t="shared" si="2"/>
        <v>9.5652406050612294E-4</v>
      </c>
      <c r="F27" s="4">
        <f t="shared" si="1"/>
        <v>741.09756545417167</v>
      </c>
    </row>
    <row r="28" spans="1:7">
      <c r="A28" s="7">
        <v>42946</v>
      </c>
      <c r="B28" s="9">
        <v>0.33333333333333331</v>
      </c>
      <c r="C28" s="14">
        <v>9438.9</v>
      </c>
      <c r="D28" s="14">
        <v>9.4</v>
      </c>
      <c r="E28" s="3">
        <f t="shared" si="2"/>
        <v>6.1631051729165061E-4</v>
      </c>
      <c r="F28" s="4">
        <f t="shared" si="1"/>
        <v>741.0628636727638</v>
      </c>
    </row>
    <row r="29" spans="1:7">
      <c r="A29" s="7">
        <v>42957</v>
      </c>
      <c r="B29" s="1">
        <v>0.33333333333333331</v>
      </c>
      <c r="C29" s="14">
        <v>9433</v>
      </c>
      <c r="D29" s="14">
        <v>9.5</v>
      </c>
      <c r="E29" s="3">
        <f t="shared" si="2"/>
        <v>1.0601723628012299E-3</v>
      </c>
      <c r="F29" s="4">
        <f t="shared" si="1"/>
        <v>741.10813758100574</v>
      </c>
    </row>
    <row r="30" spans="1:7">
      <c r="A30" s="7">
        <v>42967</v>
      </c>
      <c r="B30" s="1">
        <v>0.33333333333333331</v>
      </c>
      <c r="C30" s="14">
        <v>9423.5</v>
      </c>
      <c r="D30" s="14">
        <v>9.5</v>
      </c>
      <c r="E30" s="3">
        <f t="shared" si="2"/>
        <v>1.6422233432759319E-3</v>
      </c>
      <c r="F30" s="4">
        <f t="shared" si="1"/>
        <v>741.16750678101414</v>
      </c>
    </row>
    <row r="31" spans="1:7">
      <c r="A31" s="7">
        <v>42977</v>
      </c>
      <c r="B31" s="1">
        <v>0.33333333333333331</v>
      </c>
      <c r="C31" s="14">
        <v>9439.9</v>
      </c>
      <c r="D31" s="14">
        <v>9.6999999999999993</v>
      </c>
      <c r="E31" s="3">
        <f t="shared" si="2"/>
        <v>8.0242535211204162E-4</v>
      </c>
      <c r="F31" s="4">
        <f t="shared" si="1"/>
        <v>741.08184738591547</v>
      </c>
    </row>
    <row r="32" spans="1:7">
      <c r="A32" s="7">
        <v>42988</v>
      </c>
      <c r="B32" s="1">
        <v>0.33333333333333331</v>
      </c>
      <c r="C32" s="14">
        <v>9421.7000000000007</v>
      </c>
      <c r="D32" s="14">
        <v>10.5</v>
      </c>
      <c r="E32" s="3">
        <f t="shared" si="2"/>
        <v>2.5770719796669884E-3</v>
      </c>
      <c r="F32" s="4">
        <f t="shared" si="1"/>
        <v>741.26286134192605</v>
      </c>
    </row>
    <row r="33" spans="1:6">
      <c r="A33" s="7">
        <v>42998</v>
      </c>
      <c r="B33" s="1">
        <v>0.33333333333333331</v>
      </c>
      <c r="C33" s="14">
        <v>9446.2000000000007</v>
      </c>
      <c r="D33" s="14">
        <v>9.8000000000000007</v>
      </c>
      <c r="E33" s="3">
        <f t="shared" si="2"/>
        <v>4.9904699139665352E-4</v>
      </c>
      <c r="F33" s="4">
        <f t="shared" si="1"/>
        <v>741.05090279312242</v>
      </c>
    </row>
    <row r="34" spans="1:6">
      <c r="A34" s="7">
        <v>43008</v>
      </c>
      <c r="B34" s="1">
        <v>0.33333333333333331</v>
      </c>
      <c r="C34" s="14">
        <v>9445.6</v>
      </c>
      <c r="D34" s="14">
        <v>9.8000000000000007</v>
      </c>
      <c r="E34" s="3">
        <f t="shared" si="2"/>
        <v>5.357900990770794E-4</v>
      </c>
      <c r="F34" s="4">
        <f t="shared" si="1"/>
        <v>741.05465059010589</v>
      </c>
    </row>
    <row r="35" spans="1:6">
      <c r="A35" s="7">
        <v>43018</v>
      </c>
      <c r="B35" s="1">
        <v>0.33333333333333331</v>
      </c>
      <c r="C35" s="14">
        <v>9435.7999999999993</v>
      </c>
      <c r="D35" s="14">
        <v>9.9</v>
      </c>
      <c r="E35" s="3">
        <f t="shared" si="2"/>
        <v>1.2184689751743565E-3</v>
      </c>
      <c r="F35" s="4">
        <f t="shared" si="1"/>
        <v>741.12428383546774</v>
      </c>
    </row>
    <row r="36" spans="1:6">
      <c r="A36" s="7">
        <v>43230</v>
      </c>
      <c r="B36" s="1">
        <v>0.33333333333333331</v>
      </c>
      <c r="C36" s="14">
        <v>9463.2999999999993</v>
      </c>
      <c r="D36" s="14">
        <v>11.3</v>
      </c>
      <c r="E36" s="3">
        <f t="shared" si="2"/>
        <v>6.8894774739513241E-4</v>
      </c>
      <c r="F36" s="4">
        <f t="shared" si="1"/>
        <v>741.07027267023432</v>
      </c>
    </row>
    <row r="37" spans="1:6">
      <c r="A37" s="7">
        <v>43240</v>
      </c>
      <c r="B37" s="1">
        <v>0.33333333333333331</v>
      </c>
      <c r="C37" s="14">
        <v>9453.7999999999993</v>
      </c>
      <c r="D37" s="14">
        <v>12.1</v>
      </c>
      <c r="E37" s="3">
        <f>($B$2*C37^2+$B$3*C37+$B$4)-$B$5*D37-$E$7</f>
        <v>1.9301476775168119E-3</v>
      </c>
      <c r="F37" s="4">
        <f t="shared" si="1"/>
        <v>741.19687506310675</v>
      </c>
    </row>
    <row r="38" spans="1:6">
      <c r="A38" s="7">
        <v>43250</v>
      </c>
      <c r="B38" s="1">
        <v>0.33333333333333331</v>
      </c>
      <c r="C38" s="14">
        <v>9450.2999999999993</v>
      </c>
      <c r="D38" s="14">
        <v>11.2</v>
      </c>
      <c r="E38" s="3">
        <f>($B$2*C38^2+$B$3*C38+$B$4)-$B$5*D38-$E$7</f>
        <v>1.4023526719406775E-3</v>
      </c>
      <c r="F38" s="4">
        <f t="shared" si="1"/>
        <v>741.14303997253796</v>
      </c>
    </row>
    <row r="39" spans="1:6">
      <c r="A39" s="7">
        <v>43261</v>
      </c>
      <c r="B39" s="1">
        <v>0.33333333333333331</v>
      </c>
      <c r="C39" s="14">
        <v>9464.7999999999993</v>
      </c>
      <c r="D39" s="14">
        <v>10.3</v>
      </c>
      <c r="E39" s="3">
        <f>($B$2*C39^2+$B$3*C39+$B$4)-$B$5*D39-$E$7</f>
        <v>-2.2741172934151281E-4</v>
      </c>
      <c r="F39" s="4">
        <f t="shared" si="1"/>
        <v>740.97680400360719</v>
      </c>
    </row>
    <row r="40" spans="1:6">
      <c r="A40" s="7">
        <v>43271</v>
      </c>
      <c r="B40" s="1">
        <v>0.33333333333333331</v>
      </c>
      <c r="C40" s="14">
        <v>9466.5</v>
      </c>
      <c r="D40" s="14">
        <v>11.1</v>
      </c>
      <c r="E40" s="3">
        <f>($B$2*C40^2+$B$3*C40+$B$4)-$B$5*D40-$E$7</f>
        <v>3.2817828868584274E-4</v>
      </c>
      <c r="F40" s="4">
        <f t="shared" si="1"/>
        <v>741.03347418544593</v>
      </c>
    </row>
    <row r="41" spans="1:6">
      <c r="A41" s="7">
        <v>43281</v>
      </c>
      <c r="B41" s="1">
        <v>0.33333333333333331</v>
      </c>
      <c r="C41" s="14">
        <v>9461.4</v>
      </c>
      <c r="D41" s="14">
        <v>11.3</v>
      </c>
      <c r="E41" s="3">
        <f>($B$2*C41^2+$B$3*C41+$B$4)-$B$5*D41-$E$7</f>
        <v>8.052477767768098E-4</v>
      </c>
      <c r="F41" s="4">
        <f t="shared" si="1"/>
        <v>741.08213527323119</v>
      </c>
    </row>
    <row r="42" spans="1:6">
      <c r="A42" s="7">
        <v>43291</v>
      </c>
      <c r="B42" s="1">
        <v>0.33333333333333331</v>
      </c>
      <c r="C42" s="14">
        <v>9448</v>
      </c>
      <c r="D42" s="14">
        <v>11.1</v>
      </c>
      <c r="E42" s="3">
        <f t="shared" ref="E42:E45" si="3">($B$2*C42^2+$B$3*C42+$B$4)-$B$5*D42-$E$7</f>
        <v>1.4607337411462248E-3</v>
      </c>
      <c r="F42" s="4">
        <f t="shared" si="1"/>
        <v>741.14899484159696</v>
      </c>
    </row>
    <row r="43" spans="1:6">
      <c r="A43" s="7">
        <v>43301</v>
      </c>
      <c r="B43" s="1">
        <v>0.33333333333333331</v>
      </c>
      <c r="C43" s="14">
        <v>9464.7000000000007</v>
      </c>
      <c r="D43" s="14">
        <v>11.3</v>
      </c>
      <c r="E43" s="3">
        <f t="shared" si="3"/>
        <v>6.0325691674866476E-4</v>
      </c>
      <c r="F43" s="4">
        <f t="shared" si="1"/>
        <v>741.06153220550834</v>
      </c>
    </row>
    <row r="44" spans="1:6">
      <c r="A44" s="7">
        <v>43311</v>
      </c>
      <c r="B44" s="1">
        <v>0.33333333333333331</v>
      </c>
      <c r="C44" s="14">
        <v>9452</v>
      </c>
      <c r="D44" s="14">
        <v>11</v>
      </c>
      <c r="E44" s="3">
        <f t="shared" si="3"/>
        <v>1.1333527759462263E-3</v>
      </c>
      <c r="F44" s="4">
        <f t="shared" si="1"/>
        <v>741.11560198314646</v>
      </c>
    </row>
    <row r="45" spans="1:6">
      <c r="A45" s="7">
        <v>43322</v>
      </c>
      <c r="B45" s="1">
        <v>0.33333333333333331</v>
      </c>
      <c r="C45" s="14">
        <v>9447.2999999999993</v>
      </c>
      <c r="D45" s="14">
        <v>11</v>
      </c>
      <c r="E45" s="3">
        <f t="shared" si="3"/>
        <v>1.4211438171582418E-3</v>
      </c>
      <c r="F45" s="4">
        <f t="shared" si="1"/>
        <v>741.14495666935011</v>
      </c>
    </row>
    <row r="46" spans="1:6">
      <c r="A46" s="7">
        <v>43332</v>
      </c>
      <c r="B46" s="1">
        <v>0.33333333333333331</v>
      </c>
      <c r="C46" s="14">
        <v>9452.9</v>
      </c>
      <c r="D46" s="14">
        <v>10.8</v>
      </c>
      <c r="E46" s="3">
        <f t="shared" ref="E46:E63" si="4">($B$2*C46^2+$B$3*C46+$B$4)-$B$5*D46-$E$7</f>
        <v>9.133385380832703E-4</v>
      </c>
      <c r="F46" s="4">
        <f t="shared" ref="F46:F63" si="5">$D$1+102*E46</f>
        <v>741.09316053088446</v>
      </c>
    </row>
    <row r="47" spans="1:6">
      <c r="A47" s="7">
        <v>43342</v>
      </c>
      <c r="B47" s="1">
        <v>0.33333333333333331</v>
      </c>
      <c r="C47" s="14">
        <v>9453</v>
      </c>
      <c r="D47" s="14">
        <v>10.7</v>
      </c>
      <c r="E47" s="3">
        <f t="shared" si="4"/>
        <v>8.2476108556117818E-4</v>
      </c>
      <c r="F47" s="4">
        <f t="shared" si="5"/>
        <v>741.08412563072727</v>
      </c>
    </row>
    <row r="48" spans="1:6">
      <c r="A48" s="7">
        <v>43353</v>
      </c>
      <c r="B48" s="1">
        <v>0.33333333333333331</v>
      </c>
      <c r="C48" s="14">
        <v>9453.7000000000007</v>
      </c>
      <c r="D48" s="14">
        <v>11.3</v>
      </c>
      <c r="E48" s="3">
        <f t="shared" si="4"/>
        <v>1.2766317940093776E-3</v>
      </c>
      <c r="F48" s="4">
        <f t="shared" si="5"/>
        <v>741.13021644298897</v>
      </c>
    </row>
    <row r="49" spans="1:6">
      <c r="A49" s="7">
        <v>43363</v>
      </c>
      <c r="B49" s="1">
        <v>0.33333333333333331</v>
      </c>
      <c r="C49" s="14">
        <v>9434.6</v>
      </c>
      <c r="D49" s="14">
        <v>10.5</v>
      </c>
      <c r="E49" s="3">
        <f t="shared" si="4"/>
        <v>1.7867058232344125E-3</v>
      </c>
      <c r="F49" s="4">
        <f t="shared" si="5"/>
        <v>741.18224399396991</v>
      </c>
    </row>
    <row r="50" spans="1:6">
      <c r="A50" s="7">
        <v>43373</v>
      </c>
      <c r="B50" s="1">
        <v>0.33333333333333331</v>
      </c>
      <c r="C50" s="14">
        <v>9447.6</v>
      </c>
      <c r="D50" s="14">
        <v>10.199999999999999</v>
      </c>
      <c r="E50" s="3">
        <f t="shared" si="4"/>
        <v>7.4313465398822241E-4</v>
      </c>
      <c r="F50" s="4">
        <f t="shared" si="5"/>
        <v>741.07579973470683</v>
      </c>
    </row>
    <row r="51" spans="1:6">
      <c r="A51" s="7">
        <v>43383</v>
      </c>
      <c r="B51" s="1">
        <v>0.33333333333333331</v>
      </c>
      <c r="C51" s="14">
        <v>9448.7000000000007</v>
      </c>
      <c r="D51" s="14">
        <v>10</v>
      </c>
      <c r="E51" s="3">
        <f t="shared" si="4"/>
        <v>5.1086689831339981E-4</v>
      </c>
      <c r="F51" s="4">
        <f t="shared" si="5"/>
        <v>741.05210842362794</v>
      </c>
    </row>
    <row r="52" spans="1:6">
      <c r="A52" s="7">
        <v>43393</v>
      </c>
      <c r="B52" s="1">
        <v>0.33333333333333331</v>
      </c>
      <c r="C52" s="14">
        <v>9449.2000000000007</v>
      </c>
      <c r="D52" s="14">
        <v>10</v>
      </c>
      <c r="E52" s="3">
        <f t="shared" si="4"/>
        <v>4.8025023497136853E-4</v>
      </c>
      <c r="F52" s="4">
        <f t="shared" si="5"/>
        <v>741.04898552396708</v>
      </c>
    </row>
    <row r="53" spans="1:6">
      <c r="A53" s="32">
        <v>43605</v>
      </c>
      <c r="B53" s="1">
        <v>0.33333333333333331</v>
      </c>
      <c r="C53" s="14">
        <v>9467.2000000000007</v>
      </c>
      <c r="D53" s="14">
        <v>9.5</v>
      </c>
      <c r="E53" s="3">
        <f t="shared" si="4"/>
        <v>-1.0339405344071718E-3</v>
      </c>
      <c r="F53" s="4">
        <f t="shared" si="5"/>
        <v>740.89453806549045</v>
      </c>
    </row>
    <row r="54" spans="1:6">
      <c r="A54" s="32">
        <v>43615</v>
      </c>
      <c r="B54" s="1">
        <v>0.33333333333333331</v>
      </c>
      <c r="C54" s="14">
        <v>9469.2999999999993</v>
      </c>
      <c r="D54" s="14">
        <v>9.6999999999999993</v>
      </c>
      <c r="E54" s="3">
        <f t="shared" si="4"/>
        <v>-9.9755200461006457E-4</v>
      </c>
      <c r="F54" s="4">
        <f t="shared" si="5"/>
        <v>740.89824969552978</v>
      </c>
    </row>
    <row r="55" spans="1:6">
      <c r="A55" s="32">
        <v>43626</v>
      </c>
      <c r="B55" s="1">
        <v>0.33333333333333331</v>
      </c>
      <c r="C55" s="14">
        <v>9471.4</v>
      </c>
      <c r="D55" s="14">
        <v>9.6999999999999993</v>
      </c>
      <c r="E55" s="3">
        <f t="shared" si="4"/>
        <v>-1.1260655761991152E-3</v>
      </c>
      <c r="F55" s="4">
        <f t="shared" si="5"/>
        <v>740.8851413112277</v>
      </c>
    </row>
    <row r="56" spans="1:6">
      <c r="A56" s="32">
        <v>43636</v>
      </c>
      <c r="B56" s="1">
        <v>0.33333333333333331</v>
      </c>
      <c r="C56" s="14">
        <v>9472.7000000000007</v>
      </c>
      <c r="D56" s="14">
        <v>10.1</v>
      </c>
      <c r="E56" s="3">
        <f t="shared" si="4"/>
        <v>-8.7579863889773735E-4</v>
      </c>
      <c r="F56" s="4">
        <f t="shared" si="5"/>
        <v>740.9106685388324</v>
      </c>
    </row>
    <row r="57" spans="1:6">
      <c r="A57" s="7">
        <v>43646</v>
      </c>
      <c r="B57" s="1">
        <v>0.33333333333333331</v>
      </c>
      <c r="C57" s="14">
        <v>9465.2999999999993</v>
      </c>
      <c r="D57" s="14">
        <v>10</v>
      </c>
      <c r="E57" s="3">
        <f t="shared" si="4"/>
        <v>-5.0537910473721394E-4</v>
      </c>
      <c r="F57" s="4">
        <f t="shared" si="5"/>
        <v>740.94845133131685</v>
      </c>
    </row>
    <row r="58" spans="1:6">
      <c r="A58" s="7">
        <v>43656</v>
      </c>
      <c r="B58" s="1">
        <v>0.33333333333333331</v>
      </c>
      <c r="C58" s="14">
        <v>9448.2000000000007</v>
      </c>
      <c r="D58" s="14">
        <v>9.8000000000000007</v>
      </c>
      <c r="E58" s="3">
        <f t="shared" si="4"/>
        <v>3.7657438674706077E-4</v>
      </c>
      <c r="F58" s="4">
        <f t="shared" si="5"/>
        <v>741.0384105874482</v>
      </c>
    </row>
    <row r="59" spans="1:6">
      <c r="A59" s="7">
        <v>43666</v>
      </c>
      <c r="B59" s="1">
        <v>0.33333333333333331</v>
      </c>
      <c r="C59" s="14">
        <v>9442.1</v>
      </c>
      <c r="D59" s="14">
        <v>9.6999999999999993</v>
      </c>
      <c r="E59" s="3">
        <f t="shared" si="4"/>
        <v>6.6768229400514072E-4</v>
      </c>
      <c r="F59" s="4">
        <f t="shared" si="5"/>
        <v>741.06810359398855</v>
      </c>
    </row>
    <row r="60" spans="1:6">
      <c r="A60" s="7">
        <v>43676</v>
      </c>
      <c r="B60" s="1">
        <v>0.33333333333333331</v>
      </c>
      <c r="C60" s="14">
        <v>9426.2999999999993</v>
      </c>
      <c r="D60" s="14">
        <v>9.4</v>
      </c>
      <c r="E60" s="3">
        <f t="shared" si="4"/>
        <v>1.3882007259134344E-3</v>
      </c>
      <c r="F60" s="4">
        <f t="shared" si="5"/>
        <v>741.14159647404313</v>
      </c>
    </row>
    <row r="61" spans="1:6">
      <c r="A61" s="7">
        <v>43687</v>
      </c>
      <c r="B61" s="1">
        <v>0.33333333333333331</v>
      </c>
      <c r="C61" s="14">
        <v>9409.2000000000007</v>
      </c>
      <c r="D61" s="14">
        <v>9.4</v>
      </c>
      <c r="E61" s="3">
        <f t="shared" si="4"/>
        <v>2.43619779148334E-3</v>
      </c>
      <c r="F61" s="4">
        <f t="shared" si="5"/>
        <v>741.24849217473127</v>
      </c>
    </row>
    <row r="62" spans="1:6">
      <c r="A62" s="7">
        <v>43697</v>
      </c>
      <c r="B62" s="1">
        <v>0.33333333333333331</v>
      </c>
      <c r="C62" s="14">
        <v>9417.7999999999993</v>
      </c>
      <c r="D62" s="14">
        <v>9.1999999999999993</v>
      </c>
      <c r="E62" s="3">
        <f t="shared" si="4"/>
        <v>1.7441631914159889E-3</v>
      </c>
      <c r="F62" s="4">
        <f t="shared" si="5"/>
        <v>741.17790464552445</v>
      </c>
    </row>
    <row r="63" spans="1:6">
      <c r="A63" s="7">
        <v>43707</v>
      </c>
      <c r="B63" s="1">
        <v>0.33333333333333331</v>
      </c>
      <c r="C63" s="14">
        <v>9423.6</v>
      </c>
      <c r="D63" s="14">
        <v>9</v>
      </c>
      <c r="E63" s="3">
        <f t="shared" si="4"/>
        <v>1.2238216916779076E-3</v>
      </c>
      <c r="F63" s="4">
        <f t="shared" si="5"/>
        <v>741.12482981255118</v>
      </c>
    </row>
  </sheetData>
  <phoneticPr fontId="4" type="noConversion"/>
  <pageMargins left="0.69930555555555596" right="0.69930555555555596" top="0.75" bottom="0.75" header="0.3" footer="0.3"/>
  <pageSetup paperSize="9" orientation="portrait" verticalDpi="0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2"/>
  <sheetViews>
    <sheetView topLeftCell="A37" workbookViewId="0">
      <selection activeCell="A56" sqref="A56:B62"/>
    </sheetView>
  </sheetViews>
  <sheetFormatPr defaultColWidth="9" defaultRowHeight="13.5"/>
  <cols>
    <col min="1" max="1" width="10.875" customWidth="1"/>
    <col min="2" max="2" width="13.875" customWidth="1"/>
  </cols>
  <sheetData>
    <row r="1" spans="1:7">
      <c r="A1" t="s">
        <v>0</v>
      </c>
      <c r="B1">
        <v>50382</v>
      </c>
      <c r="C1" t="s">
        <v>1</v>
      </c>
      <c r="D1">
        <v>735</v>
      </c>
    </row>
    <row r="2" spans="1:7">
      <c r="A2" t="s">
        <v>2</v>
      </c>
      <c r="B2" s="10">
        <v>5.2061499999999996E-10</v>
      </c>
    </row>
    <row r="3" spans="1:7">
      <c r="A3" t="s">
        <v>3</v>
      </c>
      <c r="B3">
        <v>-7.0953999999999999E-5</v>
      </c>
    </row>
    <row r="4" spans="1:7">
      <c r="A4" t="s">
        <v>4</v>
      </c>
      <c r="B4">
        <v>0.54261300999999995</v>
      </c>
    </row>
    <row r="5" spans="1:7">
      <c r="A5" t="s">
        <v>5</v>
      </c>
      <c r="B5">
        <v>-8.6294200000000001E-4</v>
      </c>
    </row>
    <row r="6" spans="1:7">
      <c r="A6" t="s">
        <v>6</v>
      </c>
      <c r="B6" t="s">
        <v>7</v>
      </c>
      <c r="C6" t="s">
        <v>8</v>
      </c>
      <c r="D6" t="s">
        <v>9</v>
      </c>
      <c r="E6" t="s">
        <v>10</v>
      </c>
      <c r="F6" t="s">
        <v>11</v>
      </c>
      <c r="G6" t="s">
        <v>12</v>
      </c>
    </row>
    <row r="7" spans="1:7">
      <c r="A7" s="7">
        <v>42616</v>
      </c>
      <c r="B7" s="1">
        <v>0.64583333333333304</v>
      </c>
      <c r="C7" s="2">
        <v>8130</v>
      </c>
      <c r="D7" s="2">
        <v>16.600000000000001</v>
      </c>
      <c r="E7" s="3">
        <f>($B$2*C7^2+$B$3*C7+$B$4)-$B$5*D7</f>
        <v>1.4492864793499876E-2</v>
      </c>
      <c r="G7" t="s">
        <v>13</v>
      </c>
    </row>
    <row r="8" spans="1:7">
      <c r="A8" s="7">
        <v>42617</v>
      </c>
      <c r="B8" s="1">
        <v>0.75</v>
      </c>
      <c r="C8" s="2">
        <v>7288</v>
      </c>
      <c r="D8" s="2">
        <v>20.8</v>
      </c>
      <c r="E8" s="3">
        <f t="shared" ref="E8:E35" si="0">($B$2*C8^2+$B$3*C8+$B$4)-$B$5*D8-$E$7</f>
        <v>5.6609023377060107E-2</v>
      </c>
      <c r="F8" s="4">
        <f>$D$1+102*E8</f>
        <v>740.77412038446016</v>
      </c>
      <c r="G8" t="s">
        <v>14</v>
      </c>
    </row>
    <row r="9" spans="1:7">
      <c r="A9" s="7">
        <v>42618</v>
      </c>
      <c r="B9" s="1">
        <v>0.33333333333333298</v>
      </c>
      <c r="C9" s="2">
        <v>8072.3</v>
      </c>
      <c r="D9" s="2">
        <v>17.2</v>
      </c>
      <c r="E9" s="3">
        <f t="shared" si="0"/>
        <v>4.1251022440834482E-3</v>
      </c>
      <c r="F9" s="4">
        <f t="shared" ref="F9:F44" si="1">$D$1+102*E9</f>
        <v>735.42076042889653</v>
      </c>
    </row>
    <row r="10" spans="1:7">
      <c r="A10" s="7">
        <v>42619</v>
      </c>
      <c r="B10" s="1">
        <v>0.33333333333333298</v>
      </c>
      <c r="C10" s="2">
        <v>8081.8</v>
      </c>
      <c r="D10" s="2">
        <v>16.899999999999999</v>
      </c>
      <c r="E10" s="3">
        <f t="shared" si="0"/>
        <v>3.2720522784126949E-3</v>
      </c>
      <c r="F10" s="4">
        <f t="shared" si="1"/>
        <v>735.33374933239804</v>
      </c>
    </row>
    <row r="11" spans="1:7">
      <c r="A11" s="7">
        <v>42620</v>
      </c>
      <c r="B11" s="1">
        <v>0.33333333333333298</v>
      </c>
      <c r="C11" s="2">
        <v>8085.5</v>
      </c>
      <c r="D11" s="2">
        <v>16.7</v>
      </c>
      <c r="E11" s="3">
        <f t="shared" si="0"/>
        <v>2.8680767523038778E-3</v>
      </c>
      <c r="F11" s="4">
        <f t="shared" si="1"/>
        <v>735.29254382873501</v>
      </c>
    </row>
    <row r="12" spans="1:7">
      <c r="A12" s="7">
        <v>42621</v>
      </c>
      <c r="B12" s="1">
        <v>0.33333333333333298</v>
      </c>
      <c r="C12" s="2">
        <v>8081.9</v>
      </c>
      <c r="D12" s="2">
        <v>16.5</v>
      </c>
      <c r="E12" s="3">
        <f t="shared" si="0"/>
        <v>2.9206215848802137E-3</v>
      </c>
      <c r="F12" s="4">
        <f t="shared" si="1"/>
        <v>735.29790340165778</v>
      </c>
    </row>
    <row r="13" spans="1:7">
      <c r="A13" s="7">
        <v>42622</v>
      </c>
      <c r="B13" s="1">
        <v>0.33333333333333298</v>
      </c>
      <c r="C13" s="2">
        <v>8068.2</v>
      </c>
      <c r="D13" s="2">
        <v>16.399999999999999</v>
      </c>
      <c r="E13" s="3">
        <f t="shared" si="0"/>
        <v>3.6912077998126954E-3</v>
      </c>
      <c r="F13" s="4">
        <f t="shared" si="1"/>
        <v>735.37650319558088</v>
      </c>
    </row>
    <row r="14" spans="1:7">
      <c r="A14" s="7">
        <v>42623</v>
      </c>
      <c r="B14" s="1">
        <v>0.33333333333333331</v>
      </c>
      <c r="C14" s="2">
        <v>8059.6</v>
      </c>
      <c r="D14" s="2">
        <v>16.3</v>
      </c>
      <c r="E14" s="3">
        <f t="shared" si="0"/>
        <v>4.1429091782784842E-3</v>
      </c>
      <c r="F14" s="4">
        <f t="shared" si="1"/>
        <v>735.4225767361844</v>
      </c>
    </row>
    <row r="15" spans="1:7">
      <c r="A15" s="7">
        <v>42633</v>
      </c>
      <c r="B15" s="1">
        <v>0.33333333333333331</v>
      </c>
      <c r="C15" s="2">
        <v>7977.1</v>
      </c>
      <c r="D15" s="2">
        <v>14.3</v>
      </c>
      <c r="E15" s="3">
        <f t="shared" si="0"/>
        <v>7.5819420862122348E-3</v>
      </c>
      <c r="F15" s="4">
        <f t="shared" si="1"/>
        <v>735.77335809279361</v>
      </c>
    </row>
    <row r="16" spans="1:7">
      <c r="A16" s="7">
        <v>42643</v>
      </c>
      <c r="B16" s="1">
        <v>0.33333333333333331</v>
      </c>
      <c r="C16" s="2">
        <v>7779.2</v>
      </c>
      <c r="D16" s="2">
        <v>12.5</v>
      </c>
      <c r="E16" s="3">
        <f t="shared" si="0"/>
        <v>1.8447076090173674E-2</v>
      </c>
      <c r="F16" s="4">
        <f t="shared" si="1"/>
        <v>736.88160176119777</v>
      </c>
      <c r="G16" t="s">
        <v>61</v>
      </c>
    </row>
    <row r="17" spans="1:7">
      <c r="A17" s="27">
        <v>42653</v>
      </c>
      <c r="B17" s="28">
        <v>0.33333333333333331</v>
      </c>
      <c r="C17" s="2">
        <v>7811.9</v>
      </c>
      <c r="D17" s="2">
        <v>11.7</v>
      </c>
      <c r="E17" s="3">
        <f t="shared" si="0"/>
        <v>1.570195129939022E-2</v>
      </c>
      <c r="F17" s="4">
        <f t="shared" si="1"/>
        <v>736.60159903253782</v>
      </c>
    </row>
    <row r="18" spans="1:7">
      <c r="A18" s="7">
        <v>42855</v>
      </c>
      <c r="B18" s="1">
        <v>0.33333333333333331</v>
      </c>
      <c r="C18" s="2">
        <v>7692.1</v>
      </c>
      <c r="D18" s="2">
        <v>7.6</v>
      </c>
      <c r="E18" s="3">
        <f t="shared" si="0"/>
        <v>1.9697198827182204E-2</v>
      </c>
      <c r="F18" s="4">
        <f t="shared" si="1"/>
        <v>737.00911428037261</v>
      </c>
    </row>
    <row r="19" spans="1:7">
      <c r="A19" s="7">
        <v>42865</v>
      </c>
      <c r="B19" s="1">
        <v>0.33333333333333331</v>
      </c>
      <c r="C19" s="2">
        <v>7628.9</v>
      </c>
      <c r="D19" s="2">
        <v>5.0999999999999996</v>
      </c>
      <c r="E19" s="3">
        <f t="shared" si="0"/>
        <v>2.1520031786554254E-2</v>
      </c>
      <c r="F19" s="4">
        <f t="shared" si="1"/>
        <v>737.19504324222851</v>
      </c>
      <c r="G19" s="2"/>
    </row>
    <row r="20" spans="1:7">
      <c r="A20" s="7">
        <v>42875</v>
      </c>
      <c r="B20" s="1">
        <v>0.33333333333333331</v>
      </c>
      <c r="C20" s="2">
        <v>7712</v>
      </c>
      <c r="D20" s="2">
        <v>5.8</v>
      </c>
      <c r="E20" s="3">
        <f t="shared" si="0"/>
        <v>1.6891508777060048E-2</v>
      </c>
      <c r="F20" s="4">
        <f t="shared" si="1"/>
        <v>736.7229338952601</v>
      </c>
      <c r="G20" s="2"/>
    </row>
    <row r="21" spans="1:7">
      <c r="A21" s="7">
        <v>42885</v>
      </c>
      <c r="B21" s="1">
        <v>0.33333333333333331</v>
      </c>
      <c r="C21" s="2">
        <v>7735.1</v>
      </c>
      <c r="D21" s="2">
        <v>3.9</v>
      </c>
      <c r="E21" s="3">
        <f t="shared" si="0"/>
        <v>1.379865159148611E-2</v>
      </c>
      <c r="F21" s="4">
        <f t="shared" si="1"/>
        <v>736.40746246233164</v>
      </c>
      <c r="G21" s="2"/>
    </row>
    <row r="22" spans="1:7">
      <c r="A22" s="7">
        <v>42896</v>
      </c>
      <c r="B22" s="1">
        <v>0.33333333333333331</v>
      </c>
      <c r="C22" s="14">
        <v>7737.6</v>
      </c>
      <c r="D22" s="15">
        <v>4.5</v>
      </c>
      <c r="E22" s="3">
        <f t="shared" si="0"/>
        <v>1.4159170090762408E-2</v>
      </c>
      <c r="F22" s="4">
        <f t="shared" si="1"/>
        <v>736.44423534925772</v>
      </c>
    </row>
    <row r="23" spans="1:7">
      <c r="A23" s="6">
        <v>42906</v>
      </c>
      <c r="B23" s="1">
        <v>0.33333333333333331</v>
      </c>
      <c r="C23" s="14">
        <v>7747.4</v>
      </c>
      <c r="D23" s="14">
        <v>5.4</v>
      </c>
      <c r="E23" s="3">
        <f t="shared" si="0"/>
        <v>1.431947357885747E-2</v>
      </c>
      <c r="F23" s="4">
        <f t="shared" si="1"/>
        <v>736.46058630504342</v>
      </c>
    </row>
    <row r="24" spans="1:7">
      <c r="A24" s="6">
        <v>42916</v>
      </c>
      <c r="B24" s="1">
        <v>0.33333333333333331</v>
      </c>
      <c r="C24" s="14">
        <v>7754</v>
      </c>
      <c r="D24" s="14">
        <v>6.7</v>
      </c>
      <c r="E24" s="3">
        <f t="shared" si="0"/>
        <v>1.5026265503840059E-2</v>
      </c>
      <c r="F24" s="4">
        <f t="shared" si="1"/>
        <v>736.53267908139173</v>
      </c>
    </row>
    <row r="25" spans="1:7">
      <c r="A25" s="7">
        <v>42926</v>
      </c>
      <c r="B25" s="9">
        <v>0.33333333333333331</v>
      </c>
      <c r="C25" s="14">
        <v>7778.4</v>
      </c>
      <c r="D25" s="14">
        <v>6.4</v>
      </c>
      <c r="E25" s="3">
        <f t="shared" si="0"/>
        <v>1.3233413474234462E-2</v>
      </c>
      <c r="F25" s="4">
        <f t="shared" si="1"/>
        <v>736.3498081743719</v>
      </c>
    </row>
    <row r="26" spans="1:7">
      <c r="A26" s="7">
        <v>42936</v>
      </c>
      <c r="B26" s="9">
        <v>0.33333333333333331</v>
      </c>
      <c r="C26" s="14">
        <v>7778</v>
      </c>
      <c r="D26" s="14">
        <v>6.9</v>
      </c>
      <c r="E26" s="3">
        <f t="shared" si="0"/>
        <v>1.3690026516160069E-2</v>
      </c>
      <c r="F26" s="4">
        <f t="shared" si="1"/>
        <v>736.39638270464832</v>
      </c>
    </row>
    <row r="27" spans="1:7">
      <c r="A27" s="7">
        <v>42946</v>
      </c>
      <c r="B27" s="9">
        <v>0.33333333333333331</v>
      </c>
      <c r="C27" s="14">
        <v>7795.4</v>
      </c>
      <c r="D27" s="14">
        <v>7.7</v>
      </c>
      <c r="E27" s="3">
        <f t="shared" si="0"/>
        <v>1.3286855290313497E-2</v>
      </c>
      <c r="F27" s="4">
        <f t="shared" si="1"/>
        <v>736.355259239612</v>
      </c>
    </row>
    <row r="28" spans="1:7">
      <c r="A28" s="7">
        <v>42957</v>
      </c>
      <c r="B28" s="9">
        <v>0.33333333333333331</v>
      </c>
      <c r="C28" s="14">
        <v>7792</v>
      </c>
      <c r="D28" s="14">
        <v>7.3</v>
      </c>
      <c r="E28" s="3">
        <f t="shared" si="0"/>
        <v>1.3155330973860043E-2</v>
      </c>
      <c r="F28" s="4">
        <f t="shared" si="1"/>
        <v>736.34184375933376</v>
      </c>
    </row>
    <row r="29" spans="1:7">
      <c r="A29" s="7">
        <v>42967</v>
      </c>
      <c r="B29" s="1">
        <v>0.33333333333333331</v>
      </c>
      <c r="C29" s="14">
        <v>7784.2</v>
      </c>
      <c r="D29" s="14">
        <v>7.8</v>
      </c>
      <c r="E29" s="3">
        <f t="shared" si="0"/>
        <v>1.4076991387628702E-2</v>
      </c>
      <c r="F29" s="4">
        <f t="shared" si="1"/>
        <v>736.43585312153812</v>
      </c>
    </row>
    <row r="30" spans="1:7">
      <c r="A30" s="7">
        <v>42977</v>
      </c>
      <c r="B30" s="1">
        <v>0.33333333333333331</v>
      </c>
      <c r="C30" s="14">
        <v>7798.8</v>
      </c>
      <c r="D30" s="14">
        <v>8.3000000000000007</v>
      </c>
      <c r="E30" s="3">
        <f t="shared" si="0"/>
        <v>1.3590980043385657E-2</v>
      </c>
      <c r="F30" s="4">
        <f t="shared" si="1"/>
        <v>736.38627996442528</v>
      </c>
    </row>
    <row r="31" spans="1:7">
      <c r="A31" s="7">
        <v>42988</v>
      </c>
      <c r="B31" s="1">
        <v>0.33333333333333331</v>
      </c>
      <c r="C31" s="14">
        <v>7794.4</v>
      </c>
      <c r="D31" s="14">
        <v>9</v>
      </c>
      <c r="E31" s="3">
        <f t="shared" si="0"/>
        <v>1.4471517606586522E-2</v>
      </c>
      <c r="F31" s="4">
        <f t="shared" si="1"/>
        <v>736.47609479587186</v>
      </c>
    </row>
    <row r="32" spans="1:7">
      <c r="A32" s="7">
        <v>42998</v>
      </c>
      <c r="B32" s="1">
        <v>0.33333333333333331</v>
      </c>
      <c r="C32" s="14">
        <v>7816.3</v>
      </c>
      <c r="D32" s="14">
        <v>9.1</v>
      </c>
      <c r="E32" s="3">
        <f t="shared" si="0"/>
        <v>1.3181904110899449E-2</v>
      </c>
      <c r="F32" s="4">
        <f t="shared" si="1"/>
        <v>736.3445542193117</v>
      </c>
    </row>
    <row r="33" spans="1:6">
      <c r="A33" s="7">
        <v>43008</v>
      </c>
      <c r="B33" s="1">
        <v>0.33333333333333331</v>
      </c>
      <c r="C33" s="14">
        <v>7817.9</v>
      </c>
      <c r="D33" s="14">
        <v>9.3000000000000007</v>
      </c>
      <c r="E33" s="3">
        <f t="shared" si="0"/>
        <v>1.3253989149352238E-2</v>
      </c>
      <c r="F33" s="4">
        <f t="shared" si="1"/>
        <v>736.35190689323395</v>
      </c>
    </row>
    <row r="34" spans="1:6">
      <c r="A34" s="7">
        <v>43018</v>
      </c>
      <c r="B34" s="1">
        <v>0.33333333333333331</v>
      </c>
      <c r="C34" s="14">
        <v>7814</v>
      </c>
      <c r="D34" s="14">
        <v>9.5</v>
      </c>
      <c r="E34" s="3">
        <f t="shared" si="0"/>
        <v>1.3671559163040038E-2</v>
      </c>
      <c r="F34" s="4">
        <f t="shared" si="1"/>
        <v>736.39449903463003</v>
      </c>
    </row>
    <row r="35" spans="1:6">
      <c r="A35" s="7">
        <v>43230</v>
      </c>
      <c r="B35" s="1">
        <v>0.33333333333333331</v>
      </c>
      <c r="C35" s="14">
        <v>7817.1</v>
      </c>
      <c r="D35" s="14">
        <v>9.1999999999999993</v>
      </c>
      <c r="E35" s="3">
        <f t="shared" si="0"/>
        <v>1.3217946296932204E-2</v>
      </c>
      <c r="F35" s="4">
        <f t="shared" si="1"/>
        <v>736.34823052228705</v>
      </c>
    </row>
    <row r="36" spans="1:6">
      <c r="A36" s="7">
        <v>43240</v>
      </c>
      <c r="B36" s="1">
        <v>0.33333333333333331</v>
      </c>
      <c r="C36" s="14">
        <v>7813.8</v>
      </c>
      <c r="D36" s="14">
        <v>9.6</v>
      </c>
      <c r="E36" s="3">
        <f t="shared" ref="E36:E44" si="2">($B$2*C36^2+$B$3*C36+$B$4)-$B$5*D36-$E$7</f>
        <v>1.3770416949620676E-2</v>
      </c>
      <c r="F36" s="4">
        <f t="shared" si="1"/>
        <v>736.40458252886128</v>
      </c>
    </row>
    <row r="37" spans="1:6">
      <c r="A37" s="7">
        <v>43250</v>
      </c>
      <c r="B37" s="1">
        <v>0.33333333333333331</v>
      </c>
      <c r="C37" s="14">
        <v>7796.5</v>
      </c>
      <c r="D37" s="14">
        <v>8.8000000000000007</v>
      </c>
      <c r="E37" s="3">
        <f t="shared" si="2"/>
        <v>1.4166971205033888E-2</v>
      </c>
      <c r="F37" s="4">
        <f t="shared" si="1"/>
        <v>736.44503106291347</v>
      </c>
    </row>
    <row r="38" spans="1:6">
      <c r="A38" s="7">
        <v>43261</v>
      </c>
      <c r="B38" s="1">
        <v>0.33333333333333331</v>
      </c>
      <c r="C38" s="14">
        <v>7727.1</v>
      </c>
      <c r="D38" s="14">
        <v>7.6</v>
      </c>
      <c r="E38" s="3">
        <f t="shared" si="2"/>
        <v>1.7494770165462269E-2</v>
      </c>
      <c r="F38" s="4">
        <f t="shared" si="1"/>
        <v>736.78446655687719</v>
      </c>
    </row>
    <row r="39" spans="1:6">
      <c r="A39" s="7">
        <v>43271</v>
      </c>
      <c r="B39" s="1">
        <v>0.33333333333333331</v>
      </c>
      <c r="C39" s="14">
        <v>7565.1</v>
      </c>
      <c r="D39" s="14">
        <v>8.5</v>
      </c>
      <c r="E39" s="3">
        <f t="shared" si="2"/>
        <v>2.8476227475576196E-2</v>
      </c>
      <c r="F39" s="4">
        <f t="shared" si="1"/>
        <v>737.90457520250879</v>
      </c>
    </row>
    <row r="40" spans="1:6">
      <c r="A40" s="7">
        <v>43281</v>
      </c>
      <c r="B40" s="1">
        <v>0.33333333333333331</v>
      </c>
      <c r="C40" s="14">
        <v>7601.8</v>
      </c>
      <c r="D40" s="14">
        <v>8.6</v>
      </c>
      <c r="E40" s="3">
        <f t="shared" si="2"/>
        <v>2.6248297319692734E-2</v>
      </c>
      <c r="F40" s="4">
        <f t="shared" si="1"/>
        <v>737.67732632660864</v>
      </c>
    </row>
    <row r="41" spans="1:6">
      <c r="A41" s="7">
        <v>43291</v>
      </c>
      <c r="B41" s="1">
        <v>0.33333333333333331</v>
      </c>
      <c r="C41" s="14">
        <v>7668.9</v>
      </c>
      <c r="D41" s="14">
        <v>8.3000000000000007</v>
      </c>
      <c r="E41" s="3">
        <f t="shared" si="2"/>
        <v>2.1761856752434243E-2</v>
      </c>
      <c r="F41" s="4">
        <f t="shared" si="1"/>
        <v>737.21970938874824</v>
      </c>
    </row>
    <row r="42" spans="1:6">
      <c r="A42" s="7">
        <v>43301</v>
      </c>
      <c r="B42" s="1">
        <v>0.33333333333333331</v>
      </c>
      <c r="C42" s="14">
        <v>7730.6</v>
      </c>
      <c r="D42" s="14">
        <v>8.6999999999999993</v>
      </c>
      <c r="E42" s="3">
        <f t="shared" si="2"/>
        <v>1.8223833652161382E-2</v>
      </c>
      <c r="F42" s="4">
        <f t="shared" si="1"/>
        <v>736.85883103252047</v>
      </c>
    </row>
    <row r="43" spans="1:6">
      <c r="A43" s="7">
        <v>43311</v>
      </c>
      <c r="B43" s="1">
        <v>0.33333333333333331</v>
      </c>
      <c r="C43" s="14">
        <v>7732.5</v>
      </c>
      <c r="D43" s="14">
        <v>8.5</v>
      </c>
      <c r="E43" s="3">
        <f t="shared" si="2"/>
        <v>1.793172826359378E-2</v>
      </c>
      <c r="F43" s="4">
        <f t="shared" si="1"/>
        <v>736.82903628288659</v>
      </c>
    </row>
    <row r="44" spans="1:6">
      <c r="A44" s="7">
        <v>43322</v>
      </c>
      <c r="B44" s="1">
        <v>0.33333333333333331</v>
      </c>
      <c r="C44" s="14">
        <v>7691.3</v>
      </c>
      <c r="D44" s="14">
        <v>8.5</v>
      </c>
      <c r="E44" s="3">
        <f t="shared" si="2"/>
        <v>2.0524202764149443E-2</v>
      </c>
      <c r="F44" s="4">
        <f t="shared" si="1"/>
        <v>737.09346868194325</v>
      </c>
    </row>
    <row r="45" spans="1:6">
      <c r="A45" s="7">
        <v>43332</v>
      </c>
      <c r="B45" s="1">
        <v>0.33333333333333331</v>
      </c>
      <c r="C45" s="14">
        <v>7724.5</v>
      </c>
      <c r="D45" s="14">
        <v>8.4</v>
      </c>
      <c r="E45" s="3">
        <f t="shared" ref="E45:E62" si="3">($B$2*C45^2+$B$3*C45+$B$4)-$B$5*D45-$E$7</f>
        <v>1.8348688895153779E-2</v>
      </c>
      <c r="F45" s="4">
        <f t="shared" ref="F45:F62" si="4">$D$1+102*E45</f>
        <v>736.87156626730564</v>
      </c>
    </row>
    <row r="46" spans="1:6">
      <c r="A46" s="7">
        <v>43342</v>
      </c>
      <c r="B46" s="1">
        <v>0.33333333333333331</v>
      </c>
      <c r="C46" s="14">
        <v>7700.3</v>
      </c>
      <c r="D46" s="14">
        <v>8.6999999999999993</v>
      </c>
      <c r="E46" s="3">
        <f t="shared" si="3"/>
        <v>2.0130323044655431E-2</v>
      </c>
      <c r="F46" s="4">
        <f t="shared" si="4"/>
        <v>737.05329295055481</v>
      </c>
    </row>
    <row r="47" spans="1:6">
      <c r="A47" s="7">
        <v>43353</v>
      </c>
      <c r="B47" s="1">
        <v>0.33333333333333331</v>
      </c>
      <c r="C47" s="14">
        <v>7531.2</v>
      </c>
      <c r="D47" s="14">
        <v>9</v>
      </c>
      <c r="E47" s="3">
        <f t="shared" si="3"/>
        <v>3.1046606763965673E-2</v>
      </c>
      <c r="F47" s="4">
        <f t="shared" si="4"/>
        <v>738.16675388992451</v>
      </c>
    </row>
    <row r="48" spans="1:6">
      <c r="A48" s="7">
        <v>43363</v>
      </c>
      <c r="B48" s="1">
        <v>0.33333333333333331</v>
      </c>
      <c r="C48" s="14">
        <v>7661.4</v>
      </c>
      <c r="D48" s="14">
        <v>8.1999999999999993</v>
      </c>
      <c r="E48" s="3">
        <f t="shared" si="3"/>
        <v>2.2147858671425491E-2</v>
      </c>
      <c r="F48" s="4">
        <f t="shared" si="4"/>
        <v>737.25908158448544</v>
      </c>
    </row>
    <row r="49" spans="1:6">
      <c r="A49" s="7">
        <v>43373</v>
      </c>
      <c r="B49" s="1">
        <v>0.33333333333333331</v>
      </c>
      <c r="C49" s="14">
        <v>7681.2</v>
      </c>
      <c r="D49" s="14">
        <v>8.3000000000000007</v>
      </c>
      <c r="E49" s="3">
        <f t="shared" si="3"/>
        <v>2.0987417907865728E-2</v>
      </c>
      <c r="F49" s="4">
        <f t="shared" si="4"/>
        <v>737.14071662660228</v>
      </c>
    </row>
    <row r="50" spans="1:6">
      <c r="A50" s="7">
        <v>43383</v>
      </c>
      <c r="B50" s="1">
        <v>0.33333333333333331</v>
      </c>
      <c r="C50" s="14">
        <v>7682.7</v>
      </c>
      <c r="D50" s="14">
        <v>8.1999999999999993</v>
      </c>
      <c r="E50" s="3">
        <f t="shared" si="3"/>
        <v>2.0806690723063459E-2</v>
      </c>
      <c r="F50" s="4">
        <f t="shared" si="4"/>
        <v>737.12228245375252</v>
      </c>
    </row>
    <row r="51" spans="1:6">
      <c r="A51" s="7">
        <v>43393</v>
      </c>
      <c r="B51" s="1">
        <v>0.33333333333333331</v>
      </c>
      <c r="C51" s="14">
        <v>7683.4</v>
      </c>
      <c r="D51" s="14">
        <v>8</v>
      </c>
      <c r="E51" s="3">
        <f t="shared" si="3"/>
        <v>2.0590034398569497E-2</v>
      </c>
      <c r="F51" s="4">
        <f t="shared" si="4"/>
        <v>737.10018350865414</v>
      </c>
    </row>
    <row r="52" spans="1:6">
      <c r="A52" s="32">
        <v>43605</v>
      </c>
      <c r="B52" s="1">
        <v>0.33333333333333331</v>
      </c>
      <c r="C52" s="14">
        <v>7697.4</v>
      </c>
      <c r="D52" s="14">
        <v>7.7</v>
      </c>
      <c r="E52" s="3">
        <f t="shared" si="3"/>
        <v>1.944990045125751E-2</v>
      </c>
      <c r="F52" s="4">
        <f t="shared" si="4"/>
        <v>736.98388984602832</v>
      </c>
    </row>
    <row r="53" spans="1:6">
      <c r="A53" s="32">
        <v>43615</v>
      </c>
      <c r="B53" s="1">
        <v>0.33333333333333331</v>
      </c>
      <c r="C53" s="14">
        <v>7699.3</v>
      </c>
      <c r="D53" s="14">
        <v>7.8</v>
      </c>
      <c r="E53" s="3">
        <f t="shared" si="3"/>
        <v>1.9416611981901435E-2</v>
      </c>
      <c r="F53" s="4">
        <f t="shared" si="4"/>
        <v>736.98049442215392</v>
      </c>
    </row>
    <row r="54" spans="1:6">
      <c r="A54" s="32">
        <v>43626</v>
      </c>
      <c r="B54" s="1">
        <v>0.33333333333333331</v>
      </c>
      <c r="C54" s="14">
        <v>7702.6</v>
      </c>
      <c r="D54" s="14">
        <v>7.8</v>
      </c>
      <c r="E54" s="3">
        <f t="shared" si="3"/>
        <v>1.9208924700457389E-2</v>
      </c>
      <c r="F54" s="4">
        <f t="shared" si="4"/>
        <v>736.95931031944667</v>
      </c>
    </row>
    <row r="55" spans="1:6">
      <c r="A55" s="32">
        <v>43636</v>
      </c>
      <c r="B55" s="1">
        <v>0.33333333333333331</v>
      </c>
      <c r="C55" s="14">
        <v>7705.3</v>
      </c>
      <c r="D55" s="14">
        <v>8.1</v>
      </c>
      <c r="E55" s="3">
        <f t="shared" si="3"/>
        <v>1.929788977687541E-2</v>
      </c>
      <c r="F55" s="4">
        <f t="shared" si="4"/>
        <v>736.96838475724132</v>
      </c>
    </row>
    <row r="56" spans="1:6">
      <c r="A56" s="7">
        <v>43646</v>
      </c>
      <c r="B56" s="1">
        <v>0.33333333333333331</v>
      </c>
      <c r="C56" s="14">
        <v>7683.1</v>
      </c>
      <c r="D56" s="14">
        <v>8</v>
      </c>
      <c r="E56" s="3">
        <f t="shared" si="3"/>
        <v>2.0608920589450248E-2</v>
      </c>
      <c r="F56" s="4">
        <f t="shared" si="4"/>
        <v>737.10210990012388</v>
      </c>
    </row>
    <row r="57" spans="1:6">
      <c r="A57" s="7">
        <v>43656</v>
      </c>
      <c r="B57" s="1">
        <v>0.33333333333333331</v>
      </c>
      <c r="C57" s="14">
        <v>7652.3</v>
      </c>
      <c r="D57" s="14">
        <v>8</v>
      </c>
      <c r="E57" s="3">
        <f t="shared" si="3"/>
        <v>2.2548401539903402E-2</v>
      </c>
      <c r="F57" s="4">
        <f t="shared" si="4"/>
        <v>737.29993695707014</v>
      </c>
    </row>
    <row r="58" spans="1:6">
      <c r="A58" s="7">
        <v>43666</v>
      </c>
      <c r="B58" s="1">
        <v>0.33333333333333331</v>
      </c>
      <c r="C58" s="14">
        <v>7617.1</v>
      </c>
      <c r="D58" s="14">
        <v>7.9</v>
      </c>
      <c r="E58" s="3">
        <f t="shared" si="3"/>
        <v>2.4679866490332276E-2</v>
      </c>
      <c r="F58" s="4">
        <f t="shared" si="4"/>
        <v>737.5173463820139</v>
      </c>
    </row>
    <row r="59" spans="1:6">
      <c r="A59" s="7">
        <v>43676</v>
      </c>
      <c r="B59" s="1">
        <v>0.33333333333333331</v>
      </c>
      <c r="C59" s="14">
        <v>7605.3</v>
      </c>
      <c r="D59" s="14">
        <v>7.9</v>
      </c>
      <c r="E59" s="3">
        <f t="shared" si="3"/>
        <v>2.5423608574975394E-2</v>
      </c>
      <c r="F59" s="4">
        <f t="shared" si="4"/>
        <v>737.59320807464746</v>
      </c>
    </row>
    <row r="60" spans="1:6">
      <c r="A60" s="7">
        <v>43687</v>
      </c>
      <c r="B60" s="1">
        <v>0.33333333333333331</v>
      </c>
      <c r="C60" s="14">
        <v>7591.4</v>
      </c>
      <c r="D60" s="14">
        <v>7.8</v>
      </c>
      <c r="E60" s="3">
        <f t="shared" si="3"/>
        <v>2.6213603318385473E-2</v>
      </c>
      <c r="F60" s="4">
        <f t="shared" si="4"/>
        <v>737.67378753847527</v>
      </c>
    </row>
    <row r="61" spans="1:6">
      <c r="A61" s="7">
        <v>43697</v>
      </c>
      <c r="B61" s="1">
        <v>0.33333333333333331</v>
      </c>
      <c r="C61" s="14">
        <v>7586.2</v>
      </c>
      <c r="D61" s="14">
        <v>7.8</v>
      </c>
      <c r="E61" s="3">
        <f t="shared" si="3"/>
        <v>2.6541475350020674E-2</v>
      </c>
      <c r="F61" s="4">
        <f t="shared" si="4"/>
        <v>737.7072304857021</v>
      </c>
    </row>
    <row r="62" spans="1:6">
      <c r="A62" s="7">
        <v>43707</v>
      </c>
      <c r="B62" s="1">
        <v>0.33333333333333331</v>
      </c>
      <c r="C62" s="14">
        <v>7548.1</v>
      </c>
      <c r="D62" s="14">
        <v>7.6</v>
      </c>
      <c r="E62" s="3">
        <f t="shared" si="3"/>
        <v>2.8772038979070179E-2</v>
      </c>
      <c r="F62" s="4">
        <f t="shared" si="4"/>
        <v>737.93474797586521</v>
      </c>
    </row>
  </sheetData>
  <phoneticPr fontId="4" type="noConversion"/>
  <pageMargins left="0.69930555555555596" right="0.69930555555555596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3"/>
  <sheetViews>
    <sheetView topLeftCell="A43" workbookViewId="0">
      <selection activeCell="A57" sqref="A57:B63"/>
    </sheetView>
  </sheetViews>
  <sheetFormatPr defaultColWidth="9" defaultRowHeight="13.5"/>
  <cols>
    <col min="1" max="1" width="11.125" customWidth="1"/>
    <col min="2" max="2" width="13.875" customWidth="1"/>
  </cols>
  <sheetData>
    <row r="1" spans="1:7">
      <c r="A1" t="s">
        <v>0</v>
      </c>
      <c r="B1">
        <v>50387</v>
      </c>
      <c r="C1" t="s">
        <v>1</v>
      </c>
      <c r="D1">
        <v>738</v>
      </c>
    </row>
    <row r="2" spans="1:7">
      <c r="A2" t="s">
        <v>2</v>
      </c>
      <c r="B2" s="10">
        <v>4.6356800000000002E-10</v>
      </c>
    </row>
    <row r="3" spans="1:7">
      <c r="A3" t="s">
        <v>3</v>
      </c>
      <c r="B3">
        <v>-7.1367999999999998E-5</v>
      </c>
    </row>
    <row r="4" spans="1:7">
      <c r="A4" t="s">
        <v>4</v>
      </c>
      <c r="B4">
        <v>0.61803346000000003</v>
      </c>
    </row>
    <row r="5" spans="1:7">
      <c r="A5" t="s">
        <v>5</v>
      </c>
      <c r="B5">
        <v>-9.4335800000000004E-4</v>
      </c>
    </row>
    <row r="6" spans="1:7">
      <c r="A6" t="s">
        <v>6</v>
      </c>
      <c r="B6" t="s">
        <v>7</v>
      </c>
      <c r="C6" t="s">
        <v>8</v>
      </c>
      <c r="D6" t="s">
        <v>9</v>
      </c>
      <c r="E6" t="s">
        <v>10</v>
      </c>
      <c r="F6" t="s">
        <v>11</v>
      </c>
      <c r="G6" t="s">
        <v>12</v>
      </c>
    </row>
    <row r="7" spans="1:7">
      <c r="A7" s="7">
        <v>42616</v>
      </c>
      <c r="B7" s="1">
        <v>0.64583333333333304</v>
      </c>
      <c r="C7" s="2">
        <v>9223.4</v>
      </c>
      <c r="D7" s="2">
        <v>16.600000000000001</v>
      </c>
      <c r="E7" s="3">
        <f>($B$2*C7^2+$B$3*C7+$B$4)-$B$5*D7</f>
        <v>1.4873834789374166E-2</v>
      </c>
      <c r="G7" t="s">
        <v>13</v>
      </c>
    </row>
    <row r="8" spans="1:7">
      <c r="A8" s="7">
        <v>42616</v>
      </c>
      <c r="B8" s="1">
        <v>0.75</v>
      </c>
      <c r="C8" s="2">
        <v>8464.1</v>
      </c>
      <c r="D8" s="2">
        <v>19.7</v>
      </c>
      <c r="E8" s="3">
        <f t="shared" ref="E8:E15" si="0">($B$2*C8^2+$B$3*C8+$B$4)-$B$5*D8-$E$7</f>
        <v>5.0888358911299975E-2</v>
      </c>
      <c r="F8" s="4">
        <f>$D$1+102*E8</f>
        <v>743.19061260895262</v>
      </c>
      <c r="G8" t="s">
        <v>14</v>
      </c>
    </row>
    <row r="9" spans="1:7">
      <c r="A9" s="7">
        <v>42617</v>
      </c>
      <c r="B9" s="1">
        <v>0.33333333333333298</v>
      </c>
      <c r="C9" s="2">
        <v>9176.2999999999993</v>
      </c>
      <c r="D9" s="2">
        <v>16.8</v>
      </c>
      <c r="E9" s="3">
        <f t="shared" si="0"/>
        <v>3.1483643786957873E-3</v>
      </c>
      <c r="F9" s="4">
        <f t="shared" ref="F9:F45" si="1">$D$1+102*E9</f>
        <v>738.32113316662696</v>
      </c>
    </row>
    <row r="10" spans="1:7">
      <c r="A10" s="7">
        <v>42618</v>
      </c>
      <c r="B10" s="1">
        <v>0.33333333333333298</v>
      </c>
      <c r="C10" s="2">
        <v>9166.6</v>
      </c>
      <c r="D10" s="2">
        <v>17</v>
      </c>
      <c r="E10" s="3">
        <f t="shared" si="0"/>
        <v>3.9468247184639219E-3</v>
      </c>
      <c r="F10" s="4">
        <f t="shared" si="1"/>
        <v>738.40257612128335</v>
      </c>
    </row>
    <row r="11" spans="1:7">
      <c r="A11" s="7">
        <v>42619</v>
      </c>
      <c r="B11" s="1">
        <v>0.33333333333333298</v>
      </c>
      <c r="C11" s="2">
        <v>9170.7999999999993</v>
      </c>
      <c r="D11" s="2">
        <v>16.5</v>
      </c>
      <c r="E11" s="3">
        <f t="shared" si="0"/>
        <v>3.2111027722054424E-3</v>
      </c>
      <c r="F11" s="4">
        <f t="shared" si="1"/>
        <v>738.32753248276492</v>
      </c>
    </row>
    <row r="12" spans="1:7">
      <c r="A12" s="7">
        <v>42620</v>
      </c>
      <c r="B12" s="1">
        <v>0.33333333333333298</v>
      </c>
      <c r="C12" s="2">
        <v>9177.7999999999993</v>
      </c>
      <c r="D12" s="2">
        <v>16.600000000000001</v>
      </c>
      <c r="E12" s="3">
        <f t="shared" si="0"/>
        <v>2.865403338839112E-3</v>
      </c>
      <c r="F12" s="4">
        <f t="shared" si="1"/>
        <v>738.29227114056164</v>
      </c>
    </row>
    <row r="13" spans="1:7">
      <c r="A13" s="7">
        <v>42621</v>
      </c>
      <c r="B13" s="1">
        <v>0.33333333333333298</v>
      </c>
      <c r="C13" s="2">
        <v>9172.1</v>
      </c>
      <c r="D13" s="2">
        <v>16.600000000000001</v>
      </c>
      <c r="E13" s="3">
        <f t="shared" si="0"/>
        <v>3.2237143081127462E-3</v>
      </c>
      <c r="F13" s="4">
        <f t="shared" si="1"/>
        <v>738.32881885942754</v>
      </c>
    </row>
    <row r="14" spans="1:7">
      <c r="A14" s="7">
        <v>42622</v>
      </c>
      <c r="B14" s="1">
        <v>0.33333333333333298</v>
      </c>
      <c r="C14" s="2">
        <v>9167.6</v>
      </c>
      <c r="D14" s="2">
        <v>16.600000000000001</v>
      </c>
      <c r="E14" s="3">
        <f t="shared" si="0"/>
        <v>3.5066126668895636E-3</v>
      </c>
      <c r="F14" s="4">
        <f t="shared" si="1"/>
        <v>738.35767449202274</v>
      </c>
    </row>
    <row r="15" spans="1:7">
      <c r="A15" s="7">
        <v>42623</v>
      </c>
      <c r="B15" s="1">
        <v>0.33333333333333331</v>
      </c>
      <c r="C15" s="2">
        <v>9163.4</v>
      </c>
      <c r="D15" s="2">
        <v>16.5</v>
      </c>
      <c r="E15" s="3">
        <f t="shared" si="0"/>
        <v>3.6763322738559527E-3</v>
      </c>
      <c r="F15" s="4">
        <f t="shared" si="1"/>
        <v>738.37498589193331</v>
      </c>
    </row>
    <row r="16" spans="1:7">
      <c r="A16" s="7">
        <v>42633</v>
      </c>
      <c r="B16" s="1">
        <v>0.33333333333333331</v>
      </c>
      <c r="C16" s="2">
        <v>9174.2000000000007</v>
      </c>
      <c r="D16" s="2">
        <v>17</v>
      </c>
      <c r="E16" s="3">
        <f t="shared" ref="E16:E36" si="2">($B$2*C16^2+$B$3*C16+$B$4)-$B$5*D16-$E$7</f>
        <v>3.4690446990693416E-3</v>
      </c>
      <c r="F16" s="4">
        <f t="shared" si="1"/>
        <v>738.35384255930512</v>
      </c>
    </row>
    <row r="17" spans="1:7">
      <c r="A17" s="7">
        <v>42643</v>
      </c>
      <c r="B17" s="1">
        <v>0.33333333333333331</v>
      </c>
      <c r="C17" s="2">
        <v>9185.4</v>
      </c>
      <c r="D17" s="2">
        <v>16.7</v>
      </c>
      <c r="E17" s="3">
        <f t="shared" si="2"/>
        <v>2.4820380372608114E-3</v>
      </c>
      <c r="F17" s="4">
        <f t="shared" si="1"/>
        <v>738.25316787980057</v>
      </c>
    </row>
    <row r="18" spans="1:7">
      <c r="A18" s="27">
        <v>42653</v>
      </c>
      <c r="B18" s="1">
        <v>0.33333333333333331</v>
      </c>
      <c r="C18" s="2">
        <v>9161.5</v>
      </c>
      <c r="D18" s="2">
        <v>15.9</v>
      </c>
      <c r="E18" s="3">
        <f t="shared" si="2"/>
        <v>3.229776483093888E-3</v>
      </c>
      <c r="F18" s="4">
        <f t="shared" si="1"/>
        <v>738.3294372012756</v>
      </c>
    </row>
    <row r="19" spans="1:7">
      <c r="A19" s="7">
        <v>42855</v>
      </c>
      <c r="B19" s="1">
        <v>0.33333333333333331</v>
      </c>
      <c r="C19" s="2">
        <v>9012.2999999999993</v>
      </c>
      <c r="D19" s="2">
        <v>3.3</v>
      </c>
      <c r="E19" s="3">
        <f t="shared" si="2"/>
        <v>7.345922990286604E-4</v>
      </c>
      <c r="F19" s="4">
        <f t="shared" si="1"/>
        <v>738.07492841450096</v>
      </c>
      <c r="G19" s="2"/>
    </row>
    <row r="20" spans="1:7">
      <c r="A20" s="7">
        <v>42865</v>
      </c>
      <c r="B20" s="1">
        <v>0.33333333333333331</v>
      </c>
      <c r="C20" s="2">
        <v>9009.2999999999993</v>
      </c>
      <c r="D20" s="2">
        <v>3.3</v>
      </c>
      <c r="E20" s="3">
        <f t="shared" si="2"/>
        <v>9.2363358782225971E-4</v>
      </c>
      <c r="F20" s="4">
        <f t="shared" si="1"/>
        <v>738.09421062595788</v>
      </c>
      <c r="G20" s="2"/>
    </row>
    <row r="21" spans="1:7">
      <c r="A21" s="7">
        <v>42875</v>
      </c>
      <c r="B21" s="1">
        <v>0.33333333333333331</v>
      </c>
      <c r="C21" s="2">
        <v>8995</v>
      </c>
      <c r="D21" s="2">
        <v>3.3</v>
      </c>
      <c r="E21" s="3">
        <f t="shared" si="2"/>
        <v>1.8248450798258771E-3</v>
      </c>
      <c r="F21" s="4">
        <f t="shared" si="1"/>
        <v>738.18613419814221</v>
      </c>
      <c r="G21" s="2"/>
    </row>
    <row r="22" spans="1:7">
      <c r="A22" s="7">
        <v>42885</v>
      </c>
      <c r="B22" s="1">
        <v>0.33333333333333331</v>
      </c>
      <c r="C22" s="14">
        <v>9008.9</v>
      </c>
      <c r="D22" s="15">
        <v>3.3</v>
      </c>
      <c r="E22" s="3">
        <f t="shared" si="2"/>
        <v>9.4883972344710424E-4</v>
      </c>
      <c r="F22" s="4">
        <f t="shared" si="1"/>
        <v>738.09678165179162</v>
      </c>
    </row>
    <row r="23" spans="1:7">
      <c r="A23" s="6">
        <v>42896</v>
      </c>
      <c r="B23" s="1">
        <v>0.33333333333333331</v>
      </c>
      <c r="C23" s="14">
        <v>9008.9</v>
      </c>
      <c r="D23" s="14">
        <v>3.4</v>
      </c>
      <c r="E23" s="3">
        <f t="shared" si="2"/>
        <v>1.0431755234471055E-3</v>
      </c>
      <c r="F23" s="4">
        <f t="shared" si="1"/>
        <v>738.10640390339165</v>
      </c>
    </row>
    <row r="24" spans="1:7">
      <c r="A24" s="6">
        <v>42906</v>
      </c>
      <c r="B24" s="1">
        <v>0.33333333333333331</v>
      </c>
      <c r="C24" s="14">
        <v>9017.7999999999993</v>
      </c>
      <c r="D24" s="14">
        <v>3.9</v>
      </c>
      <c r="E24" s="3">
        <f t="shared" si="2"/>
        <v>9.5405307471105663E-4</v>
      </c>
      <c r="F24" s="4">
        <f t="shared" si="1"/>
        <v>738.09731341362055</v>
      </c>
    </row>
    <row r="25" spans="1:7">
      <c r="A25" s="7">
        <v>42916</v>
      </c>
      <c r="B25" s="9">
        <v>0.33333333333333331</v>
      </c>
      <c r="C25" s="14">
        <v>9034.5</v>
      </c>
      <c r="D25" s="14">
        <v>4.4000000000000004</v>
      </c>
      <c r="E25" s="3">
        <f t="shared" si="2"/>
        <v>3.7363990043790332E-4</v>
      </c>
      <c r="F25" s="4">
        <f t="shared" si="1"/>
        <v>738.03811126984465</v>
      </c>
    </row>
    <row r="26" spans="1:7">
      <c r="A26" s="7">
        <v>42926</v>
      </c>
      <c r="B26" s="9">
        <v>0.33333333333333331</v>
      </c>
      <c r="C26" s="14">
        <v>9045.7999999999993</v>
      </c>
      <c r="D26" s="14">
        <v>4.9000000000000004</v>
      </c>
      <c r="E26" s="3">
        <f t="shared" si="2"/>
        <v>1.3357086860552037E-4</v>
      </c>
      <c r="F26" s="4">
        <f t="shared" si="1"/>
        <v>738.01362422859779</v>
      </c>
    </row>
    <row r="27" spans="1:7">
      <c r="A27" s="7">
        <v>42936</v>
      </c>
      <c r="B27" s="9">
        <v>0.33333333333333331</v>
      </c>
      <c r="C27" s="14">
        <v>9039.4</v>
      </c>
      <c r="D27" s="14">
        <v>5.3</v>
      </c>
      <c r="E27" s="3">
        <f t="shared" si="2"/>
        <v>9.1401346064649142E-4</v>
      </c>
      <c r="F27" s="4">
        <f t="shared" si="1"/>
        <v>738.09322937298589</v>
      </c>
    </row>
    <row r="28" spans="1:7">
      <c r="A28" s="7">
        <v>42946</v>
      </c>
      <c r="B28" s="9">
        <v>0.33333333333333331</v>
      </c>
      <c r="C28" s="14">
        <v>9052.4</v>
      </c>
      <c r="D28" s="14">
        <v>5.6</v>
      </c>
      <c r="E28" s="3">
        <f t="shared" si="2"/>
        <v>3.7826499469756358E-4</v>
      </c>
      <c r="F28" s="4">
        <f t="shared" si="1"/>
        <v>738.03858302945912</v>
      </c>
    </row>
    <row r="29" spans="1:7">
      <c r="A29" s="7">
        <v>42957</v>
      </c>
      <c r="B29" s="1">
        <v>0.33333333333333331</v>
      </c>
      <c r="C29" s="14">
        <v>9055.1</v>
      </c>
      <c r="D29" s="14">
        <v>6.3</v>
      </c>
      <c r="E29" s="3">
        <f t="shared" si="2"/>
        <v>8.6858595010955511E-4</v>
      </c>
      <c r="F29" s="4">
        <f t="shared" si="1"/>
        <v>738.08859576691123</v>
      </c>
    </row>
    <row r="30" spans="1:7">
      <c r="A30" s="7">
        <v>42967</v>
      </c>
      <c r="B30" s="1">
        <v>0.33333333333333331</v>
      </c>
      <c r="C30" s="14">
        <v>9049.4</v>
      </c>
      <c r="D30" s="14">
        <v>6.1</v>
      </c>
      <c r="E30" s="3">
        <f t="shared" si="2"/>
        <v>1.038873749030389E-3</v>
      </c>
      <c r="F30" s="4">
        <f t="shared" si="1"/>
        <v>738.10596512240113</v>
      </c>
    </row>
    <row r="31" spans="1:7">
      <c r="A31" s="7">
        <v>42977</v>
      </c>
      <c r="B31" s="1">
        <v>0.33333333333333331</v>
      </c>
      <c r="C31" s="14">
        <v>9069.6</v>
      </c>
      <c r="D31" s="14">
        <v>6.3</v>
      </c>
      <c r="E31" s="3">
        <f t="shared" si="2"/>
        <v>-4.4420601411267885E-5</v>
      </c>
      <c r="F31" s="4">
        <f t="shared" si="1"/>
        <v>737.99546909865603</v>
      </c>
    </row>
    <row r="32" spans="1:7">
      <c r="A32" s="7">
        <v>42988</v>
      </c>
      <c r="B32" s="1">
        <v>0.33333333333333331</v>
      </c>
      <c r="C32" s="14">
        <v>9032.2000000000007</v>
      </c>
      <c r="D32" s="14">
        <v>7.8</v>
      </c>
      <c r="E32" s="3">
        <f t="shared" si="2"/>
        <v>3.7259406692710349E-3</v>
      </c>
      <c r="F32" s="4">
        <f t="shared" si="1"/>
        <v>738.38004594826566</v>
      </c>
    </row>
    <row r="33" spans="1:6">
      <c r="A33" s="7">
        <v>42998</v>
      </c>
      <c r="B33" s="1">
        <v>0.33333333333333331</v>
      </c>
      <c r="C33" s="14">
        <v>9056.9</v>
      </c>
      <c r="D33" s="14">
        <v>6.9</v>
      </c>
      <c r="E33" s="3">
        <f t="shared" si="2"/>
        <v>1.3212514086183465E-3</v>
      </c>
      <c r="F33" s="4">
        <f t="shared" si="1"/>
        <v>738.13476764367908</v>
      </c>
    </row>
    <row r="34" spans="1:6">
      <c r="A34" s="7">
        <v>43008</v>
      </c>
      <c r="B34" s="1">
        <v>0.33333333333333331</v>
      </c>
      <c r="C34" s="14">
        <v>9058.1</v>
      </c>
      <c r="D34" s="14">
        <v>7</v>
      </c>
      <c r="E34" s="3">
        <f t="shared" si="2"/>
        <v>1.3400226498023818E-3</v>
      </c>
      <c r="F34" s="4">
        <f t="shared" si="1"/>
        <v>738.13668231027987</v>
      </c>
    </row>
    <row r="35" spans="1:6">
      <c r="A35" s="7">
        <v>43018</v>
      </c>
      <c r="B35" s="1">
        <v>0.33333333333333331</v>
      </c>
      <c r="C35" s="14">
        <v>9049.7999999999993</v>
      </c>
      <c r="D35" s="14">
        <v>7.1</v>
      </c>
      <c r="E35" s="3">
        <f t="shared" si="2"/>
        <v>1.9570406330086595E-3</v>
      </c>
      <c r="F35" s="4">
        <f t="shared" si="1"/>
        <v>738.1996181445669</v>
      </c>
    </row>
    <row r="36" spans="1:6">
      <c r="A36" s="7">
        <v>43230</v>
      </c>
      <c r="B36" s="1">
        <v>0.33333333333333331</v>
      </c>
      <c r="C36" s="14">
        <v>9101.9</v>
      </c>
      <c r="D36" s="14">
        <v>10.199999999999999</v>
      </c>
      <c r="E36" s="3">
        <f t="shared" si="2"/>
        <v>1.6015755455463729E-3</v>
      </c>
      <c r="F36" s="4">
        <f t="shared" si="1"/>
        <v>738.16336070564569</v>
      </c>
    </row>
    <row r="37" spans="1:6">
      <c r="A37" s="7">
        <v>43240</v>
      </c>
      <c r="B37" s="1">
        <v>0.33333333333333331</v>
      </c>
      <c r="C37" s="14">
        <v>9093.1</v>
      </c>
      <c r="D37" s="14">
        <v>11.2</v>
      </c>
      <c r="E37" s="3">
        <f>($B$2*C37^2+$B$3*C37+$B$4)-$B$5*D37-$E$7</f>
        <v>3.0987472916583353E-3</v>
      </c>
      <c r="F37" s="4">
        <f t="shared" si="1"/>
        <v>738.31607222374919</v>
      </c>
    </row>
    <row r="38" spans="1:6">
      <c r="A38" s="7">
        <v>43250</v>
      </c>
      <c r="B38" s="1">
        <v>0.33333333333333331</v>
      </c>
      <c r="C38" s="14">
        <v>9089.7999999999993</v>
      </c>
      <c r="D38" s="14">
        <v>10.3</v>
      </c>
      <c r="E38" s="3">
        <f>($B$2*C38^2+$B$3*C38+$B$4)-$B$5*D38-$E$7</f>
        <v>2.4574237567206551E-3</v>
      </c>
      <c r="F38" s="4">
        <f t="shared" si="1"/>
        <v>738.2506572231855</v>
      </c>
    </row>
    <row r="39" spans="1:6">
      <c r="A39" s="7">
        <v>43261</v>
      </c>
      <c r="B39" s="1">
        <v>0.33333333333333331</v>
      </c>
      <c r="C39" s="14">
        <v>9105</v>
      </c>
      <c r="D39" s="14">
        <v>10.4</v>
      </c>
      <c r="E39" s="3">
        <f>($B$2*C39^2+$B$3*C39+$B$4)-$B$5*D39-$E$7</f>
        <v>1.5951707678259486E-3</v>
      </c>
      <c r="F39" s="4">
        <f t="shared" si="1"/>
        <v>738.16270741831829</v>
      </c>
    </row>
    <row r="40" spans="1:6">
      <c r="A40" s="7">
        <v>43271</v>
      </c>
      <c r="B40" s="1">
        <v>0.33333333333333331</v>
      </c>
      <c r="C40" s="14">
        <v>9053.6</v>
      </c>
      <c r="D40" s="14">
        <v>10.4</v>
      </c>
      <c r="E40" s="3">
        <f>($B$2*C40^2+$B$3*C40+$B$4)-$B$5*D40-$E$7</f>
        <v>4.8308138293471914E-3</v>
      </c>
      <c r="F40" s="4">
        <f t="shared" si="1"/>
        <v>738.49274301059336</v>
      </c>
    </row>
    <row r="41" spans="1:6">
      <c r="A41" s="7">
        <v>43281</v>
      </c>
      <c r="B41" s="1">
        <v>0.33333333333333331</v>
      </c>
      <c r="C41" s="14">
        <v>9068.7000000000007</v>
      </c>
      <c r="D41" s="14">
        <v>10.5</v>
      </c>
      <c r="E41" s="3">
        <f>($B$2*C41^2+$B$3*C41+$B$4)-$B$5*D41-$E$7</f>
        <v>3.9743466966798285E-3</v>
      </c>
      <c r="F41" s="4">
        <f t="shared" si="1"/>
        <v>738.40538336306133</v>
      </c>
    </row>
    <row r="42" spans="1:6">
      <c r="A42" s="7">
        <v>43291</v>
      </c>
      <c r="B42" s="1">
        <v>0.33333333333333331</v>
      </c>
      <c r="C42" s="14">
        <v>9106</v>
      </c>
      <c r="D42" s="14">
        <v>10</v>
      </c>
      <c r="E42" s="3">
        <f t="shared" ref="E42:E45" si="3">($B$2*C42^2+$B$3*C42+$B$4)-$B$5*D42-$E$7</f>
        <v>1.1549016046737866E-3</v>
      </c>
      <c r="F42" s="4">
        <f t="shared" si="1"/>
        <v>738.1177999636767</v>
      </c>
    </row>
    <row r="43" spans="1:6">
      <c r="A43" s="7">
        <v>43301</v>
      </c>
      <c r="B43" s="1">
        <v>0.33333333333333331</v>
      </c>
      <c r="C43" s="14">
        <v>9102</v>
      </c>
      <c r="D43" s="14">
        <v>10.6</v>
      </c>
      <c r="E43" s="3">
        <f t="shared" si="3"/>
        <v>1.9726258200978598E-3</v>
      </c>
      <c r="F43" s="4">
        <f t="shared" si="1"/>
        <v>738.20120783364996</v>
      </c>
    </row>
    <row r="44" spans="1:6">
      <c r="A44" s="7">
        <v>43311</v>
      </c>
      <c r="B44" s="1">
        <v>0.33333333333333331</v>
      </c>
      <c r="C44" s="14">
        <v>9093.6</v>
      </c>
      <c r="D44" s="14">
        <v>10.4</v>
      </c>
      <c r="E44" s="3">
        <f t="shared" si="3"/>
        <v>2.3125922777311181E-3</v>
      </c>
      <c r="F44" s="4">
        <f t="shared" si="1"/>
        <v>738.23588441232857</v>
      </c>
    </row>
    <row r="45" spans="1:6">
      <c r="A45" s="7">
        <v>43322</v>
      </c>
      <c r="B45" s="1">
        <v>0.33333333333333331</v>
      </c>
      <c r="C45" s="14">
        <v>9098.2000000000007</v>
      </c>
      <c r="D45" s="14">
        <v>10.3</v>
      </c>
      <c r="E45" s="3">
        <f t="shared" si="3"/>
        <v>1.9287561049060702E-3</v>
      </c>
      <c r="F45" s="4">
        <f t="shared" si="1"/>
        <v>738.19673312270038</v>
      </c>
    </row>
    <row r="46" spans="1:6">
      <c r="A46" s="7">
        <v>43332</v>
      </c>
      <c r="B46" s="1">
        <v>0.33333333333333331</v>
      </c>
      <c r="C46" s="14">
        <v>9107.4</v>
      </c>
      <c r="D46" s="14">
        <v>7.2</v>
      </c>
      <c r="E46" s="3">
        <f t="shared" ref="E46:E63" si="4">($B$2*C46^2+$B$3*C46+$B$4)-$B$5*D46-$E$7</f>
        <v>-1.5745955861504908E-3</v>
      </c>
      <c r="F46" s="4">
        <f t="shared" ref="F46:F63" si="5">$D$1+102*E46</f>
        <v>737.83939125021266</v>
      </c>
    </row>
    <row r="47" spans="1:6">
      <c r="A47" s="7">
        <v>43342</v>
      </c>
      <c r="B47" s="1">
        <v>0.33333333333333331</v>
      </c>
      <c r="C47" s="14">
        <v>9087.2999999999993</v>
      </c>
      <c r="D47" s="14">
        <v>7.4</v>
      </c>
      <c r="E47" s="3">
        <f t="shared" si="4"/>
        <v>-1.2096024801137861E-4</v>
      </c>
      <c r="F47" s="4">
        <f t="shared" si="5"/>
        <v>737.98766205470281</v>
      </c>
    </row>
    <row r="48" spans="1:6">
      <c r="A48" s="7">
        <v>43353</v>
      </c>
      <c r="B48" s="1">
        <v>0.33333333333333331</v>
      </c>
      <c r="C48" s="14">
        <v>9015.2999999999993</v>
      </c>
      <c r="D48" s="14">
        <v>11</v>
      </c>
      <c r="E48" s="3">
        <f t="shared" si="4"/>
        <v>7.8094159544591507E-3</v>
      </c>
      <c r="F48" s="4">
        <f t="shared" si="5"/>
        <v>738.79656042735485</v>
      </c>
    </row>
    <row r="49" spans="1:6">
      <c r="A49" s="7">
        <v>43363</v>
      </c>
      <c r="B49" s="1">
        <v>0.33333333333333331</v>
      </c>
      <c r="C49" s="14">
        <v>9074.2000000000007</v>
      </c>
      <c r="D49" s="14">
        <v>10</v>
      </c>
      <c r="E49" s="3">
        <f t="shared" si="4"/>
        <v>3.1564012699494166E-3</v>
      </c>
      <c r="F49" s="4">
        <f t="shared" si="5"/>
        <v>738.32195292953486</v>
      </c>
    </row>
    <row r="50" spans="1:6">
      <c r="A50" s="7">
        <v>43373</v>
      </c>
      <c r="B50" s="1">
        <v>0.33333333333333331</v>
      </c>
      <c r="C50" s="14">
        <v>9087.2000000000007</v>
      </c>
      <c r="D50" s="14">
        <v>10.1</v>
      </c>
      <c r="E50" s="3">
        <f t="shared" si="4"/>
        <v>2.4324006403269385E-3</v>
      </c>
      <c r="F50" s="4">
        <f t="shared" si="5"/>
        <v>738.24810486531339</v>
      </c>
    </row>
    <row r="51" spans="1:6">
      <c r="A51" s="7">
        <v>43383</v>
      </c>
      <c r="B51" s="1">
        <v>0.33333333333333331</v>
      </c>
      <c r="C51" s="14">
        <v>9087.7000000000007</v>
      </c>
      <c r="D51" s="14">
        <v>10</v>
      </c>
      <c r="E51" s="3">
        <f t="shared" si="4"/>
        <v>2.3065934913485305E-3</v>
      </c>
      <c r="F51" s="4">
        <f t="shared" si="5"/>
        <v>738.23527253611758</v>
      </c>
    </row>
    <row r="52" spans="1:6">
      <c r="A52" s="7">
        <v>43393</v>
      </c>
      <c r="B52" s="1">
        <v>0.33333333333333331</v>
      </c>
      <c r="C52" s="14">
        <v>9088.4</v>
      </c>
      <c r="D52" s="14">
        <v>10</v>
      </c>
      <c r="E52" s="3">
        <f t="shared" si="4"/>
        <v>2.2625339921760086E-3</v>
      </c>
      <c r="F52" s="4">
        <f t="shared" si="5"/>
        <v>738.23077846720196</v>
      </c>
    </row>
    <row r="53" spans="1:6">
      <c r="A53" s="32">
        <v>43605</v>
      </c>
      <c r="B53" s="1">
        <v>0.33333333333333331</v>
      </c>
      <c r="C53" s="14">
        <v>9098.2000000000007</v>
      </c>
      <c r="D53" s="14">
        <v>9.6999999999999993</v>
      </c>
      <c r="E53" s="3">
        <f t="shared" si="4"/>
        <v>1.3627413049060698E-3</v>
      </c>
      <c r="F53" s="4">
        <f t="shared" si="5"/>
        <v>738.1389996131004</v>
      </c>
    </row>
    <row r="54" spans="1:6">
      <c r="A54" s="32">
        <v>43615</v>
      </c>
      <c r="B54" s="1">
        <v>0.33333333333333331</v>
      </c>
      <c r="C54" s="14">
        <v>9099.6</v>
      </c>
      <c r="D54" s="14">
        <v>9.6999999999999993</v>
      </c>
      <c r="E54" s="3">
        <f t="shared" si="4"/>
        <v>1.2746363897567468E-3</v>
      </c>
      <c r="F54" s="4">
        <f t="shared" si="5"/>
        <v>738.13001291175522</v>
      </c>
    </row>
    <row r="55" spans="1:6">
      <c r="A55" s="32">
        <v>43626</v>
      </c>
      <c r="B55" s="1">
        <v>0.33333333333333331</v>
      </c>
      <c r="C55" s="14">
        <v>9102.6</v>
      </c>
      <c r="D55" s="14">
        <v>9.9</v>
      </c>
      <c r="E55" s="3">
        <f t="shared" si="4"/>
        <v>1.2745178621054731E-3</v>
      </c>
      <c r="F55" s="4">
        <f t="shared" si="5"/>
        <v>738.1300008219348</v>
      </c>
    </row>
    <row r="56" spans="1:6">
      <c r="A56" s="32">
        <v>43636</v>
      </c>
      <c r="B56" s="1">
        <v>0.33333333333333331</v>
      </c>
      <c r="C56" s="14">
        <v>9104.5</v>
      </c>
      <c r="D56" s="14">
        <v>10.1</v>
      </c>
      <c r="E56" s="3">
        <f t="shared" si="4"/>
        <v>1.3436266970779168E-3</v>
      </c>
      <c r="F56" s="4">
        <f t="shared" si="5"/>
        <v>738.13704992310193</v>
      </c>
    </row>
    <row r="57" spans="1:6">
      <c r="A57" s="7">
        <v>43646</v>
      </c>
      <c r="B57" s="1">
        <v>0.33333333333333331</v>
      </c>
      <c r="C57" s="14">
        <v>9100.2000000000007</v>
      </c>
      <c r="D57" s="14">
        <v>10</v>
      </c>
      <c r="E57" s="3">
        <f t="shared" si="4"/>
        <v>1.5198850966886453E-3</v>
      </c>
      <c r="F57" s="4">
        <f t="shared" si="5"/>
        <v>738.15502827986222</v>
      </c>
    </row>
    <row r="58" spans="1:6">
      <c r="A58" s="7">
        <v>43656</v>
      </c>
      <c r="B58" s="1">
        <v>0.33333333333333331</v>
      </c>
      <c r="C58" s="14">
        <v>8997.9</v>
      </c>
      <c r="D58" s="14">
        <v>9.8000000000000007</v>
      </c>
      <c r="E58" s="3">
        <f t="shared" si="4"/>
        <v>7.7738935845607232E-3</v>
      </c>
      <c r="F58" s="4">
        <f t="shared" si="5"/>
        <v>738.79293714562516</v>
      </c>
    </row>
    <row r="59" spans="1:6">
      <c r="A59" s="7">
        <v>43666</v>
      </c>
      <c r="B59" s="1">
        <v>0.33333333333333331</v>
      </c>
      <c r="C59" s="14">
        <v>8998.7000000000007</v>
      </c>
      <c r="D59" s="14">
        <v>9.8000000000000007</v>
      </c>
      <c r="E59" s="3">
        <f t="shared" si="4"/>
        <v>7.7234733028558461E-3</v>
      </c>
      <c r="F59" s="4">
        <f t="shared" si="5"/>
        <v>738.7877942768913</v>
      </c>
    </row>
    <row r="60" spans="1:6">
      <c r="A60" s="7">
        <v>43676</v>
      </c>
      <c r="B60" s="1">
        <v>0.33333333333333331</v>
      </c>
      <c r="C60" s="14">
        <v>8999.5</v>
      </c>
      <c r="D60" s="14">
        <v>9.6999999999999993</v>
      </c>
      <c r="E60" s="3">
        <f t="shared" si="4"/>
        <v>7.5787178145178789E-3</v>
      </c>
      <c r="F60" s="4">
        <f t="shared" si="5"/>
        <v>738.77302921708088</v>
      </c>
    </row>
    <row r="61" spans="1:6">
      <c r="A61" s="7">
        <v>43687</v>
      </c>
      <c r="B61" s="1">
        <v>0.33333333333333331</v>
      </c>
      <c r="C61" s="14">
        <v>8998.2999999999993</v>
      </c>
      <c r="D61" s="14">
        <v>9.6999999999999993</v>
      </c>
      <c r="E61" s="3">
        <f t="shared" si="4"/>
        <v>7.6543475695375028E-3</v>
      </c>
      <c r="F61" s="4">
        <f t="shared" si="5"/>
        <v>738.78074345209279</v>
      </c>
    </row>
    <row r="62" spans="1:6">
      <c r="A62" s="7">
        <v>43697</v>
      </c>
      <c r="B62" s="1">
        <v>0.33333333333333331</v>
      </c>
      <c r="C62" s="14">
        <v>8987.2000000000007</v>
      </c>
      <c r="D62" s="14">
        <v>9.4</v>
      </c>
      <c r="E62" s="3">
        <f t="shared" si="4"/>
        <v>8.0709786944069307E-3</v>
      </c>
      <c r="F62" s="4">
        <f t="shared" si="5"/>
        <v>738.82323982682954</v>
      </c>
    </row>
    <row r="63" spans="1:6">
      <c r="A63" s="7">
        <v>43707</v>
      </c>
      <c r="B63" s="1">
        <v>0.33333333333333331</v>
      </c>
      <c r="C63" s="14">
        <v>8980.5</v>
      </c>
      <c r="D63" s="14">
        <v>9.1</v>
      </c>
      <c r="E63" s="3">
        <f t="shared" si="4"/>
        <v>8.2103309143578933E-3</v>
      </c>
      <c r="F63" s="4">
        <f t="shared" si="5"/>
        <v>738.83745375326453</v>
      </c>
    </row>
  </sheetData>
  <phoneticPr fontId="4" type="noConversion"/>
  <pageMargins left="0.69930555555555596" right="0.69930555555555596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3"/>
  <sheetViews>
    <sheetView topLeftCell="A37" workbookViewId="0">
      <selection activeCell="A57" sqref="A57:B63"/>
    </sheetView>
  </sheetViews>
  <sheetFormatPr defaultColWidth="9" defaultRowHeight="13.5"/>
  <cols>
    <col min="1" max="1" width="11.125" customWidth="1"/>
    <col min="2" max="2" width="13.875" customWidth="1"/>
  </cols>
  <sheetData>
    <row r="1" spans="1:7">
      <c r="A1" t="s">
        <v>0</v>
      </c>
      <c r="B1">
        <v>50406</v>
      </c>
      <c r="C1" t="s">
        <v>1</v>
      </c>
      <c r="D1">
        <v>735</v>
      </c>
    </row>
    <row r="2" spans="1:7">
      <c r="A2" t="s">
        <v>2</v>
      </c>
      <c r="B2" s="10">
        <v>1.0061000000000001E-9</v>
      </c>
    </row>
    <row r="3" spans="1:7">
      <c r="A3" t="s">
        <v>3</v>
      </c>
      <c r="B3">
        <v>-8.2699000000000002E-5</v>
      </c>
    </row>
    <row r="4" spans="1:7">
      <c r="A4" t="s">
        <v>4</v>
      </c>
      <c r="B4">
        <v>0.60400584999999996</v>
      </c>
    </row>
    <row r="5" spans="1:7">
      <c r="A5" t="s">
        <v>5</v>
      </c>
      <c r="B5">
        <v>-9.1202899999999996E-4</v>
      </c>
    </row>
    <row r="6" spans="1:7">
      <c r="A6" t="s">
        <v>6</v>
      </c>
      <c r="B6" t="s">
        <v>7</v>
      </c>
      <c r="C6" t="s">
        <v>8</v>
      </c>
      <c r="D6" t="s">
        <v>9</v>
      </c>
      <c r="E6" t="s">
        <v>10</v>
      </c>
      <c r="F6" t="s">
        <v>11</v>
      </c>
      <c r="G6" t="s">
        <v>12</v>
      </c>
    </row>
    <row r="7" spans="1:7">
      <c r="A7" s="7">
        <v>42616</v>
      </c>
      <c r="B7" s="1">
        <v>0.64583333333333304</v>
      </c>
      <c r="C7" s="2">
        <v>8122.2</v>
      </c>
      <c r="D7" s="2">
        <v>17.3</v>
      </c>
      <c r="E7" s="3">
        <f>($B$2*C7^2+$B$3*C7+$B$4)-$B$5*D7</f>
        <v>1.4458684550323907E-2</v>
      </c>
      <c r="G7" t="s">
        <v>13</v>
      </c>
    </row>
    <row r="8" spans="1:7">
      <c r="A8" s="7">
        <v>42616</v>
      </c>
      <c r="B8" s="1">
        <v>0.75</v>
      </c>
      <c r="C8" s="2">
        <v>7192.8</v>
      </c>
      <c r="D8" s="2">
        <v>20.100000000000001</v>
      </c>
      <c r="E8" s="3">
        <f t="shared" ref="E8:E24" si="0">($B$2*C8^2+$B$3*C8+$B$4)-$B$5*D8-$E$7</f>
        <v>6.5093544857899976E-2</v>
      </c>
      <c r="F8" s="4">
        <f>$D$1+102*E8</f>
        <v>741.63954157550575</v>
      </c>
      <c r="G8" t="s">
        <v>14</v>
      </c>
    </row>
    <row r="9" spans="1:7">
      <c r="A9" s="7">
        <v>42617</v>
      </c>
      <c r="B9" s="1">
        <v>0.33333333333333298</v>
      </c>
      <c r="C9" s="2">
        <v>8025.5</v>
      </c>
      <c r="D9" s="2">
        <v>17</v>
      </c>
      <c r="E9" s="3">
        <f t="shared" si="0"/>
        <v>6.1523769662010057E-3</v>
      </c>
      <c r="F9" s="4">
        <f t="shared" ref="F9:F45" si="1">$D$1+102*E9</f>
        <v>735.62754245055248</v>
      </c>
    </row>
    <row r="10" spans="1:7">
      <c r="A10" s="7">
        <v>42618</v>
      </c>
      <c r="B10" s="1">
        <v>0.33333333333333298</v>
      </c>
      <c r="C10" s="2">
        <v>8065.1</v>
      </c>
      <c r="D10" s="2">
        <v>16.7</v>
      </c>
      <c r="E10" s="3">
        <f t="shared" si="0"/>
        <v>3.2449624715370114E-3</v>
      </c>
      <c r="F10" s="4">
        <f t="shared" si="1"/>
        <v>735.3309861720968</v>
      </c>
    </row>
    <row r="11" spans="1:7">
      <c r="A11" s="7">
        <v>42619</v>
      </c>
      <c r="B11" s="1">
        <v>0.33333333333333298</v>
      </c>
      <c r="C11" s="2">
        <v>8069.6</v>
      </c>
      <c r="D11" s="2">
        <v>16.7</v>
      </c>
      <c r="E11" s="3">
        <f t="shared" si="0"/>
        <v>2.9458660190520743E-3</v>
      </c>
      <c r="F11" s="4">
        <f t="shared" si="1"/>
        <v>735.30047833394326</v>
      </c>
    </row>
    <row r="12" spans="1:7">
      <c r="A12" s="7">
        <v>42620</v>
      </c>
      <c r="B12" s="1">
        <v>0.33333333333333298</v>
      </c>
      <c r="C12" s="2">
        <v>8077.1</v>
      </c>
      <c r="D12" s="2">
        <v>16.600000000000001</v>
      </c>
      <c r="E12" s="3">
        <f t="shared" si="0"/>
        <v>2.3562595805769991E-3</v>
      </c>
      <c r="F12" s="4">
        <f t="shared" si="1"/>
        <v>735.24033847721887</v>
      </c>
    </row>
    <row r="13" spans="1:7">
      <c r="A13" s="7">
        <v>42621</v>
      </c>
      <c r="B13" s="1">
        <v>0.33333333333333298</v>
      </c>
      <c r="C13" s="2">
        <v>8077.3</v>
      </c>
      <c r="D13" s="2">
        <v>16.600000000000001</v>
      </c>
      <c r="E13" s="3">
        <f t="shared" si="0"/>
        <v>2.342970368944982E-3</v>
      </c>
      <c r="F13" s="4">
        <f t="shared" si="1"/>
        <v>735.23898297763242</v>
      </c>
    </row>
    <row r="14" spans="1:7">
      <c r="A14" s="7">
        <v>42622</v>
      </c>
      <c r="B14" s="1">
        <v>0.33333333333333298</v>
      </c>
      <c r="C14" s="2">
        <v>8070</v>
      </c>
      <c r="D14" s="2">
        <v>16.600000000000001</v>
      </c>
      <c r="E14" s="3">
        <f t="shared" si="0"/>
        <v>2.8280787396761063E-3</v>
      </c>
      <c r="F14" s="4">
        <f t="shared" si="1"/>
        <v>735.28846403144701</v>
      </c>
    </row>
    <row r="15" spans="1:7">
      <c r="A15" s="7">
        <v>42623</v>
      </c>
      <c r="B15" s="1">
        <v>0.33333333333333331</v>
      </c>
      <c r="C15" s="2">
        <v>8067.8</v>
      </c>
      <c r="D15" s="2">
        <v>16.5</v>
      </c>
      <c r="E15" s="3">
        <f t="shared" si="0"/>
        <v>2.8830939104000086E-3</v>
      </c>
      <c r="F15" s="4">
        <f t="shared" si="1"/>
        <v>735.29407557886077</v>
      </c>
    </row>
    <row r="16" spans="1:7">
      <c r="A16" s="7">
        <v>42633</v>
      </c>
      <c r="B16" s="1">
        <v>0.33333333333333331</v>
      </c>
      <c r="C16" s="2">
        <v>8068.1</v>
      </c>
      <c r="D16" s="2">
        <v>16.5</v>
      </c>
      <c r="E16" s="3">
        <f t="shared" si="0"/>
        <v>2.8631545090969379E-3</v>
      </c>
      <c r="F16" s="4">
        <f t="shared" si="1"/>
        <v>735.29204175992788</v>
      </c>
    </row>
    <row r="17" spans="1:7">
      <c r="A17" s="7">
        <v>42643</v>
      </c>
      <c r="B17" s="1">
        <v>0.33333333333333331</v>
      </c>
      <c r="C17" s="2">
        <v>7834.8</v>
      </c>
      <c r="D17" s="2">
        <v>15.2</v>
      </c>
      <c r="E17" s="3">
        <f t="shared" si="0"/>
        <v>1.723841504502004E-2</v>
      </c>
      <c r="F17" s="4">
        <f t="shared" si="1"/>
        <v>736.75831833459199</v>
      </c>
    </row>
    <row r="18" spans="1:7">
      <c r="A18" s="27">
        <v>42653</v>
      </c>
      <c r="B18" s="1">
        <v>0.33333333333333331</v>
      </c>
      <c r="C18" s="2">
        <v>8048.3</v>
      </c>
      <c r="D18" s="2">
        <v>14.8</v>
      </c>
      <c r="E18" s="3">
        <f t="shared" si="0"/>
        <v>2.6290941503049406E-3</v>
      </c>
      <c r="F18" s="4">
        <f t="shared" si="1"/>
        <v>735.26816760333111</v>
      </c>
    </row>
    <row r="19" spans="1:7">
      <c r="A19" s="7">
        <v>42855</v>
      </c>
      <c r="B19" s="1">
        <v>0.33333333333333331</v>
      </c>
      <c r="C19" s="2">
        <v>7793.4</v>
      </c>
      <c r="D19" s="2">
        <v>4.4000000000000004</v>
      </c>
      <c r="E19" s="3">
        <f t="shared" si="0"/>
        <v>1.0161286219392048E-2</v>
      </c>
      <c r="F19" s="4">
        <f t="shared" si="1"/>
        <v>736.03645119437795</v>
      </c>
      <c r="G19" s="2"/>
    </row>
    <row r="20" spans="1:7">
      <c r="A20" s="7">
        <v>42865</v>
      </c>
      <c r="B20" s="1">
        <v>0.33333333333333331</v>
      </c>
      <c r="C20" s="2">
        <v>7690.4</v>
      </c>
      <c r="D20" s="2">
        <v>4.3</v>
      </c>
      <c r="E20" s="3">
        <f t="shared" si="0"/>
        <v>1.6983520447851976E-2</v>
      </c>
      <c r="F20" s="4">
        <f t="shared" si="1"/>
        <v>736.73231908568096</v>
      </c>
      <c r="G20" s="2"/>
    </row>
    <row r="21" spans="1:7">
      <c r="A21" s="7">
        <v>42875</v>
      </c>
      <c r="B21" s="1">
        <v>0.33333333333333331</v>
      </c>
      <c r="C21" s="2">
        <v>7765</v>
      </c>
      <c r="D21" s="2">
        <v>4.2</v>
      </c>
      <c r="E21" s="3">
        <f t="shared" si="0"/>
        <v>1.1882978122176039E-2</v>
      </c>
      <c r="F21" s="4">
        <f t="shared" si="1"/>
        <v>736.21206376846192</v>
      </c>
      <c r="G21" s="2"/>
    </row>
    <row r="22" spans="1:7">
      <c r="A22" s="7">
        <v>42885</v>
      </c>
      <c r="B22" s="1">
        <v>0.33333333333333331</v>
      </c>
      <c r="C22" s="14">
        <v>7806.2</v>
      </c>
      <c r="D22" s="15">
        <v>4.2</v>
      </c>
      <c r="E22" s="3">
        <f t="shared" si="0"/>
        <v>9.1212261161600118E-3</v>
      </c>
      <c r="F22" s="4">
        <f t="shared" si="1"/>
        <v>735.93036506384828</v>
      </c>
    </row>
    <row r="23" spans="1:7">
      <c r="A23" s="6">
        <v>42896</v>
      </c>
      <c r="B23" s="1">
        <v>0.33333333333333331</v>
      </c>
      <c r="C23" s="14">
        <v>7800.9</v>
      </c>
      <c r="D23" s="14">
        <v>4.2</v>
      </c>
      <c r="E23" s="3">
        <f t="shared" si="0"/>
        <v>9.4763086086170935E-3</v>
      </c>
      <c r="F23" s="4">
        <f t="shared" si="1"/>
        <v>735.96658347807897</v>
      </c>
    </row>
    <row r="24" spans="1:7">
      <c r="A24" s="6">
        <v>42906</v>
      </c>
      <c r="B24" s="1">
        <v>0.33333333333333331</v>
      </c>
      <c r="C24" s="14">
        <v>7784.7</v>
      </c>
      <c r="D24" s="14">
        <v>4.3</v>
      </c>
      <c r="E24" s="3">
        <f t="shared" si="0"/>
        <v>1.0653208419624999E-2</v>
      </c>
      <c r="F24" s="4">
        <f t="shared" si="1"/>
        <v>736.08662725880174</v>
      </c>
    </row>
    <row r="25" spans="1:7">
      <c r="A25" s="7">
        <v>42916</v>
      </c>
      <c r="B25" s="9">
        <v>0.33333333333333331</v>
      </c>
      <c r="C25" s="14">
        <v>7790.4</v>
      </c>
      <c r="D25" s="14">
        <v>4.5</v>
      </c>
      <c r="E25" s="3">
        <f t="shared" ref="E25:E45" si="2">($B$2*C25^2+$B$3*C25+$B$4)-$B$5*D25-$E$7</f>
        <v>1.0453549535852112E-2</v>
      </c>
      <c r="F25" s="4">
        <f t="shared" si="1"/>
        <v>736.06626205265695</v>
      </c>
    </row>
    <row r="26" spans="1:7">
      <c r="A26" s="7">
        <v>42926</v>
      </c>
      <c r="B26" s="9">
        <v>0.33333333333333331</v>
      </c>
      <c r="C26" s="14">
        <v>7812.7</v>
      </c>
      <c r="D26" s="14">
        <v>4.7</v>
      </c>
      <c r="E26" s="3">
        <f t="shared" si="2"/>
        <v>9.1418392555449729E-3</v>
      </c>
      <c r="F26" s="4">
        <f t="shared" si="1"/>
        <v>735.93246760406555</v>
      </c>
    </row>
    <row r="27" spans="1:7">
      <c r="A27" s="7">
        <v>42936</v>
      </c>
      <c r="B27" s="9">
        <v>0.33333333333333331</v>
      </c>
      <c r="C27" s="14">
        <v>7812.4</v>
      </c>
      <c r="D27" s="14">
        <v>4.9000000000000004</v>
      </c>
      <c r="E27" s="3">
        <f t="shared" si="2"/>
        <v>9.3443386316121105E-3</v>
      </c>
      <c r="F27" s="4">
        <f t="shared" si="1"/>
        <v>735.95312254042449</v>
      </c>
    </row>
    <row r="28" spans="1:7">
      <c r="A28" s="7">
        <v>42946</v>
      </c>
      <c r="B28" s="9">
        <v>0.33333333333333331</v>
      </c>
      <c r="C28" s="14">
        <v>7826.5</v>
      </c>
      <c r="D28" s="14">
        <v>5.0999999999999996</v>
      </c>
      <c r="E28" s="3">
        <f t="shared" si="2"/>
        <v>8.582542123400979E-3</v>
      </c>
      <c r="F28" s="4">
        <f t="shared" si="1"/>
        <v>735.87541929658687</v>
      </c>
    </row>
    <row r="29" spans="1:7">
      <c r="A29" s="7">
        <v>42957</v>
      </c>
      <c r="B29" s="1">
        <v>0.33333333333333331</v>
      </c>
      <c r="C29" s="14">
        <v>7814.2</v>
      </c>
      <c r="D29" s="14">
        <v>5.6</v>
      </c>
      <c r="E29" s="3">
        <f t="shared" si="2"/>
        <v>9.8622001916801108E-3</v>
      </c>
      <c r="F29" s="4">
        <f t="shared" si="1"/>
        <v>736.00594441955138</v>
      </c>
    </row>
    <row r="30" spans="1:7">
      <c r="A30" s="7">
        <v>42967</v>
      </c>
      <c r="B30" s="1">
        <v>0.33333333333333331</v>
      </c>
      <c r="C30" s="14">
        <v>7808.3</v>
      </c>
      <c r="D30" s="14">
        <v>5.6</v>
      </c>
      <c r="E30" s="3">
        <f t="shared" si="2"/>
        <v>1.0257389287904935E-2</v>
      </c>
      <c r="F30" s="4">
        <f t="shared" si="1"/>
        <v>736.0462537073663</v>
      </c>
    </row>
    <row r="31" spans="1:7">
      <c r="A31" s="7">
        <v>42977</v>
      </c>
      <c r="B31" s="1">
        <v>0.33333333333333331</v>
      </c>
      <c r="C31" s="14">
        <v>7824</v>
      </c>
      <c r="D31" s="14">
        <v>5.9</v>
      </c>
      <c r="E31" s="3">
        <f t="shared" si="2"/>
        <v>9.4795479032760109E-3</v>
      </c>
      <c r="F31" s="4">
        <f t="shared" si="1"/>
        <v>735.96691388613419</v>
      </c>
    </row>
    <row r="32" spans="1:7">
      <c r="A32" s="7">
        <v>42988</v>
      </c>
      <c r="B32" s="1">
        <v>0.33333333333333331</v>
      </c>
      <c r="C32" s="14">
        <v>7816.9</v>
      </c>
      <c r="D32" s="14">
        <v>7.4</v>
      </c>
      <c r="E32" s="3">
        <f t="shared" si="2"/>
        <v>1.1323026505897057E-2</v>
      </c>
      <c r="F32" s="4">
        <f t="shared" si="1"/>
        <v>736.15494870360146</v>
      </c>
    </row>
    <row r="33" spans="1:6">
      <c r="A33" s="7">
        <v>42998</v>
      </c>
      <c r="B33" s="1">
        <v>0.33333333333333331</v>
      </c>
      <c r="C33" s="14">
        <v>7838.1</v>
      </c>
      <c r="D33" s="14">
        <v>6.4</v>
      </c>
      <c r="E33" s="3">
        <f t="shared" si="2"/>
        <v>8.9916892104970128E-3</v>
      </c>
      <c r="F33" s="4">
        <f t="shared" si="1"/>
        <v>735.91715229947067</v>
      </c>
    </row>
    <row r="34" spans="1:6">
      <c r="A34" s="7">
        <v>43008</v>
      </c>
      <c r="B34" s="1">
        <v>0.33333333333333331</v>
      </c>
      <c r="C34" s="14">
        <v>7838.7</v>
      </c>
      <c r="D34" s="14">
        <v>6.5</v>
      </c>
      <c r="E34" s="3">
        <f t="shared" si="2"/>
        <v>9.0427361675850561E-3</v>
      </c>
      <c r="F34" s="4">
        <f t="shared" si="1"/>
        <v>735.92235908909367</v>
      </c>
    </row>
    <row r="35" spans="1:6">
      <c r="A35" s="7">
        <v>43018</v>
      </c>
      <c r="B35" s="1">
        <v>0.33333333333333331</v>
      </c>
      <c r="C35" s="14">
        <v>7835.4</v>
      </c>
      <c r="D35" s="14">
        <v>6.7</v>
      </c>
      <c r="E35" s="3">
        <f t="shared" si="2"/>
        <v>9.4460086179520807E-3</v>
      </c>
      <c r="F35" s="4">
        <f t="shared" si="1"/>
        <v>735.96349287903115</v>
      </c>
    </row>
    <row r="36" spans="1:6">
      <c r="A36" s="7">
        <v>43230</v>
      </c>
      <c r="B36" s="1">
        <v>0.33333333333333331</v>
      </c>
      <c r="C36" s="14">
        <v>7890.5</v>
      </c>
      <c r="D36" s="14">
        <v>10.199999999999999</v>
      </c>
      <c r="E36" s="3">
        <f t="shared" si="2"/>
        <v>8.9531779402009549E-3</v>
      </c>
      <c r="F36" s="4">
        <f t="shared" si="1"/>
        <v>735.91322414990054</v>
      </c>
    </row>
    <row r="37" spans="1:6">
      <c r="A37" s="7">
        <v>43240</v>
      </c>
      <c r="B37" s="1">
        <v>0.33333333333333331</v>
      </c>
      <c r="C37" s="14">
        <v>7889.2</v>
      </c>
      <c r="D37" s="14">
        <v>11.2</v>
      </c>
      <c r="E37" s="3">
        <f t="shared" si="2"/>
        <v>9.9520768971801087E-3</v>
      </c>
      <c r="F37" s="4">
        <f t="shared" si="1"/>
        <v>736.01511184351239</v>
      </c>
    </row>
    <row r="38" spans="1:6">
      <c r="A38" s="7">
        <v>43250</v>
      </c>
      <c r="B38" s="1">
        <v>0.33333333333333331</v>
      </c>
      <c r="C38" s="14">
        <v>7879.7</v>
      </c>
      <c r="D38" s="14">
        <v>10.1</v>
      </c>
      <c r="E38" s="3">
        <f t="shared" si="2"/>
        <v>9.5837671394250305E-3</v>
      </c>
      <c r="F38" s="4">
        <f t="shared" si="1"/>
        <v>735.97754424822131</v>
      </c>
    </row>
    <row r="39" spans="1:6">
      <c r="A39" s="7">
        <v>43261</v>
      </c>
      <c r="B39" s="1">
        <v>0.33333333333333331</v>
      </c>
      <c r="C39" s="14">
        <v>7837</v>
      </c>
      <c r="D39" s="14">
        <v>10.1</v>
      </c>
      <c r="E39" s="3">
        <f t="shared" si="2"/>
        <v>1.2439817620576037E-2</v>
      </c>
      <c r="F39" s="4">
        <f t="shared" si="1"/>
        <v>736.26886139729879</v>
      </c>
    </row>
    <row r="40" spans="1:6">
      <c r="A40" s="7">
        <v>43271</v>
      </c>
      <c r="B40" s="1">
        <v>0.33333333333333331</v>
      </c>
      <c r="C40" s="14">
        <v>7720.7</v>
      </c>
      <c r="D40" s="14">
        <v>10.1</v>
      </c>
      <c r="E40" s="3">
        <f t="shared" si="2"/>
        <v>2.0237313711465015E-2</v>
      </c>
      <c r="F40" s="4">
        <f t="shared" si="1"/>
        <v>737.06420599856938</v>
      </c>
    </row>
    <row r="41" spans="1:6">
      <c r="A41" s="7">
        <v>43281</v>
      </c>
      <c r="B41" s="1">
        <v>0.33333333333333331</v>
      </c>
      <c r="C41" s="14">
        <v>7733.8</v>
      </c>
      <c r="D41" s="14">
        <v>10.199999999999999</v>
      </c>
      <c r="E41" s="3">
        <f t="shared" si="2"/>
        <v>1.9448848630560015E-2</v>
      </c>
      <c r="F41" s="4">
        <f t="shared" si="1"/>
        <v>736.98378256031708</v>
      </c>
    </row>
    <row r="42" spans="1:6">
      <c r="A42" s="7">
        <v>43291</v>
      </c>
      <c r="B42" s="1">
        <v>0.33333333333333331</v>
      </c>
      <c r="C42" s="14">
        <v>7804.2</v>
      </c>
      <c r="D42" s="14">
        <v>10.1</v>
      </c>
      <c r="E42" s="3">
        <f t="shared" si="2"/>
        <v>1.4636183969280053E-2</v>
      </c>
      <c r="F42" s="4">
        <f t="shared" si="1"/>
        <v>736.49289076486662</v>
      </c>
    </row>
    <row r="43" spans="1:6">
      <c r="A43" s="7">
        <v>43301</v>
      </c>
      <c r="B43" s="1">
        <v>0.33333333333333331</v>
      </c>
      <c r="C43" s="14">
        <v>7815.6</v>
      </c>
      <c r="D43" s="14">
        <v>10.199999999999999</v>
      </c>
      <c r="E43" s="3">
        <f t="shared" si="2"/>
        <v>1.3963770190171979E-2</v>
      </c>
      <c r="F43" s="4">
        <f t="shared" si="1"/>
        <v>736.42430455939757</v>
      </c>
    </row>
    <row r="44" spans="1:6">
      <c r="A44" s="7">
        <v>43311</v>
      </c>
      <c r="B44" s="1">
        <v>0.33333333333333331</v>
      </c>
      <c r="C44" s="14">
        <v>7817.2</v>
      </c>
      <c r="D44" s="14">
        <v>10.1</v>
      </c>
      <c r="E44" s="3">
        <f t="shared" si="2"/>
        <v>1.3765413946300081E-2</v>
      </c>
      <c r="F44" s="4">
        <f t="shared" si="1"/>
        <v>736.40407222252259</v>
      </c>
    </row>
    <row r="45" spans="1:6">
      <c r="A45" s="7">
        <v>43322</v>
      </c>
      <c r="B45" s="1">
        <v>0.33333333333333331</v>
      </c>
      <c r="C45" s="14">
        <v>7770.8</v>
      </c>
      <c r="D45" s="14">
        <v>10.1</v>
      </c>
      <c r="E45" s="3">
        <f t="shared" si="2"/>
        <v>1.6874952318780039E-2</v>
      </c>
      <c r="F45" s="4">
        <f t="shared" si="1"/>
        <v>736.72124513651556</v>
      </c>
    </row>
    <row r="46" spans="1:6">
      <c r="A46" s="7">
        <v>43332</v>
      </c>
      <c r="B46" s="1">
        <v>0.33333333333333331</v>
      </c>
      <c r="C46" s="14">
        <v>7804.9</v>
      </c>
      <c r="D46" s="14">
        <v>9.6999999999999993</v>
      </c>
      <c r="E46" s="3">
        <f t="shared" ref="E46:E63" si="3">($B$2*C46^2+$B$3*C46+$B$4)-$B$5*D46-$E$7</f>
        <v>1.4224476090137047E-2</v>
      </c>
      <c r="F46" s="4">
        <f t="shared" ref="F46:F63" si="4">$D$1+102*E46</f>
        <v>736.45089656119399</v>
      </c>
    </row>
    <row r="47" spans="1:6">
      <c r="A47" s="7">
        <v>43342</v>
      </c>
      <c r="B47" s="1">
        <v>0.33333333333333331</v>
      </c>
      <c r="C47" s="14">
        <v>7781.5</v>
      </c>
      <c r="D47" s="14">
        <v>9.9</v>
      </c>
      <c r="E47" s="3">
        <f t="shared" si="3"/>
        <v>1.5975091927400976E-2</v>
      </c>
      <c r="F47" s="4">
        <f t="shared" si="4"/>
        <v>736.62945937659492</v>
      </c>
    </row>
    <row r="48" spans="1:6">
      <c r="A48" s="7">
        <v>43353</v>
      </c>
      <c r="B48" s="1">
        <v>0.33333333333333331</v>
      </c>
      <c r="C48" s="14">
        <v>7681.7</v>
      </c>
      <c r="D48" s="14">
        <v>10.5</v>
      </c>
      <c r="E48" s="3">
        <f t="shared" si="3"/>
        <v>2.3223028480504972E-2</v>
      </c>
      <c r="F48" s="4">
        <f t="shared" si="4"/>
        <v>737.36874890501156</v>
      </c>
    </row>
    <row r="49" spans="1:6">
      <c r="A49" s="7">
        <v>43363</v>
      </c>
      <c r="B49" s="1">
        <v>0.33333333333333331</v>
      </c>
      <c r="C49" s="14">
        <v>7740.2</v>
      </c>
      <c r="D49" s="14">
        <v>9.8000000000000007</v>
      </c>
      <c r="E49" s="3">
        <f t="shared" si="3"/>
        <v>1.8654401135520051E-2</v>
      </c>
      <c r="F49" s="4">
        <f t="shared" si="4"/>
        <v>736.90274891582305</v>
      </c>
    </row>
    <row r="50" spans="1:6">
      <c r="A50" s="7">
        <v>43373</v>
      </c>
      <c r="B50" s="1">
        <v>0.33333333333333331</v>
      </c>
      <c r="C50" s="14">
        <v>7751.3</v>
      </c>
      <c r="D50" s="14">
        <v>9.5</v>
      </c>
      <c r="E50" s="3">
        <f t="shared" si="3"/>
        <v>1.7635838114984929E-2</v>
      </c>
      <c r="F50" s="4">
        <f t="shared" si="4"/>
        <v>736.79885548772847</v>
      </c>
    </row>
    <row r="51" spans="1:6">
      <c r="A51" s="7">
        <v>43383</v>
      </c>
      <c r="B51" s="1">
        <v>0.33333333333333331</v>
      </c>
      <c r="C51" s="14">
        <v>7752.4</v>
      </c>
      <c r="D51" s="14">
        <v>9.5</v>
      </c>
      <c r="E51" s="3">
        <f t="shared" si="3"/>
        <v>1.7562027314812049E-2</v>
      </c>
      <c r="F51" s="4">
        <f t="shared" si="4"/>
        <v>736.79132678611086</v>
      </c>
    </row>
    <row r="52" spans="1:6">
      <c r="A52" s="7">
        <v>43393</v>
      </c>
      <c r="B52" s="1">
        <v>0.33333333333333331</v>
      </c>
      <c r="C52" s="14">
        <v>7753.6</v>
      </c>
      <c r="D52" s="14">
        <v>9.3000000000000007</v>
      </c>
      <c r="E52" s="3">
        <f t="shared" si="3"/>
        <v>1.7299103418731931E-2</v>
      </c>
      <c r="F52" s="4">
        <f t="shared" si="4"/>
        <v>736.76450854871064</v>
      </c>
    </row>
    <row r="53" spans="1:6">
      <c r="A53" s="32">
        <v>43605</v>
      </c>
      <c r="B53" s="1">
        <v>0.33333333333333331</v>
      </c>
      <c r="C53" s="14">
        <v>7782.4</v>
      </c>
      <c r="D53" s="14">
        <v>9</v>
      </c>
      <c r="E53" s="3">
        <f t="shared" si="3"/>
        <v>1.50939296832121E-2</v>
      </c>
      <c r="F53" s="4">
        <f t="shared" si="4"/>
        <v>736.53958082768759</v>
      </c>
    </row>
    <row r="54" spans="1:6">
      <c r="A54" s="32">
        <v>43615</v>
      </c>
      <c r="B54" s="1">
        <v>0.33333333333333331</v>
      </c>
      <c r="C54" s="14">
        <v>7783.6</v>
      </c>
      <c r="D54" s="14">
        <v>9.1999999999999993</v>
      </c>
      <c r="E54" s="3">
        <f t="shared" si="3"/>
        <v>1.5195889826332062E-2</v>
      </c>
      <c r="F54" s="4">
        <f t="shared" si="4"/>
        <v>736.54998076228583</v>
      </c>
    </row>
    <row r="55" spans="1:6">
      <c r="A55" s="32">
        <v>43626</v>
      </c>
      <c r="B55" s="1">
        <v>0.33333333333333331</v>
      </c>
      <c r="C55" s="14">
        <v>7785.3</v>
      </c>
      <c r="D55" s="14">
        <v>9.1999999999999993</v>
      </c>
      <c r="E55" s="3">
        <f t="shared" si="3"/>
        <v>1.5081930105824967E-2</v>
      </c>
      <c r="F55" s="4">
        <f t="shared" si="4"/>
        <v>736.53835687079413</v>
      </c>
    </row>
    <row r="56" spans="1:6">
      <c r="A56" s="32">
        <v>43636</v>
      </c>
      <c r="B56" s="1">
        <v>0.33333333333333331</v>
      </c>
      <c r="C56" s="14">
        <v>7787.4</v>
      </c>
      <c r="D56" s="14">
        <v>9.4</v>
      </c>
      <c r="E56" s="3">
        <f t="shared" si="3"/>
        <v>1.5123570162112059E-2</v>
      </c>
      <c r="F56" s="4">
        <f t="shared" si="4"/>
        <v>736.54260415653539</v>
      </c>
    </row>
    <row r="57" spans="1:6">
      <c r="A57" s="7">
        <v>43646</v>
      </c>
      <c r="B57" s="1">
        <v>0.33333333333333331</v>
      </c>
      <c r="C57" s="14">
        <v>7758.1</v>
      </c>
      <c r="D57" s="14">
        <v>9.3000000000000007</v>
      </c>
      <c r="E57" s="3">
        <f t="shared" si="3"/>
        <v>1.6997186364896954E-2</v>
      </c>
      <c r="F57" s="4">
        <f t="shared" si="4"/>
        <v>736.73371300921951</v>
      </c>
    </row>
    <row r="58" spans="1:6">
      <c r="A58" s="7">
        <v>43656</v>
      </c>
      <c r="B58" s="1">
        <v>0.33333333333333331</v>
      </c>
      <c r="C58" s="14">
        <v>7731.2</v>
      </c>
      <c r="D58" s="14">
        <v>9.3000000000000007</v>
      </c>
      <c r="E58" s="3">
        <f t="shared" si="3"/>
        <v>1.8802585655660019E-2</v>
      </c>
      <c r="F58" s="4">
        <f t="shared" si="4"/>
        <v>736.91786373687728</v>
      </c>
    </row>
    <row r="59" spans="1:6">
      <c r="A59" s="7">
        <v>43666</v>
      </c>
      <c r="B59" s="1">
        <v>0.33333333333333331</v>
      </c>
      <c r="C59" s="14">
        <v>7697.3</v>
      </c>
      <c r="D59" s="14">
        <v>9</v>
      </c>
      <c r="E59" s="3">
        <f t="shared" si="3"/>
        <v>2.0806256446144974E-2</v>
      </c>
      <c r="F59" s="4">
        <f t="shared" si="4"/>
        <v>737.12223815750679</v>
      </c>
    </row>
    <row r="60" spans="1:6">
      <c r="A60" s="7">
        <v>43676</v>
      </c>
      <c r="B60" s="1">
        <v>0.33333333333333331</v>
      </c>
      <c r="C60" s="14">
        <v>7692.1</v>
      </c>
      <c r="D60" s="14">
        <v>9.1</v>
      </c>
      <c r="E60" s="3">
        <f t="shared" si="3"/>
        <v>2.1246981114377079E-2</v>
      </c>
      <c r="F60" s="4">
        <f t="shared" si="4"/>
        <v>737.16719207366646</v>
      </c>
    </row>
    <row r="61" spans="1:6">
      <c r="A61" s="7">
        <v>43687</v>
      </c>
      <c r="B61" s="1">
        <v>0.33333333333333331</v>
      </c>
      <c r="C61" s="14">
        <v>7676.1</v>
      </c>
      <c r="D61" s="14">
        <v>9.1999999999999993</v>
      </c>
      <c r="E61" s="3">
        <f t="shared" si="3"/>
        <v>2.2413976878057063E-2</v>
      </c>
      <c r="F61" s="4">
        <f t="shared" si="4"/>
        <v>737.28622564156183</v>
      </c>
    </row>
    <row r="62" spans="1:6">
      <c r="A62" s="7">
        <v>43697</v>
      </c>
      <c r="B62" s="1">
        <v>0.33333333333333331</v>
      </c>
      <c r="C62" s="14">
        <v>7657.3</v>
      </c>
      <c r="D62" s="14">
        <v>9</v>
      </c>
      <c r="E62" s="3">
        <f t="shared" si="3"/>
        <v>2.3496285923744972E-2</v>
      </c>
      <c r="F62" s="4">
        <f t="shared" si="4"/>
        <v>737.39662116422198</v>
      </c>
    </row>
    <row r="63" spans="1:6">
      <c r="A63" s="7">
        <v>43707</v>
      </c>
      <c r="B63" s="1">
        <v>0.33333333333333331</v>
      </c>
      <c r="C63" s="14">
        <v>7649.5</v>
      </c>
      <c r="D63" s="14">
        <v>9.1</v>
      </c>
      <c r="E63" s="3">
        <f t="shared" si="3"/>
        <v>2.4112419686201054E-2</v>
      </c>
      <c r="F63" s="4">
        <f t="shared" si="4"/>
        <v>737.4594668079925</v>
      </c>
    </row>
  </sheetData>
  <phoneticPr fontId="4" type="noConversion"/>
  <pageMargins left="0.69930555555555596" right="0.69930555555555596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0"/>
  <sheetViews>
    <sheetView topLeftCell="A56" workbookViewId="0">
      <selection activeCell="A74" sqref="A74:B80"/>
    </sheetView>
  </sheetViews>
  <sheetFormatPr defaultColWidth="9" defaultRowHeight="13.5"/>
  <cols>
    <col min="1" max="1" width="11.625" bestFit="1" customWidth="1"/>
    <col min="2" max="2" width="13.875" customWidth="1"/>
  </cols>
  <sheetData>
    <row r="1" spans="1:7">
      <c r="A1" t="s">
        <v>0</v>
      </c>
      <c r="B1">
        <v>50344</v>
      </c>
      <c r="C1" t="s">
        <v>1</v>
      </c>
      <c r="D1">
        <v>734</v>
      </c>
    </row>
    <row r="2" spans="1:7">
      <c r="A2" t="s">
        <v>2</v>
      </c>
      <c r="B2">
        <f>3.647*10^(-10)</f>
        <v>3.6469999999999999E-10</v>
      </c>
    </row>
    <row r="3" spans="1:7">
      <c r="A3" t="s">
        <v>3</v>
      </c>
      <c r="B3">
        <f>-0.0000758543</f>
        <v>-7.5854300000000003E-5</v>
      </c>
    </row>
    <row r="4" spans="1:7">
      <c r="A4" t="s">
        <v>4</v>
      </c>
      <c r="B4">
        <f>0.67077481</f>
        <v>0.67077481000000005</v>
      </c>
    </row>
    <row r="5" spans="1:7">
      <c r="A5" t="s">
        <v>5</v>
      </c>
      <c r="B5">
        <f>-0.001094843</f>
        <v>-1.0948430000000001E-3</v>
      </c>
    </row>
    <row r="6" spans="1:7">
      <c r="A6" t="s">
        <v>6</v>
      </c>
      <c r="B6" t="s">
        <v>7</v>
      </c>
      <c r="C6" t="s">
        <v>8</v>
      </c>
      <c r="D6" t="s">
        <v>9</v>
      </c>
      <c r="E6" t="s">
        <v>10</v>
      </c>
      <c r="F6" t="s">
        <v>11</v>
      </c>
      <c r="G6" t="s">
        <v>12</v>
      </c>
    </row>
    <row r="7" spans="1:7">
      <c r="A7" s="7">
        <v>42259</v>
      </c>
      <c r="B7" s="1">
        <v>0.6875</v>
      </c>
      <c r="C7" s="2">
        <v>8813</v>
      </c>
      <c r="D7" s="2">
        <v>13.3</v>
      </c>
      <c r="E7" s="3">
        <f>($B$2*C7^2+$B$3*C7+$B$4)-$B$5*D7</f>
        <v>4.5158148994299999E-2</v>
      </c>
      <c r="G7" t="s">
        <v>13</v>
      </c>
    </row>
    <row r="8" spans="1:7">
      <c r="A8" s="7">
        <v>42259</v>
      </c>
      <c r="B8" s="1">
        <v>0.83333333333333304</v>
      </c>
      <c r="C8" s="2">
        <v>7937.6</v>
      </c>
      <c r="D8" s="2">
        <v>9.9</v>
      </c>
      <c r="E8" s="3">
        <f>($B$2*C8^2+$B$3*C8+$B$4)-$B$5*D8-$E$7</f>
        <v>5.7332618599972018E-2</v>
      </c>
      <c r="F8" s="4">
        <f>$D$1+102*E8</f>
        <v>739.84792709719716</v>
      </c>
      <c r="G8" t="s">
        <v>17</v>
      </c>
    </row>
    <row r="9" spans="1:7">
      <c r="A9" s="7">
        <v>42260</v>
      </c>
      <c r="B9" s="1">
        <v>0.33333333333333298</v>
      </c>
      <c r="C9" s="2">
        <v>7349.9</v>
      </c>
      <c r="D9" s="2">
        <v>17.100000000000001</v>
      </c>
      <c r="E9" s="3">
        <f t="shared" ref="E9:E24" si="0">($B$2*C9^2+$B$3*C9+$B$4)-$B$5*D9-$E$7</f>
        <v>0.10651842638034713</v>
      </c>
      <c r="F9" s="4">
        <f t="shared" ref="F9:F62" si="1">$D$1+102*E9</f>
        <v>744.86487949079537</v>
      </c>
      <c r="G9" t="s">
        <v>14</v>
      </c>
    </row>
    <row r="10" spans="1:7">
      <c r="A10" s="7">
        <v>42261</v>
      </c>
      <c r="B10" s="1">
        <v>0.33333333333333298</v>
      </c>
      <c r="C10" s="2">
        <v>8695.5</v>
      </c>
      <c r="D10" s="2">
        <v>27.6</v>
      </c>
      <c r="E10" s="3">
        <f t="shared" si="0"/>
        <v>2.381885653087501E-2</v>
      </c>
      <c r="F10" s="4">
        <f t="shared" si="1"/>
        <v>736.42952336614928</v>
      </c>
    </row>
    <row r="11" spans="1:7">
      <c r="A11" s="7">
        <v>42262</v>
      </c>
      <c r="B11" s="1">
        <v>0.33333333333333298</v>
      </c>
      <c r="C11" s="2">
        <v>8651.2999999999993</v>
      </c>
      <c r="D11" s="2">
        <v>28.1</v>
      </c>
      <c r="E11" s="3">
        <f t="shared" si="0"/>
        <v>2.7439412185043116E-2</v>
      </c>
      <c r="F11" s="4">
        <f t="shared" si="1"/>
        <v>736.79882004287435</v>
      </c>
    </row>
    <row r="12" spans="1:7">
      <c r="A12" s="7">
        <v>42263</v>
      </c>
      <c r="B12" s="1">
        <v>0.33333333333333298</v>
      </c>
      <c r="C12" s="2">
        <v>8974.7000000000007</v>
      </c>
      <c r="D12" s="2">
        <v>27.6</v>
      </c>
      <c r="E12" s="3">
        <f t="shared" si="0"/>
        <v>4.4395906565229959E-3</v>
      </c>
      <c r="F12" s="4">
        <f t="shared" si="1"/>
        <v>734.45283824696537</v>
      </c>
    </row>
    <row r="13" spans="1:7">
      <c r="A13" s="7">
        <v>42264</v>
      </c>
      <c r="B13" s="1">
        <v>0.33333333333333298</v>
      </c>
      <c r="C13" s="2">
        <v>8952.7000000000007</v>
      </c>
      <c r="D13" s="2">
        <v>26.8</v>
      </c>
      <c r="E13" s="3">
        <f t="shared" si="0"/>
        <v>5.0886721553630512E-3</v>
      </c>
      <c r="F13" s="4">
        <f t="shared" si="1"/>
        <v>734.51904455984698</v>
      </c>
    </row>
    <row r="14" spans="1:7">
      <c r="A14" s="7">
        <v>42265</v>
      </c>
      <c r="B14" s="1">
        <v>0.33333333333333298</v>
      </c>
      <c r="C14" s="2">
        <v>8933.1</v>
      </c>
      <c r="D14" s="2">
        <v>26</v>
      </c>
      <c r="E14" s="3">
        <f t="shared" si="0"/>
        <v>5.5716921906669575E-3</v>
      </c>
      <c r="F14" s="4">
        <f t="shared" si="1"/>
        <v>734.56831260344802</v>
      </c>
    </row>
    <row r="15" spans="1:7">
      <c r="A15" s="7">
        <v>42266</v>
      </c>
      <c r="B15" s="1">
        <v>0.33333333333333298</v>
      </c>
      <c r="C15" s="2">
        <v>8794.7000000000007</v>
      </c>
      <c r="D15" s="2">
        <v>25.5</v>
      </c>
      <c r="E15" s="3">
        <f t="shared" si="0"/>
        <v>1.4627704324123011E-2</v>
      </c>
      <c r="F15" s="4">
        <f t="shared" si="1"/>
        <v>735.49202584106058</v>
      </c>
    </row>
    <row r="16" spans="1:7">
      <c r="A16" s="7">
        <v>42273</v>
      </c>
      <c r="B16" s="1">
        <v>0.33333333333333298</v>
      </c>
      <c r="C16" s="2">
        <v>8598.2999999999993</v>
      </c>
      <c r="D16" s="2">
        <v>22</v>
      </c>
      <c r="E16" s="3">
        <f t="shared" si="0"/>
        <v>2.4447728541683089E-2</v>
      </c>
      <c r="F16" s="4">
        <f t="shared" si="1"/>
        <v>736.49366831125167</v>
      </c>
    </row>
    <row r="17" spans="1:7">
      <c r="A17" s="7">
        <v>42280</v>
      </c>
      <c r="B17" s="1">
        <v>0.33333333333333298</v>
      </c>
      <c r="C17" s="2">
        <v>8858.1</v>
      </c>
      <c r="D17" s="2">
        <v>19.899999999999999</v>
      </c>
      <c r="E17" s="3">
        <f t="shared" si="0"/>
        <v>4.0955885926670516E-3</v>
      </c>
      <c r="F17" s="4">
        <f t="shared" si="1"/>
        <v>734.41775003645205</v>
      </c>
    </row>
    <row r="18" spans="1:7">
      <c r="A18" s="7">
        <v>42287</v>
      </c>
      <c r="B18" s="1">
        <v>0.33333333333333298</v>
      </c>
      <c r="C18" s="2">
        <v>8838.6</v>
      </c>
      <c r="D18" s="2">
        <v>18.600000000000001</v>
      </c>
      <c r="E18" s="3">
        <f t="shared" si="0"/>
        <v>4.0255988061120296E-3</v>
      </c>
      <c r="F18" s="4">
        <f t="shared" si="1"/>
        <v>734.41061107822338</v>
      </c>
    </row>
    <row r="19" spans="1:7">
      <c r="A19" s="7">
        <v>42294</v>
      </c>
      <c r="B19" s="1">
        <v>0.33333333333333298</v>
      </c>
      <c r="C19" s="2">
        <v>8813.1</v>
      </c>
      <c r="D19" s="2">
        <v>16.600000000000001</v>
      </c>
      <c r="E19" s="3">
        <f t="shared" si="0"/>
        <v>3.6060392938670194E-3</v>
      </c>
      <c r="F19" s="4">
        <f t="shared" si="1"/>
        <v>734.3678160079744</v>
      </c>
      <c r="G19" s="2"/>
    </row>
    <row r="20" spans="1:7">
      <c r="A20" s="7">
        <v>42297</v>
      </c>
      <c r="B20" s="1">
        <v>0.33333333333333298</v>
      </c>
      <c r="C20" s="2">
        <v>8818</v>
      </c>
      <c r="D20" s="2">
        <v>15.8</v>
      </c>
      <c r="E20" s="3">
        <f t="shared" si="0"/>
        <v>2.3899861285000545E-3</v>
      </c>
      <c r="F20" s="4">
        <f t="shared" si="1"/>
        <v>734.24377858510695</v>
      </c>
      <c r="G20" s="2"/>
    </row>
    <row r="21" spans="1:7">
      <c r="A21" s="7">
        <v>42301</v>
      </c>
      <c r="B21" s="1">
        <v>0.33333333333333298</v>
      </c>
      <c r="C21" s="2">
        <v>8799</v>
      </c>
      <c r="D21" s="2">
        <v>15</v>
      </c>
      <c r="E21" s="3">
        <f t="shared" si="0"/>
        <v>2.8332699504000358E-3</v>
      </c>
      <c r="F21" s="4">
        <f t="shared" si="1"/>
        <v>734.2889935349408</v>
      </c>
      <c r="G21" s="2"/>
    </row>
    <row r="22" spans="1:7">
      <c r="A22" s="7">
        <v>42521</v>
      </c>
      <c r="B22" s="1">
        <v>0.33333333333333298</v>
      </c>
      <c r="C22" s="14">
        <v>8660.7000000000007</v>
      </c>
      <c r="D22" s="15">
        <v>3.6</v>
      </c>
      <c r="E22" s="3">
        <f t="shared" si="0"/>
        <v>-3.7923082797090835E-5</v>
      </c>
      <c r="F22" s="4">
        <f t="shared" si="1"/>
        <v>733.99613184555471</v>
      </c>
    </row>
    <row r="23" spans="1:7">
      <c r="A23" s="7">
        <v>42531</v>
      </c>
      <c r="B23" s="1">
        <v>0.33333333333333298</v>
      </c>
      <c r="C23" s="14">
        <v>8681.4</v>
      </c>
      <c r="D23" s="14">
        <v>5</v>
      </c>
      <c r="E23" s="3">
        <f t="shared" si="0"/>
        <v>5.5593649312103699E-5</v>
      </c>
      <c r="F23" s="4">
        <f t="shared" si="1"/>
        <v>734.00567055222984</v>
      </c>
    </row>
    <row r="24" spans="1:7">
      <c r="A24" s="6">
        <v>42541</v>
      </c>
      <c r="B24" s="1">
        <v>0.33333333333333298</v>
      </c>
      <c r="C24" s="14">
        <v>8559</v>
      </c>
      <c r="D24" s="14">
        <v>6</v>
      </c>
      <c r="E24" s="3">
        <f t="shared" si="0"/>
        <v>9.6654039264000013E-3</v>
      </c>
      <c r="F24" s="4">
        <f t="shared" si="1"/>
        <v>734.98587120049285</v>
      </c>
    </row>
    <row r="25" spans="1:7">
      <c r="A25" s="7">
        <v>42551</v>
      </c>
      <c r="B25" s="9">
        <v>0.33333333333333298</v>
      </c>
      <c r="C25" s="14">
        <v>8656.7999999999993</v>
      </c>
      <c r="D25" s="14">
        <v>7.2</v>
      </c>
      <c r="E25" s="3">
        <f>($B$2*C25^2+$B$3*C25+$B$4)-$B$5*D25-$E$7</f>
        <v>4.1747122874281409E-3</v>
      </c>
      <c r="F25" s="4">
        <f t="shared" si="1"/>
        <v>734.42582065331771</v>
      </c>
    </row>
    <row r="26" spans="1:7">
      <c r="A26" s="7">
        <v>42561</v>
      </c>
      <c r="B26" s="9">
        <v>0.33333333333333298</v>
      </c>
      <c r="C26" s="14">
        <v>8734.7999999999993</v>
      </c>
      <c r="D26" s="14">
        <v>9.5</v>
      </c>
      <c r="E26" s="3">
        <f>($B$2*C26^2+$B$3*C26+$B$4)-$B$5*D26-$E$7</f>
        <v>1.270947675988135E-3</v>
      </c>
      <c r="F26" s="4">
        <f t="shared" si="1"/>
        <v>734.12963666295082</v>
      </c>
    </row>
    <row r="27" spans="1:7">
      <c r="A27" s="7">
        <v>42571</v>
      </c>
      <c r="B27" s="9">
        <v>0.33333333333333298</v>
      </c>
      <c r="C27" s="14">
        <v>8767</v>
      </c>
      <c r="D27" s="14">
        <v>11.7</v>
      </c>
      <c r="E27" s="3">
        <f>($B$2*C27^2+$B$3*C27+$B$4)-$B$5*D27-$E$7</f>
        <v>1.4426234040000943E-3</v>
      </c>
      <c r="F27" s="4">
        <f t="shared" si="1"/>
        <v>734.147147587208</v>
      </c>
    </row>
    <row r="28" spans="1:7">
      <c r="A28" s="7">
        <v>42581</v>
      </c>
      <c r="B28" s="9">
        <v>0.33333333333333298</v>
      </c>
      <c r="C28" s="14">
        <v>8798.2999999999993</v>
      </c>
      <c r="D28" s="14">
        <v>14</v>
      </c>
      <c r="E28" s="3">
        <f>($B$2*C28^2+$B$3*C28+$B$4)-$B$5*D28-$E$7</f>
        <v>1.7870325456831176E-3</v>
      </c>
      <c r="F28" s="4">
        <f t="shared" si="1"/>
        <v>734.18227731965965</v>
      </c>
    </row>
    <row r="29" spans="1:7">
      <c r="A29" s="7">
        <v>42592</v>
      </c>
      <c r="B29" s="1">
        <v>0.33333333333333298</v>
      </c>
      <c r="C29">
        <v>8821.9</v>
      </c>
      <c r="D29">
        <v>15.6</v>
      </c>
      <c r="E29" s="3">
        <f t="shared" ref="E29:E53" si="2">($B$2*C29^2+$B$3*C29+$B$4)-$B$5*D29-$E$7</f>
        <v>1.9002755174669927E-3</v>
      </c>
      <c r="F29" s="4">
        <f t="shared" si="1"/>
        <v>734.19382810278159</v>
      </c>
    </row>
    <row r="30" spans="1:7">
      <c r="A30" s="7">
        <v>42602</v>
      </c>
      <c r="B30" s="1">
        <v>0.33333333333333298</v>
      </c>
      <c r="C30">
        <v>8858.6</v>
      </c>
      <c r="D30">
        <v>17.100000000000001</v>
      </c>
      <c r="E30" s="3">
        <f t="shared" si="2"/>
        <v>9.9533168291197904E-4</v>
      </c>
      <c r="F30" s="4">
        <f t="shared" si="1"/>
        <v>734.101523831657</v>
      </c>
    </row>
    <row r="31" spans="1:7">
      <c r="A31" s="7">
        <v>42612</v>
      </c>
      <c r="B31" s="1">
        <v>0.33333333333333298</v>
      </c>
      <c r="C31">
        <v>8883.1</v>
      </c>
      <c r="D31">
        <v>17.7</v>
      </c>
      <c r="E31" s="3">
        <f t="shared" si="2"/>
        <v>-4.7668116333068888E-5</v>
      </c>
      <c r="F31" s="4">
        <f t="shared" si="1"/>
        <v>733.99513785213401</v>
      </c>
    </row>
    <row r="32" spans="1:7">
      <c r="A32" s="7">
        <v>42623</v>
      </c>
      <c r="B32" s="1">
        <v>0.33333333333333298</v>
      </c>
      <c r="C32">
        <v>8842.2999999999993</v>
      </c>
      <c r="D32">
        <v>17.5</v>
      </c>
      <c r="E32" s="3">
        <f t="shared" si="2"/>
        <v>2.5644690257630443E-3</v>
      </c>
      <c r="F32" s="4">
        <f t="shared" si="1"/>
        <v>734.26157584062787</v>
      </c>
    </row>
    <row r="33" spans="1:6">
      <c r="A33" s="7">
        <v>42633</v>
      </c>
      <c r="B33" s="1">
        <v>0.33333333333333331</v>
      </c>
      <c r="C33">
        <v>8812.5</v>
      </c>
      <c r="D33">
        <v>17</v>
      </c>
      <c r="E33" s="3">
        <f t="shared" si="2"/>
        <v>4.0856322400750836E-3</v>
      </c>
      <c r="F33" s="4">
        <f t="shared" si="1"/>
        <v>734.41673448848769</v>
      </c>
    </row>
    <row r="34" spans="1:6">
      <c r="A34" s="7">
        <v>42643</v>
      </c>
      <c r="B34" s="1">
        <v>0.33333333333333331</v>
      </c>
      <c r="C34">
        <v>8595.9</v>
      </c>
      <c r="D34">
        <v>15.9</v>
      </c>
      <c r="E34" s="3">
        <f t="shared" si="2"/>
        <v>1.7936186822307118E-2</v>
      </c>
      <c r="F34" s="4">
        <f t="shared" si="1"/>
        <v>735.82949105587534</v>
      </c>
    </row>
    <row r="35" spans="1:6">
      <c r="A35" s="7">
        <v>42653</v>
      </c>
      <c r="B35" s="1">
        <v>0.33333333333333331</v>
      </c>
      <c r="C35">
        <v>8723.1</v>
      </c>
      <c r="D35">
        <v>15</v>
      </c>
      <c r="E35" s="3">
        <f t="shared" si="2"/>
        <v>8.1055868012669674E-3</v>
      </c>
      <c r="F35" s="4">
        <f t="shared" si="1"/>
        <v>734.82676985372927</v>
      </c>
    </row>
    <row r="36" spans="1:6">
      <c r="A36" s="7">
        <v>42855</v>
      </c>
      <c r="B36" s="1">
        <v>0.33333333333333331</v>
      </c>
      <c r="C36">
        <v>8414.5</v>
      </c>
      <c r="D36">
        <v>4.9000000000000004</v>
      </c>
      <c r="E36" s="3">
        <f t="shared" si="2"/>
        <v>1.8527533953875019E-2</v>
      </c>
      <c r="F36" s="4">
        <f t="shared" si="1"/>
        <v>735.88980846329525</v>
      </c>
    </row>
    <row r="37" spans="1:6">
      <c r="A37" s="7">
        <v>42865</v>
      </c>
      <c r="B37" s="1">
        <v>0.33333333333333331</v>
      </c>
      <c r="C37">
        <v>8342.4</v>
      </c>
      <c r="D37">
        <v>4.9000000000000004</v>
      </c>
      <c r="E37" s="3">
        <f t="shared" si="2"/>
        <v>2.3556008476772028E-2</v>
      </c>
      <c r="F37" s="4">
        <f t="shared" si="1"/>
        <v>736.40271286463076</v>
      </c>
    </row>
    <row r="38" spans="1:6">
      <c r="A38" s="7">
        <v>42875</v>
      </c>
      <c r="B38" s="1">
        <v>0.33333333333333331</v>
      </c>
      <c r="C38">
        <v>8387.6</v>
      </c>
      <c r="D38">
        <v>4.9000000000000004</v>
      </c>
      <c r="E38" s="3">
        <f t="shared" si="2"/>
        <v>2.0403178797971988E-2</v>
      </c>
      <c r="F38" s="4">
        <f t="shared" si="1"/>
        <v>736.08112423739317</v>
      </c>
    </row>
    <row r="39" spans="1:6">
      <c r="A39" s="7">
        <v>42885</v>
      </c>
      <c r="B39" s="1">
        <v>0.33333333333333331</v>
      </c>
      <c r="C39">
        <v>8426.9</v>
      </c>
      <c r="D39">
        <v>4.9000000000000004</v>
      </c>
      <c r="E39" s="3">
        <f t="shared" si="2"/>
        <v>1.7663102160267063E-2</v>
      </c>
      <c r="F39" s="4">
        <f t="shared" si="1"/>
        <v>735.80163642034722</v>
      </c>
    </row>
    <row r="40" spans="1:6">
      <c r="A40" s="7">
        <v>42896</v>
      </c>
      <c r="B40" s="1">
        <v>0.33333333333333331</v>
      </c>
      <c r="C40">
        <v>8422.4</v>
      </c>
      <c r="D40">
        <v>4.9000000000000004</v>
      </c>
      <c r="E40" s="3">
        <f t="shared" si="2"/>
        <v>1.7976794281572117E-2</v>
      </c>
      <c r="F40" s="4">
        <f t="shared" si="1"/>
        <v>735.83363301672034</v>
      </c>
    </row>
    <row r="41" spans="1:6">
      <c r="A41" s="7">
        <v>42906</v>
      </c>
      <c r="B41" s="1">
        <v>0.33333333333333331</v>
      </c>
      <c r="C41">
        <v>8409.5</v>
      </c>
      <c r="D41">
        <v>4.9000000000000004</v>
      </c>
      <c r="E41" s="3">
        <f t="shared" si="2"/>
        <v>1.8876126889875E-2</v>
      </c>
      <c r="F41" s="4">
        <f t="shared" si="1"/>
        <v>735.92536494276726</v>
      </c>
    </row>
    <row r="42" spans="1:6">
      <c r="A42" s="7">
        <v>42916</v>
      </c>
      <c r="B42" s="1">
        <v>0.33333333333333331</v>
      </c>
      <c r="C42">
        <v>8410.7000000000007</v>
      </c>
      <c r="D42">
        <v>5</v>
      </c>
      <c r="E42" s="3">
        <f t="shared" si="2"/>
        <v>1.8901947222202994E-2</v>
      </c>
      <c r="F42" s="4">
        <f t="shared" si="1"/>
        <v>735.92799861666469</v>
      </c>
    </row>
    <row r="43" spans="1:6">
      <c r="A43" s="7">
        <v>42926</v>
      </c>
      <c r="B43" s="1">
        <v>0.33333333333333331</v>
      </c>
      <c r="C43">
        <v>8431.7000000000007</v>
      </c>
      <c r="D43">
        <v>5.0999999999999996</v>
      </c>
      <c r="E43" s="3">
        <f t="shared" si="2"/>
        <v>1.7547482111082938E-2</v>
      </c>
      <c r="F43" s="4">
        <f t="shared" si="1"/>
        <v>735.78984317533047</v>
      </c>
    </row>
    <row r="44" spans="1:6">
      <c r="A44" s="7">
        <v>42936</v>
      </c>
      <c r="B44" s="1">
        <v>0.33333333333333331</v>
      </c>
      <c r="C44">
        <v>8431.6</v>
      </c>
      <c r="D44">
        <v>5.3</v>
      </c>
      <c r="E44" s="3">
        <f t="shared" si="2"/>
        <v>1.7773421136532006E-2</v>
      </c>
      <c r="F44" s="4">
        <f t="shared" si="1"/>
        <v>735.81288895592627</v>
      </c>
    </row>
    <row r="45" spans="1:6">
      <c r="A45" s="7">
        <v>42946</v>
      </c>
      <c r="B45" s="1">
        <v>0.33333333333333331</v>
      </c>
      <c r="C45">
        <v>8444.9</v>
      </c>
      <c r="D45">
        <v>5.6</v>
      </c>
      <c r="E45" s="3">
        <f t="shared" si="2"/>
        <v>1.7174871478547057E-2</v>
      </c>
      <c r="F45" s="4">
        <f t="shared" si="1"/>
        <v>735.75183689081177</v>
      </c>
    </row>
    <row r="46" spans="1:6">
      <c r="A46" s="7">
        <v>42957</v>
      </c>
      <c r="B46" s="1">
        <v>0.33333333333333331</v>
      </c>
      <c r="C46">
        <v>8435.4</v>
      </c>
      <c r="D46">
        <v>5.9</v>
      </c>
      <c r="E46" s="3">
        <f t="shared" si="2"/>
        <v>1.8165455897152002E-2</v>
      </c>
      <c r="F46" s="4">
        <f t="shared" si="1"/>
        <v>735.85287650150951</v>
      </c>
    </row>
    <row r="47" spans="1:6">
      <c r="A47" s="7">
        <v>42967</v>
      </c>
      <c r="B47" s="1">
        <v>0.33333333333333331</v>
      </c>
      <c r="C47">
        <v>8430.6</v>
      </c>
      <c r="D47">
        <v>6</v>
      </c>
      <c r="E47" s="3">
        <f t="shared" si="2"/>
        <v>1.8609515892191925E-2</v>
      </c>
      <c r="F47" s="4">
        <f t="shared" si="1"/>
        <v>735.8981706210036</v>
      </c>
    </row>
    <row r="48" spans="1:6">
      <c r="A48" s="7">
        <v>42977</v>
      </c>
      <c r="B48" s="1">
        <v>0.33333333333333331</v>
      </c>
      <c r="C48">
        <v>8446.2999999999993</v>
      </c>
      <c r="D48">
        <v>6.3</v>
      </c>
      <c r="E48" s="3">
        <f t="shared" si="2"/>
        <v>1.784368986744303E-2</v>
      </c>
      <c r="F48" s="4">
        <f t="shared" si="1"/>
        <v>735.82005636647921</v>
      </c>
    </row>
    <row r="49" spans="1:6">
      <c r="A49" s="7">
        <v>42988</v>
      </c>
      <c r="B49" s="1">
        <v>0.33333333333333331</v>
      </c>
      <c r="C49">
        <v>8441.7000000000007</v>
      </c>
      <c r="D49">
        <v>7.3</v>
      </c>
      <c r="E49" s="3">
        <f t="shared" si="2"/>
        <v>1.9259131000882904E-2</v>
      </c>
      <c r="F49" s="4">
        <f t="shared" si="1"/>
        <v>735.96443136209007</v>
      </c>
    </row>
    <row r="50" spans="1:6">
      <c r="A50" s="7">
        <v>42998</v>
      </c>
      <c r="B50" s="1">
        <v>0.33333333333333331</v>
      </c>
      <c r="C50">
        <v>8460.6</v>
      </c>
      <c r="D50">
        <v>6.8</v>
      </c>
      <c r="E50" s="3">
        <f t="shared" si="2"/>
        <v>1.7394567911391989E-2</v>
      </c>
      <c r="F50" s="4">
        <f t="shared" si="1"/>
        <v>735.77424592696195</v>
      </c>
    </row>
    <row r="51" spans="1:6">
      <c r="A51" s="7">
        <v>43008</v>
      </c>
      <c r="B51" s="1">
        <v>0.33333333333333331</v>
      </c>
      <c r="C51">
        <v>8461.5</v>
      </c>
      <c r="D51">
        <v>7</v>
      </c>
      <c r="E51" s="3">
        <f t="shared" si="2"/>
        <v>1.7550821982275103E-2</v>
      </c>
      <c r="F51" s="4">
        <f t="shared" si="1"/>
        <v>735.79018384219205</v>
      </c>
    </row>
    <row r="52" spans="1:6">
      <c r="A52" s="7">
        <v>43018</v>
      </c>
      <c r="B52" s="1">
        <v>0.33333333333333331</v>
      </c>
      <c r="C52">
        <v>8460.4</v>
      </c>
      <c r="D52">
        <v>7.1</v>
      </c>
      <c r="E52" s="3">
        <f t="shared" si="2"/>
        <v>1.7736957453652114E-2</v>
      </c>
      <c r="F52" s="4">
        <f t="shared" si="1"/>
        <v>735.80916966027246</v>
      </c>
    </row>
    <row r="53" spans="1:6">
      <c r="A53" s="7">
        <v>43230</v>
      </c>
      <c r="B53" s="1">
        <v>0.33333333333333331</v>
      </c>
      <c r="C53">
        <v>8509.9</v>
      </c>
      <c r="D53">
        <v>9.6</v>
      </c>
      <c r="E53" s="3">
        <f t="shared" si="2"/>
        <v>1.7025635989947101E-2</v>
      </c>
      <c r="F53" s="4">
        <f t="shared" si="1"/>
        <v>735.73661487097456</v>
      </c>
    </row>
    <row r="54" spans="1:6">
      <c r="A54" s="7">
        <v>43240</v>
      </c>
      <c r="B54" s="1">
        <v>0.33333333333333331</v>
      </c>
      <c r="C54">
        <v>8508.2999999999993</v>
      </c>
      <c r="D54">
        <v>10.6</v>
      </c>
      <c r="E54" s="3">
        <f>($B$2*C54^2+$B$3*C54+$B$4)-$B$5*D54-$E$7</f>
        <v>1.8231915409883157E-2</v>
      </c>
      <c r="F54" s="4">
        <f t="shared" si="1"/>
        <v>735.85965537180812</v>
      </c>
    </row>
    <row r="55" spans="1:6">
      <c r="A55" s="7">
        <v>43250</v>
      </c>
      <c r="B55" s="1">
        <v>0.33333333333333331</v>
      </c>
      <c r="C55">
        <v>8501.1</v>
      </c>
      <c r="D55">
        <v>9.6999999999999993</v>
      </c>
      <c r="E55" s="3">
        <f>($B$2*C55^2+$B$3*C55+$B$4)-$B$5*D55-$E$7</f>
        <v>1.7748043706986988E-2</v>
      </c>
      <c r="F55" s="4">
        <f t="shared" si="1"/>
        <v>735.81030045811269</v>
      </c>
    </row>
    <row r="56" spans="1:6">
      <c r="A56" s="7">
        <v>43261</v>
      </c>
      <c r="B56" s="1">
        <v>0.33333333333333331</v>
      </c>
      <c r="C56">
        <v>8461.9</v>
      </c>
      <c r="D56">
        <v>9.6999999999999993</v>
      </c>
      <c r="E56" s="3">
        <f>($B$2*C56^2+$B$3*C56+$B$4)-$B$5*D56-$E$7</f>
        <v>2.0479025147867008E-2</v>
      </c>
      <c r="F56" s="4">
        <f t="shared" si="1"/>
        <v>736.08886056508243</v>
      </c>
    </row>
    <row r="57" spans="1:6">
      <c r="A57" s="7">
        <v>43271</v>
      </c>
      <c r="B57" s="1">
        <v>0.33333333333333331</v>
      </c>
      <c r="C57">
        <v>8350.6</v>
      </c>
      <c r="D57">
        <v>9.6999999999999993</v>
      </c>
      <c r="E57" s="3">
        <f>($B$2*C57^2+$B$3*C57+$B$4)-$B$5*D57-$E$7</f>
        <v>2.8239170700991995E-2</v>
      </c>
      <c r="F57" s="4">
        <f t="shared" si="1"/>
        <v>736.88039541150124</v>
      </c>
    </row>
    <row r="58" spans="1:6">
      <c r="A58" s="7">
        <v>43281</v>
      </c>
      <c r="B58" s="1">
        <v>0.33333333333333331</v>
      </c>
      <c r="C58">
        <v>8363.4</v>
      </c>
      <c r="D58">
        <v>9.6999999999999993</v>
      </c>
      <c r="E58" s="3">
        <f>($B$2*C58^2+$B$3*C58+$B$4)-$B$5*D58-$E$7</f>
        <v>2.7346259287232083E-2</v>
      </c>
      <c r="F58" s="4">
        <f t="shared" si="1"/>
        <v>736.78931844729766</v>
      </c>
    </row>
    <row r="59" spans="1:6">
      <c r="A59" s="7">
        <v>43291</v>
      </c>
      <c r="B59" s="1">
        <v>0.33333333333333331</v>
      </c>
      <c r="C59">
        <v>8421.9</v>
      </c>
      <c r="D59">
        <v>9.6</v>
      </c>
      <c r="E59" s="3">
        <f t="shared" ref="E59:E62" si="3">($B$2*C59^2+$B$3*C59+$B$4)-$B$5*D59-$E$7</f>
        <v>2.3157411973466976E-2</v>
      </c>
      <c r="F59" s="4">
        <f t="shared" si="1"/>
        <v>736.3620560212936</v>
      </c>
    </row>
    <row r="60" spans="1:6">
      <c r="A60" s="7">
        <v>43301</v>
      </c>
      <c r="B60" s="1">
        <v>0.33333333333333331</v>
      </c>
      <c r="C60">
        <v>8437.9</v>
      </c>
      <c r="D60">
        <v>9.6999999999999993</v>
      </c>
      <c r="E60" s="3">
        <f t="shared" si="3"/>
        <v>2.2151607778427035E-2</v>
      </c>
      <c r="F60" s="4">
        <f t="shared" si="1"/>
        <v>736.25946399339955</v>
      </c>
    </row>
    <row r="61" spans="1:6">
      <c r="A61" s="7">
        <v>43311</v>
      </c>
      <c r="B61" s="1">
        <v>0.33333333333333331</v>
      </c>
      <c r="C61">
        <v>8439.6</v>
      </c>
      <c r="D61">
        <v>8</v>
      </c>
      <c r="E61" s="3">
        <f t="shared" si="3"/>
        <v>2.0171886249651994E-2</v>
      </c>
      <c r="F61" s="4">
        <f t="shared" si="1"/>
        <v>736.05753239746446</v>
      </c>
    </row>
    <row r="62" spans="1:6">
      <c r="A62" s="7">
        <v>43322</v>
      </c>
      <c r="B62" s="1">
        <v>0.33333333333333331</v>
      </c>
      <c r="C62">
        <v>8395.2000000000007</v>
      </c>
      <c r="D62">
        <v>9.6999999999999993</v>
      </c>
      <c r="E62" s="3">
        <f t="shared" si="3"/>
        <v>2.5128449740387943E-2</v>
      </c>
      <c r="F62" s="4">
        <f t="shared" si="1"/>
        <v>736.5631018735196</v>
      </c>
    </row>
    <row r="63" spans="1:6">
      <c r="A63" s="7">
        <v>43332</v>
      </c>
      <c r="B63" s="1">
        <v>0.33333333333333331</v>
      </c>
      <c r="C63">
        <v>8425.2999999999993</v>
      </c>
      <c r="D63">
        <v>9.6</v>
      </c>
      <c r="E63" s="3">
        <f t="shared" ref="E63:E80" si="4">($B$2*C63^2+$B$3*C63+$B$4)-$B$5*D63-$E$7</f>
        <v>2.2920397544523005E-2</v>
      </c>
      <c r="F63" s="4">
        <f t="shared" ref="F63:F80" si="5">$D$1+102*E63</f>
        <v>736.3378805495413</v>
      </c>
    </row>
    <row r="64" spans="1:6">
      <c r="A64" s="7">
        <v>43342</v>
      </c>
      <c r="B64" s="1">
        <v>0.33333333333333331</v>
      </c>
      <c r="C64">
        <v>8390.4</v>
      </c>
      <c r="D64">
        <v>9.6999999999999993</v>
      </c>
      <c r="E64" s="3">
        <f t="shared" si="4"/>
        <v>2.5463166180452051E-2</v>
      </c>
      <c r="F64" s="4">
        <f t="shared" si="5"/>
        <v>736.5972429504061</v>
      </c>
    </row>
    <row r="65" spans="1:6">
      <c r="A65" s="7">
        <v>43353</v>
      </c>
      <c r="B65" s="1">
        <v>0.33333333333333331</v>
      </c>
      <c r="C65">
        <v>8326.7000000000007</v>
      </c>
      <c r="D65">
        <v>10.3</v>
      </c>
      <c r="E65" s="3">
        <f t="shared" si="4"/>
        <v>3.0563629420683011E-2</v>
      </c>
      <c r="F65" s="4">
        <f t="shared" si="5"/>
        <v>737.11749020090963</v>
      </c>
    </row>
    <row r="66" spans="1:6">
      <c r="A66" s="7">
        <v>43363</v>
      </c>
      <c r="B66" s="1">
        <v>0.33333333333333331</v>
      </c>
      <c r="C66">
        <v>8365</v>
      </c>
      <c r="D66">
        <v>9.5</v>
      </c>
      <c r="E66" s="3">
        <f t="shared" si="4"/>
        <v>2.7015685163199979E-2</v>
      </c>
      <c r="F66" s="4">
        <f t="shared" si="5"/>
        <v>736.75559988664645</v>
      </c>
    </row>
    <row r="67" spans="1:6">
      <c r="A67" s="7">
        <v>43373</v>
      </c>
      <c r="B67" s="1">
        <v>0.33333333333333331</v>
      </c>
      <c r="C67">
        <v>8380.2000000000007</v>
      </c>
      <c r="D67">
        <v>9.1</v>
      </c>
      <c r="E67" s="3">
        <f t="shared" si="4"/>
        <v>2.5517588614687975E-2</v>
      </c>
      <c r="F67" s="4">
        <f t="shared" si="5"/>
        <v>736.60279403869822</v>
      </c>
    </row>
    <row r="68" spans="1:6">
      <c r="A68" s="7">
        <v>43383</v>
      </c>
      <c r="B68" s="1">
        <v>0.33333333333333331</v>
      </c>
      <c r="C68">
        <v>8381.7000000000007</v>
      </c>
      <c r="D68">
        <v>8.9</v>
      </c>
      <c r="E68" s="3">
        <f t="shared" si="4"/>
        <v>2.5194008162082962E-2</v>
      </c>
      <c r="F68" s="4">
        <f t="shared" si="5"/>
        <v>736.56978883253248</v>
      </c>
    </row>
    <row r="69" spans="1:6">
      <c r="A69" s="7">
        <v>43393</v>
      </c>
      <c r="B69" s="1">
        <v>0.33333333333333331</v>
      </c>
      <c r="C69">
        <v>8384.7000000000007</v>
      </c>
      <c r="D69">
        <v>8.9</v>
      </c>
      <c r="E69" s="3">
        <f t="shared" si="4"/>
        <v>2.4984789380323016E-2</v>
      </c>
      <c r="F69" s="4">
        <f t="shared" si="5"/>
        <v>736.54844851679297</v>
      </c>
    </row>
    <row r="70" spans="1:6">
      <c r="A70" s="32">
        <v>43605</v>
      </c>
      <c r="B70" s="1">
        <v>0.33333333333333331</v>
      </c>
      <c r="C70">
        <v>8396.2999999999993</v>
      </c>
      <c r="D70">
        <v>8.4</v>
      </c>
      <c r="E70" s="3">
        <f t="shared" si="4"/>
        <v>2.3628450356442995E-2</v>
      </c>
      <c r="F70" s="4">
        <f t="shared" si="5"/>
        <v>736.41010193635714</v>
      </c>
    </row>
    <row r="71" spans="1:6">
      <c r="A71" s="32">
        <v>43615</v>
      </c>
      <c r="B71" s="1">
        <v>0.33333333333333331</v>
      </c>
      <c r="C71">
        <v>8399.1</v>
      </c>
      <c r="D71">
        <v>8.6999999999999993</v>
      </c>
      <c r="E71" s="3">
        <f t="shared" si="4"/>
        <v>2.3761662007106985E-2</v>
      </c>
      <c r="F71" s="4">
        <f t="shared" si="5"/>
        <v>736.42368952472486</v>
      </c>
    </row>
    <row r="72" spans="1:6">
      <c r="A72" s="32">
        <v>43626</v>
      </c>
      <c r="B72" s="1">
        <v>0.33333333333333331</v>
      </c>
      <c r="C72">
        <v>8402.7000000000007</v>
      </c>
      <c r="D72">
        <v>8.6999999999999993</v>
      </c>
      <c r="E72" s="3">
        <f t="shared" si="4"/>
        <v>2.3510645946362915E-2</v>
      </c>
      <c r="F72" s="4">
        <f t="shared" si="5"/>
        <v>736.39808588652897</v>
      </c>
    </row>
    <row r="73" spans="1:6">
      <c r="A73" s="32">
        <v>43636</v>
      </c>
      <c r="B73" s="1">
        <v>0.33333333333333331</v>
      </c>
      <c r="C73">
        <v>8405.2999999999993</v>
      </c>
      <c r="D73">
        <v>8.9</v>
      </c>
      <c r="E73" s="3">
        <f t="shared" si="4"/>
        <v>2.3548331048123053E-2</v>
      </c>
      <c r="F73" s="4">
        <f t="shared" si="5"/>
        <v>736.40192976690855</v>
      </c>
    </row>
    <row r="74" spans="1:6">
      <c r="A74" s="7">
        <v>43646</v>
      </c>
      <c r="B74" s="1">
        <v>0.33333333333333331</v>
      </c>
      <c r="C74">
        <v>8389.1</v>
      </c>
      <c r="D74">
        <v>8.9</v>
      </c>
      <c r="E74" s="3">
        <f t="shared" si="4"/>
        <v>2.4677947041707018E-2</v>
      </c>
      <c r="F74" s="4">
        <f t="shared" si="5"/>
        <v>736.51715059825415</v>
      </c>
    </row>
    <row r="75" spans="1:6">
      <c r="A75" s="7">
        <v>43656</v>
      </c>
      <c r="B75" s="1">
        <v>0.33333333333333331</v>
      </c>
      <c r="C75">
        <v>8367.2999999999993</v>
      </c>
      <c r="D75">
        <v>8.9</v>
      </c>
      <c r="E75" s="3">
        <f t="shared" si="4"/>
        <v>2.6198349693763015E-2</v>
      </c>
      <c r="F75" s="4">
        <f t="shared" si="5"/>
        <v>736.67223166876386</v>
      </c>
    </row>
    <row r="76" spans="1:6">
      <c r="A76" s="7">
        <v>43666</v>
      </c>
      <c r="B76" s="1">
        <v>0.33333333333333331</v>
      </c>
      <c r="C76">
        <v>8345.6</v>
      </c>
      <c r="D76">
        <v>8.8000000000000007</v>
      </c>
      <c r="E76" s="3">
        <f t="shared" si="4"/>
        <v>2.7602637980292083E-2</v>
      </c>
      <c r="F76" s="4">
        <f t="shared" si="5"/>
        <v>736.81546907398979</v>
      </c>
    </row>
    <row r="77" spans="1:6">
      <c r="A77" s="7">
        <v>43676</v>
      </c>
      <c r="B77" s="1">
        <v>0.33333333333333331</v>
      </c>
      <c r="C77">
        <v>8317.1</v>
      </c>
      <c r="D77">
        <v>8.6999999999999993</v>
      </c>
      <c r="E77" s="3">
        <f t="shared" si="4"/>
        <v>2.9481809959626945E-2</v>
      </c>
      <c r="F77" s="4">
        <f t="shared" si="5"/>
        <v>737.007144615882</v>
      </c>
    </row>
    <row r="78" spans="1:6">
      <c r="A78" s="7">
        <v>43687</v>
      </c>
      <c r="B78" s="1">
        <v>0.33333333333333331</v>
      </c>
      <c r="C78">
        <v>8305.6</v>
      </c>
      <c r="D78">
        <v>8.8000000000000007</v>
      </c>
      <c r="E78" s="3">
        <f t="shared" si="4"/>
        <v>3.0393902274691992E-2</v>
      </c>
      <c r="F78" s="4">
        <f t="shared" si="5"/>
        <v>737.10017803201856</v>
      </c>
    </row>
    <row r="79" spans="1:6">
      <c r="A79" s="7">
        <v>43697</v>
      </c>
      <c r="B79" s="1">
        <v>0.33333333333333331</v>
      </c>
      <c r="C79">
        <v>8295.7000000000007</v>
      </c>
      <c r="D79">
        <v>8.8000000000000007</v>
      </c>
      <c r="E79" s="3">
        <f t="shared" si="4"/>
        <v>3.1084920353003059E-2</v>
      </c>
      <c r="F79" s="4">
        <f t="shared" si="5"/>
        <v>737.17066187600631</v>
      </c>
    </row>
    <row r="80" spans="1:6">
      <c r="A80" s="7">
        <v>43707</v>
      </c>
      <c r="B80" s="1">
        <v>0.33333333333333331</v>
      </c>
      <c r="C80">
        <v>8281.1</v>
      </c>
      <c r="D80">
        <v>8.6999999999999993</v>
      </c>
      <c r="E80" s="3">
        <f t="shared" si="4"/>
        <v>3.1994643672187004E-2</v>
      </c>
      <c r="F80" s="4">
        <f t="shared" si="5"/>
        <v>737.26345365456302</v>
      </c>
    </row>
  </sheetData>
  <phoneticPr fontId="4" type="noConversion"/>
  <pageMargins left="0.69930555555555596" right="0.69930555555555596" top="0.75" bottom="0.75" header="0.3" footer="0.3"/>
  <drawing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0"/>
  <sheetViews>
    <sheetView topLeftCell="A58" workbookViewId="0">
      <selection activeCell="A74" sqref="A74:B80"/>
    </sheetView>
  </sheetViews>
  <sheetFormatPr defaultColWidth="9" defaultRowHeight="13.5"/>
  <cols>
    <col min="1" max="1" width="11.625" bestFit="1" customWidth="1"/>
    <col min="2" max="2" width="13.875" customWidth="1"/>
  </cols>
  <sheetData>
    <row r="1" spans="1:7">
      <c r="A1" t="s">
        <v>0</v>
      </c>
      <c r="B1">
        <v>50343</v>
      </c>
      <c r="C1" t="s">
        <v>1</v>
      </c>
      <c r="D1">
        <v>729</v>
      </c>
    </row>
    <row r="2" spans="1:7">
      <c r="A2" t="s">
        <v>2</v>
      </c>
      <c r="B2">
        <f>4.49591*10^(-10)</f>
        <v>4.4959100000000006E-10</v>
      </c>
    </row>
    <row r="3" spans="1:7">
      <c r="A3" t="s">
        <v>3</v>
      </c>
      <c r="B3">
        <f>-0.000075897</f>
        <v>-7.5896999999999995E-5</v>
      </c>
    </row>
    <row r="4" spans="1:7">
      <c r="A4" t="s">
        <v>4</v>
      </c>
      <c r="B4">
        <f>0.66677763</f>
        <v>0.66677763000000001</v>
      </c>
    </row>
    <row r="5" spans="1:7">
      <c r="A5" t="s">
        <v>5</v>
      </c>
      <c r="B5">
        <f>-0.001046171</f>
        <v>-1.046171E-3</v>
      </c>
    </row>
    <row r="6" spans="1:7">
      <c r="A6" t="s">
        <v>6</v>
      </c>
      <c r="B6" t="s">
        <v>7</v>
      </c>
      <c r="C6" t="s">
        <v>8</v>
      </c>
      <c r="D6" t="s">
        <v>9</v>
      </c>
      <c r="E6" t="s">
        <v>10</v>
      </c>
      <c r="F6" t="s">
        <v>11</v>
      </c>
      <c r="G6" t="s">
        <v>12</v>
      </c>
    </row>
    <row r="7" spans="1:7">
      <c r="A7" s="7">
        <v>42259</v>
      </c>
      <c r="B7" s="1">
        <v>0.6875</v>
      </c>
      <c r="C7" s="2">
        <v>9226.2000000000007</v>
      </c>
      <c r="D7" s="2">
        <v>13.6</v>
      </c>
      <c r="E7" s="3">
        <f>($B$2*C7^2+$B$3*C7+$B$4)-$B$5*D7</f>
        <v>1.9035083886526003E-2</v>
      </c>
      <c r="G7" t="s">
        <v>13</v>
      </c>
    </row>
    <row r="8" spans="1:7">
      <c r="A8" s="7">
        <v>42259</v>
      </c>
      <c r="B8" s="1">
        <v>0.83333333333333304</v>
      </c>
      <c r="C8" s="2">
        <v>7578.9</v>
      </c>
      <c r="D8" s="2">
        <v>10.3</v>
      </c>
      <c r="E8" s="3">
        <f>($B$2*C8^2+$B$3*C8+$B$4)-$B$5*D8-$E$7</f>
        <v>0.10912671761036316</v>
      </c>
      <c r="F8" s="4">
        <f>$D$1+102*E8</f>
        <v>740.13092519625707</v>
      </c>
      <c r="G8" t="s">
        <v>17</v>
      </c>
    </row>
    <row r="9" spans="1:7">
      <c r="A9" s="7">
        <v>42260</v>
      </c>
      <c r="B9" s="1">
        <v>0.33333333333333298</v>
      </c>
      <c r="C9" s="2">
        <v>8550.9</v>
      </c>
      <c r="D9" s="2">
        <v>21</v>
      </c>
      <c r="E9" s="3">
        <f t="shared" ref="E9:E24" si="0">($B$2*C9^2+$B$3*C9+$B$4)-$B$5*D9-$E$7</f>
        <v>5.359762546063275E-2</v>
      </c>
      <c r="F9" s="4">
        <f t="shared" ref="F9:F62" si="1">$D$1+102*E9</f>
        <v>734.4669577969845</v>
      </c>
      <c r="G9" t="s">
        <v>14</v>
      </c>
    </row>
    <row r="10" spans="1:7">
      <c r="A10" s="7">
        <v>42261</v>
      </c>
      <c r="B10" s="1">
        <v>0.33333333333333298</v>
      </c>
      <c r="C10" s="2">
        <v>8627.2000000000007</v>
      </c>
      <c r="D10" s="2">
        <v>27.3</v>
      </c>
      <c r="E10" s="3">
        <f t="shared" si="0"/>
        <v>5.4986835652319488E-2</v>
      </c>
      <c r="F10" s="4">
        <f t="shared" si="1"/>
        <v>734.6086572365366</v>
      </c>
    </row>
    <row r="11" spans="1:7">
      <c r="A11" s="7">
        <v>42262</v>
      </c>
      <c r="B11" s="1">
        <v>0.33333333333333298</v>
      </c>
      <c r="C11" s="2">
        <v>8634</v>
      </c>
      <c r="D11" s="2">
        <v>27.7</v>
      </c>
      <c r="E11" s="3">
        <f t="shared" si="0"/>
        <v>5.4941975717470073E-2</v>
      </c>
      <c r="F11" s="4">
        <f t="shared" si="1"/>
        <v>734.604081523182</v>
      </c>
    </row>
    <row r="12" spans="1:7">
      <c r="A12" s="7">
        <v>42263</v>
      </c>
      <c r="B12" s="1">
        <v>0.33333333333333298</v>
      </c>
      <c r="C12" s="2">
        <v>8646.5</v>
      </c>
      <c r="D12" s="2">
        <v>27.5</v>
      </c>
      <c r="E12" s="3">
        <f t="shared" si="0"/>
        <v>5.3881143483413746E-2</v>
      </c>
      <c r="F12" s="4">
        <f t="shared" si="1"/>
        <v>734.49587663530815</v>
      </c>
    </row>
    <row r="13" spans="1:7">
      <c r="A13" s="7">
        <v>42264</v>
      </c>
      <c r="B13" s="1">
        <v>0.33333333333333298</v>
      </c>
      <c r="C13" s="2">
        <v>8624.2000000000007</v>
      </c>
      <c r="D13" s="2">
        <v>26.7</v>
      </c>
      <c r="E13" s="3">
        <f t="shared" si="0"/>
        <v>5.456355582978728E-2</v>
      </c>
      <c r="F13" s="4">
        <f t="shared" si="1"/>
        <v>734.56548269463826</v>
      </c>
    </row>
    <row r="14" spans="1:7">
      <c r="A14" s="7">
        <v>42265</v>
      </c>
      <c r="B14" s="1">
        <v>0.33333333333333298</v>
      </c>
      <c r="C14" s="2">
        <v>8396.4</v>
      </c>
      <c r="D14" s="2">
        <v>25.8</v>
      </c>
      <c r="E14" s="3">
        <f t="shared" si="0"/>
        <v>6.9168142636493513E-2</v>
      </c>
      <c r="F14" s="4">
        <f t="shared" si="1"/>
        <v>736.05515054892237</v>
      </c>
    </row>
    <row r="15" spans="1:7">
      <c r="A15" s="7">
        <v>42266</v>
      </c>
      <c r="B15" s="1">
        <v>0.33333333333333298</v>
      </c>
      <c r="C15" s="2">
        <v>8584.7000000000007</v>
      </c>
      <c r="D15" s="2">
        <v>25.1</v>
      </c>
      <c r="E15" s="3">
        <f t="shared" si="0"/>
        <v>5.5582003550671208E-2</v>
      </c>
      <c r="F15" s="4">
        <f t="shared" si="1"/>
        <v>734.66936436216849</v>
      </c>
    </row>
    <row r="16" spans="1:7">
      <c r="A16" s="7">
        <v>42273</v>
      </c>
      <c r="B16" s="1">
        <v>0.33333333333333298</v>
      </c>
      <c r="C16" s="2">
        <v>8508.9</v>
      </c>
      <c r="D16" s="2">
        <v>20.100000000000001</v>
      </c>
      <c r="E16" s="3">
        <f t="shared" si="0"/>
        <v>5.5521608393877292E-2</v>
      </c>
      <c r="F16" s="4">
        <f t="shared" si="1"/>
        <v>734.66320405617546</v>
      </c>
    </row>
    <row r="17" spans="1:7">
      <c r="A17" s="7">
        <v>42280</v>
      </c>
      <c r="B17" s="1">
        <v>0.33333333333333298</v>
      </c>
      <c r="C17" s="2">
        <v>8479.5</v>
      </c>
      <c r="D17" s="2">
        <v>17.3</v>
      </c>
      <c r="E17" s="3">
        <f t="shared" si="0"/>
        <v>5.4599149140591732E-2</v>
      </c>
      <c r="F17" s="4">
        <f t="shared" si="1"/>
        <v>734.56911321234031</v>
      </c>
    </row>
    <row r="18" spans="1:7">
      <c r="A18" s="7">
        <v>42287</v>
      </c>
      <c r="B18" s="1">
        <v>0.33333333333333298</v>
      </c>
      <c r="C18" s="2">
        <v>8451</v>
      </c>
      <c r="D18" s="2">
        <v>18.600000000000001</v>
      </c>
      <c r="E18" s="3">
        <f t="shared" si="0"/>
        <v>5.7905299628465051E-2</v>
      </c>
      <c r="F18" s="4">
        <f t="shared" si="1"/>
        <v>734.90634056210342</v>
      </c>
    </row>
    <row r="19" spans="1:7">
      <c r="A19" s="7">
        <v>42294</v>
      </c>
      <c r="B19" s="1">
        <v>0.33333333333333298</v>
      </c>
      <c r="C19" s="2">
        <v>8387.1</v>
      </c>
      <c r="D19" s="2">
        <v>13.2</v>
      </c>
      <c r="E19" s="3">
        <f t="shared" si="0"/>
        <v>5.662205502839239E-2</v>
      </c>
      <c r="F19" s="4">
        <f t="shared" si="1"/>
        <v>734.77544961289607</v>
      </c>
      <c r="G19" s="2"/>
    </row>
    <row r="20" spans="1:7">
      <c r="A20" s="7">
        <v>42297</v>
      </c>
      <c r="B20" s="1">
        <v>0.33333333333333298</v>
      </c>
      <c r="C20" s="2">
        <v>8404.1</v>
      </c>
      <c r="D20" s="2">
        <v>12.6</v>
      </c>
      <c r="E20" s="3">
        <f t="shared" si="0"/>
        <v>5.4832439359178739E-2</v>
      </c>
      <c r="F20" s="4">
        <f t="shared" si="1"/>
        <v>734.59290881463619</v>
      </c>
      <c r="G20" s="2"/>
    </row>
    <row r="21" spans="1:7">
      <c r="A21" s="7">
        <v>42301</v>
      </c>
      <c r="B21" s="1">
        <v>0.33333333333333298</v>
      </c>
      <c r="C21" s="2">
        <v>8381.9</v>
      </c>
      <c r="D21" s="2">
        <v>11.9</v>
      </c>
      <c r="E21" s="3">
        <f t="shared" si="0"/>
        <v>5.5617493332701523E-2</v>
      </c>
      <c r="F21" s="4">
        <f t="shared" si="1"/>
        <v>734.67298431993561</v>
      </c>
      <c r="G21" s="2"/>
    </row>
    <row r="22" spans="1:7">
      <c r="A22" s="7">
        <v>42521</v>
      </c>
      <c r="B22" s="1">
        <v>0.33333333333333298</v>
      </c>
      <c r="C22" s="15">
        <v>8337.7000000000007</v>
      </c>
      <c r="D22">
        <v>5.5</v>
      </c>
      <c r="E22" s="3">
        <f t="shared" si="0"/>
        <v>5.1944395742286348E-2</v>
      </c>
      <c r="F22" s="4">
        <f t="shared" si="1"/>
        <v>734.29832836571325</v>
      </c>
    </row>
    <row r="23" spans="1:7">
      <c r="A23" s="7">
        <v>42531</v>
      </c>
      <c r="B23" s="1">
        <v>0.33333333333333298</v>
      </c>
      <c r="C23" s="2">
        <v>8377.7000000000007</v>
      </c>
      <c r="D23" s="2">
        <v>6.9</v>
      </c>
      <c r="E23" s="3">
        <f t="shared" si="0"/>
        <v>5.0673758878342356E-2</v>
      </c>
      <c r="F23" s="4">
        <f t="shared" si="1"/>
        <v>734.16872340559087</v>
      </c>
    </row>
    <row r="24" spans="1:7">
      <c r="A24" s="6">
        <v>42541</v>
      </c>
      <c r="B24" s="1">
        <v>0.33333333333333298</v>
      </c>
      <c r="C24" s="2">
        <v>8193.5</v>
      </c>
      <c r="D24" s="2">
        <v>7.8</v>
      </c>
      <c r="E24" s="3">
        <f t="shared" si="0"/>
        <v>6.4223201848093769E-2</v>
      </c>
      <c r="F24" s="4">
        <f t="shared" si="1"/>
        <v>735.55076658850555</v>
      </c>
    </row>
    <row r="25" spans="1:7">
      <c r="A25" s="7">
        <v>42551</v>
      </c>
      <c r="B25" s="9">
        <v>0.33333333333333298</v>
      </c>
      <c r="C25">
        <v>8362.7999999999993</v>
      </c>
      <c r="D25">
        <v>8.9</v>
      </c>
      <c r="E25" s="3">
        <f>($B$2*C25^2+$B$3*C25+$B$4)-$B$5*D25-$E$7</f>
        <v>5.3784823144123625E-2</v>
      </c>
      <c r="F25" s="4">
        <f t="shared" si="1"/>
        <v>734.48605196070059</v>
      </c>
    </row>
    <row r="26" spans="1:7">
      <c r="A26" s="7">
        <v>42561</v>
      </c>
      <c r="B26" s="9">
        <v>0.33333333333333298</v>
      </c>
      <c r="C26">
        <v>8397.6</v>
      </c>
      <c r="D26">
        <v>10.8</v>
      </c>
      <c r="E26" s="3">
        <f>($B$2*C26^2+$B$3*C26+$B$4)-$B$5*D26-$E$7</f>
        <v>5.3393561753998176E-2</v>
      </c>
      <c r="F26" s="4">
        <f t="shared" si="1"/>
        <v>734.44614329890783</v>
      </c>
    </row>
    <row r="27" spans="1:7">
      <c r="A27" s="7">
        <v>42571</v>
      </c>
      <c r="B27" s="9">
        <v>0.33333333333333298</v>
      </c>
      <c r="C27">
        <v>8434.2000000000007</v>
      </c>
      <c r="D27">
        <v>12.3</v>
      </c>
      <c r="E27" s="3">
        <f>($B$2*C27^2+$B$3*C27+$B$4)-$B$5*D27-$E$7</f>
        <v>5.246195583805123E-2</v>
      </c>
      <c r="F27" s="4">
        <f t="shared" si="1"/>
        <v>734.35111949548127</v>
      </c>
    </row>
    <row r="28" spans="1:7">
      <c r="A28" s="7">
        <v>42581</v>
      </c>
      <c r="B28" s="9">
        <v>0.33333333333333298</v>
      </c>
      <c r="C28">
        <v>8439.6</v>
      </c>
      <c r="D28">
        <v>14</v>
      </c>
      <c r="E28" s="3">
        <f>($B$2*C28^2+$B$3*C28+$B$4)-$B$5*D28-$E$7</f>
        <v>5.3871568804576525E-2</v>
      </c>
      <c r="F28" s="4">
        <f t="shared" si="1"/>
        <v>734.4949000180668</v>
      </c>
    </row>
    <row r="29" spans="1:7">
      <c r="A29" s="7">
        <v>42592</v>
      </c>
      <c r="B29" s="1">
        <v>0.33333333333333298</v>
      </c>
      <c r="C29">
        <v>8451.2000000000007</v>
      </c>
      <c r="D29">
        <v>15.1</v>
      </c>
      <c r="E29" s="3">
        <f t="shared" ref="E29:E53" si="2">($B$2*C29^2+$B$3*C29+$B$4)-$B$5*D29-$E$7</f>
        <v>5.4230041543865071E-2</v>
      </c>
      <c r="F29" s="4">
        <f t="shared" si="1"/>
        <v>734.53146423747421</v>
      </c>
    </row>
    <row r="30" spans="1:7">
      <c r="A30" s="7">
        <v>42602</v>
      </c>
      <c r="B30" s="1">
        <v>0.33333333333333298</v>
      </c>
      <c r="C30">
        <v>8478.6</v>
      </c>
      <c r="D30">
        <v>16.2</v>
      </c>
      <c r="E30" s="3">
        <f t="shared" si="2"/>
        <v>5.3509806552368283E-2</v>
      </c>
      <c r="F30" s="4">
        <f t="shared" si="1"/>
        <v>734.45800026834161</v>
      </c>
    </row>
    <row r="31" spans="1:7">
      <c r="A31" s="7">
        <v>42612</v>
      </c>
      <c r="B31" s="1">
        <v>0.33333333333333298</v>
      </c>
      <c r="C31">
        <v>8502.9</v>
      </c>
      <c r="D31">
        <v>16.399999999999999</v>
      </c>
      <c r="E31" s="3">
        <f t="shared" si="2"/>
        <v>5.2060267580834443E-2</v>
      </c>
      <c r="F31" s="4">
        <f t="shared" si="1"/>
        <v>734.31014729324511</v>
      </c>
    </row>
    <row r="32" spans="1:7">
      <c r="A32" s="7">
        <v>42623</v>
      </c>
      <c r="B32" s="1">
        <v>0.33333333333333298</v>
      </c>
      <c r="C32">
        <v>8429.7999999999993</v>
      </c>
      <c r="D32">
        <v>16.100000000000001</v>
      </c>
      <c r="E32" s="3">
        <f t="shared" si="2"/>
        <v>5.6737992066505774E-2</v>
      </c>
      <c r="F32" s="4">
        <f t="shared" si="1"/>
        <v>734.78727519078359</v>
      </c>
    </row>
    <row r="33" spans="1:6">
      <c r="A33" s="7">
        <v>42633</v>
      </c>
      <c r="B33" s="1">
        <v>0.33333333333333331</v>
      </c>
      <c r="C33">
        <v>8378.7999999999993</v>
      </c>
      <c r="D33">
        <v>15.6</v>
      </c>
      <c r="E33" s="3">
        <f t="shared" si="2"/>
        <v>5.970024680709321E-2</v>
      </c>
      <c r="F33" s="4">
        <f t="shared" si="1"/>
        <v>735.08942517432354</v>
      </c>
    </row>
    <row r="34" spans="1:6">
      <c r="A34" s="7">
        <v>42643</v>
      </c>
      <c r="B34" s="1">
        <v>0.33333333333333331</v>
      </c>
      <c r="C34">
        <v>8120.4</v>
      </c>
      <c r="D34">
        <v>14.4</v>
      </c>
      <c r="E34" s="3">
        <f t="shared" si="2"/>
        <v>7.6139843158944662E-2</v>
      </c>
      <c r="F34" s="4">
        <f t="shared" si="1"/>
        <v>736.76626400221232</v>
      </c>
    </row>
    <row r="35" spans="1:6">
      <c r="A35" s="7">
        <v>42653</v>
      </c>
      <c r="B35" s="1">
        <v>0.33333333333333331</v>
      </c>
      <c r="C35">
        <v>8234.2000000000007</v>
      </c>
      <c r="D35">
        <v>13.8</v>
      </c>
      <c r="E35" s="3">
        <f t="shared" si="2"/>
        <v>6.7711819813171245E-2</v>
      </c>
      <c r="F35" s="4">
        <f t="shared" si="1"/>
        <v>735.90660562094342</v>
      </c>
    </row>
    <row r="36" spans="1:6">
      <c r="A36" s="7">
        <v>42855</v>
      </c>
      <c r="B36" s="1">
        <v>0.33333333333333331</v>
      </c>
      <c r="C36">
        <v>8064.8</v>
      </c>
      <c r="D36">
        <v>8</v>
      </c>
      <c r="E36" s="3">
        <f t="shared" si="2"/>
        <v>7.325963631286668E-2</v>
      </c>
      <c r="F36" s="4">
        <f t="shared" si="1"/>
        <v>736.47248290391235</v>
      </c>
    </row>
    <row r="37" spans="1:6">
      <c r="A37" s="7">
        <v>42865</v>
      </c>
      <c r="B37" s="1">
        <v>0.33333333333333331</v>
      </c>
      <c r="C37">
        <v>7982.1</v>
      </c>
      <c r="D37">
        <v>7.8</v>
      </c>
      <c r="E37" s="3">
        <f t="shared" si="2"/>
        <v>7.8730441404526286E-2</v>
      </c>
      <c r="F37" s="4">
        <f t="shared" si="1"/>
        <v>737.03050502326164</v>
      </c>
    </row>
    <row r="38" spans="1:6">
      <c r="A38" s="7">
        <v>42875</v>
      </c>
      <c r="B38" s="1">
        <v>0.33333333333333331</v>
      </c>
      <c r="C38">
        <v>8058.5</v>
      </c>
      <c r="D38">
        <v>7.6</v>
      </c>
      <c r="E38" s="3">
        <f t="shared" si="2"/>
        <v>7.3273651002273815E-2</v>
      </c>
      <c r="F38" s="4">
        <f t="shared" si="1"/>
        <v>736.47391240223192</v>
      </c>
    </row>
    <row r="39" spans="1:6">
      <c r="A39" s="7">
        <v>42885</v>
      </c>
      <c r="B39" s="1">
        <v>0.33333333333333331</v>
      </c>
      <c r="C39">
        <v>8099.9</v>
      </c>
      <c r="D39">
        <v>7.5</v>
      </c>
      <c r="E39" s="3">
        <f t="shared" si="2"/>
        <v>7.0327655490549978E-2</v>
      </c>
      <c r="F39" s="4">
        <f t="shared" si="1"/>
        <v>736.17342086003612</v>
      </c>
    </row>
    <row r="40" spans="1:6">
      <c r="A40" s="7">
        <v>42896</v>
      </c>
      <c r="B40" s="1">
        <v>0.33333333333333331</v>
      </c>
      <c r="C40">
        <v>8093.1</v>
      </c>
      <c r="D40">
        <v>7.4</v>
      </c>
      <c r="E40" s="3">
        <f t="shared" si="2"/>
        <v>7.0689632446521586E-2</v>
      </c>
      <c r="F40" s="4">
        <f t="shared" si="1"/>
        <v>736.21034250954517</v>
      </c>
    </row>
    <row r="41" spans="1:6">
      <c r="A41" s="7">
        <v>42906</v>
      </c>
      <c r="B41" s="1">
        <v>0.33333333333333331</v>
      </c>
      <c r="C41">
        <v>8071.8</v>
      </c>
      <c r="D41">
        <v>7.3</v>
      </c>
      <c r="E41" s="3">
        <f t="shared" si="2"/>
        <v>7.2046821703780933E-2</v>
      </c>
      <c r="F41" s="4">
        <f t="shared" si="1"/>
        <v>736.34877581378566</v>
      </c>
    </row>
    <row r="42" spans="1:6">
      <c r="A42" s="7">
        <v>42916</v>
      </c>
      <c r="B42" s="1">
        <v>0.33333333333333331</v>
      </c>
      <c r="C42">
        <v>8078.6</v>
      </c>
      <c r="D42">
        <v>7.2</v>
      </c>
      <c r="E42" s="3">
        <f t="shared" si="2"/>
        <v>7.1475480310288331E-2</v>
      </c>
      <c r="F42" s="4">
        <f t="shared" si="1"/>
        <v>736.29049899164943</v>
      </c>
    </row>
    <row r="43" spans="1:6">
      <c r="A43" s="7">
        <v>42926</v>
      </c>
      <c r="B43" s="1">
        <v>0.33333333333333331</v>
      </c>
      <c r="C43">
        <v>8101.1</v>
      </c>
      <c r="D43">
        <v>7.1</v>
      </c>
      <c r="E43" s="3">
        <f t="shared" si="2"/>
        <v>6.9826851279099086E-2</v>
      </c>
      <c r="F43" s="4">
        <f t="shared" si="1"/>
        <v>736.12233883046815</v>
      </c>
    </row>
    <row r="44" spans="1:6">
      <c r="A44" s="7">
        <v>42936</v>
      </c>
      <c r="B44" s="1">
        <v>0.33333333333333331</v>
      </c>
      <c r="C44">
        <v>8099.3</v>
      </c>
      <c r="D44">
        <v>7.4</v>
      </c>
      <c r="E44" s="3">
        <f t="shared" si="2"/>
        <v>7.0264206781833635E-2</v>
      </c>
      <c r="F44" s="4">
        <f t="shared" si="1"/>
        <v>736.16694909174703</v>
      </c>
    </row>
    <row r="45" spans="1:6">
      <c r="A45" s="7">
        <v>42946</v>
      </c>
      <c r="B45" s="1">
        <v>0.33333333333333331</v>
      </c>
      <c r="C45">
        <v>8108.6</v>
      </c>
      <c r="D45">
        <v>7</v>
      </c>
      <c r="E45" s="3">
        <f t="shared" si="2"/>
        <v>6.9207664693344412E-2</v>
      </c>
      <c r="F45" s="4">
        <f t="shared" si="1"/>
        <v>736.05918179872117</v>
      </c>
    </row>
    <row r="46" spans="1:6">
      <c r="A46" s="7">
        <v>42957</v>
      </c>
      <c r="B46" s="1">
        <v>0.33333333333333331</v>
      </c>
      <c r="C46">
        <v>8096.3</v>
      </c>
      <c r="D46">
        <v>7</v>
      </c>
      <c r="E46" s="3">
        <f t="shared" si="2"/>
        <v>7.0051585193834837E-2</v>
      </c>
      <c r="F46" s="4">
        <f t="shared" si="1"/>
        <v>736.14526168977113</v>
      </c>
    </row>
    <row r="47" spans="1:6">
      <c r="A47" s="7">
        <v>42967</v>
      </c>
      <c r="B47" s="1">
        <v>0.33333333333333331</v>
      </c>
      <c r="C47">
        <v>8087.2</v>
      </c>
      <c r="D47">
        <v>7</v>
      </c>
      <c r="E47" s="3">
        <f t="shared" si="2"/>
        <v>7.0676036694703487E-2</v>
      </c>
      <c r="F47" s="4">
        <f t="shared" si="1"/>
        <v>736.20895574285976</v>
      </c>
    </row>
    <row r="48" spans="1:6">
      <c r="A48" s="7">
        <v>42977</v>
      </c>
      <c r="B48" s="1">
        <v>0.33333333333333331</v>
      </c>
      <c r="C48">
        <v>8097.8</v>
      </c>
      <c r="D48">
        <v>7.1</v>
      </c>
      <c r="E48" s="3">
        <f t="shared" si="2"/>
        <v>7.0053277876254524E-2</v>
      </c>
      <c r="F48" s="4">
        <f t="shared" si="1"/>
        <v>736.14543434337793</v>
      </c>
    </row>
    <row r="49" spans="1:6">
      <c r="A49" s="7">
        <v>42988</v>
      </c>
      <c r="B49" s="1">
        <v>0.33333333333333331</v>
      </c>
      <c r="C49">
        <v>8087.6</v>
      </c>
      <c r="D49">
        <v>7.6</v>
      </c>
      <c r="E49" s="3">
        <f t="shared" si="2"/>
        <v>7.1276289312506208E-2</v>
      </c>
      <c r="F49" s="4">
        <f t="shared" si="1"/>
        <v>736.27018150987567</v>
      </c>
    </row>
    <row r="50" spans="1:6">
      <c r="A50" s="7">
        <v>42998</v>
      </c>
      <c r="B50" s="1">
        <v>0.33333333333333331</v>
      </c>
      <c r="C50">
        <v>8106.8</v>
      </c>
      <c r="D50">
        <v>7.2</v>
      </c>
      <c r="E50" s="3">
        <f t="shared" si="2"/>
        <v>6.9540390957121889E-2</v>
      </c>
      <c r="F50" s="4">
        <f t="shared" si="1"/>
        <v>736.09311987762646</v>
      </c>
    </row>
    <row r="51" spans="1:6">
      <c r="A51" s="7">
        <v>43008</v>
      </c>
      <c r="B51" s="1">
        <v>0.33333333333333331</v>
      </c>
      <c r="C51">
        <v>8105.9</v>
      </c>
      <c r="D51">
        <v>7.2</v>
      </c>
      <c r="E51" s="3">
        <f t="shared" si="2"/>
        <v>6.9602138081516773E-2</v>
      </c>
      <c r="F51" s="4">
        <f t="shared" si="1"/>
        <v>736.09941808431472</v>
      </c>
    </row>
    <row r="52" spans="1:6">
      <c r="A52" s="7">
        <v>43018</v>
      </c>
      <c r="B52" s="1">
        <v>0.33333333333333331</v>
      </c>
      <c r="C52">
        <v>8102</v>
      </c>
      <c r="D52">
        <v>7.3</v>
      </c>
      <c r="E52" s="3">
        <f t="shared" si="2"/>
        <v>6.9974334470238014E-2</v>
      </c>
      <c r="F52" s="4">
        <f t="shared" si="1"/>
        <v>736.13738211596433</v>
      </c>
    </row>
    <row r="53" spans="1:6">
      <c r="A53" s="7">
        <v>43230</v>
      </c>
      <c r="B53" s="1">
        <v>0.33333333333333331</v>
      </c>
      <c r="C53">
        <v>8137.9</v>
      </c>
      <c r="D53">
        <v>8.8000000000000007</v>
      </c>
      <c r="E53" s="3">
        <f t="shared" si="2"/>
        <v>6.9081005802662424E-2</v>
      </c>
      <c r="F53" s="4">
        <f t="shared" si="1"/>
        <v>736.0462625918716</v>
      </c>
    </row>
    <row r="54" spans="1:6">
      <c r="A54" s="7">
        <v>43240</v>
      </c>
      <c r="B54" s="1">
        <v>0.33333333333333331</v>
      </c>
      <c r="C54">
        <v>8136.8</v>
      </c>
      <c r="D54">
        <v>9.5</v>
      </c>
      <c r="E54" s="3">
        <f>($B$2*C54^2+$B$3*C54+$B$4)-$B$5*D54-$E$7</f>
        <v>6.9888763548149907E-2</v>
      </c>
      <c r="F54" s="4">
        <f t="shared" si="1"/>
        <v>736.1286538819113</v>
      </c>
    </row>
    <row r="55" spans="1:6">
      <c r="A55" s="7">
        <v>43250</v>
      </c>
      <c r="B55" s="1">
        <v>0.33333333333333331</v>
      </c>
      <c r="C55">
        <v>8124</v>
      </c>
      <c r="D55">
        <v>8.8000000000000007</v>
      </c>
      <c r="E55" s="3">
        <f>($B$2*C55^2+$B$3*C55+$B$4)-$B$5*D55-$E$7</f>
        <v>7.0034348368690061E-2</v>
      </c>
      <c r="F55" s="4">
        <f t="shared" si="1"/>
        <v>736.14350353360635</v>
      </c>
    </row>
    <row r="56" spans="1:6">
      <c r="A56" s="7">
        <v>43261</v>
      </c>
      <c r="B56" s="1">
        <v>0.33333333333333331</v>
      </c>
      <c r="C56">
        <v>8069.2</v>
      </c>
      <c r="D56">
        <v>8.9</v>
      </c>
      <c r="E56" s="3">
        <f>($B$2*C56^2+$B$3*C56+$B$4)-$B$5*D56-$E$7</f>
        <v>7.3899159698120262E-2</v>
      </c>
      <c r="F56" s="4">
        <f t="shared" si="1"/>
        <v>736.53771428920822</v>
      </c>
    </row>
    <row r="57" spans="1:6">
      <c r="A57" s="7">
        <v>43271</v>
      </c>
      <c r="B57" s="1">
        <v>0.33333333333333331</v>
      </c>
      <c r="C57">
        <v>7935.6</v>
      </c>
      <c r="D57">
        <v>8.9</v>
      </c>
      <c r="E57" s="3">
        <f>($B$2*C57^2+$B$3*C57+$B$4)-$B$5*D57-$E$7</f>
        <v>8.307766486280381E-2</v>
      </c>
      <c r="F57" s="4">
        <f t="shared" si="1"/>
        <v>737.47392181600594</v>
      </c>
    </row>
    <row r="58" spans="1:6">
      <c r="A58" s="7">
        <v>43281</v>
      </c>
      <c r="B58" s="1">
        <v>0.33333333333333331</v>
      </c>
      <c r="C58">
        <v>7961.6</v>
      </c>
      <c r="D58">
        <v>9.1999999999999993</v>
      </c>
      <c r="E58" s="3">
        <f>($B$2*C58^2+$B$3*C58+$B$4)-$B$5*D58-$E$7</f>
        <v>8.1604022351978917E-2</v>
      </c>
      <c r="F58" s="4">
        <f t="shared" si="1"/>
        <v>737.3236102799018</v>
      </c>
    </row>
    <row r="59" spans="1:6">
      <c r="A59" s="7">
        <v>43291</v>
      </c>
      <c r="B59" s="1">
        <v>0.33333333333333331</v>
      </c>
      <c r="C59">
        <v>8026.5</v>
      </c>
      <c r="D59">
        <v>8.9</v>
      </c>
      <c r="E59" s="3">
        <f t="shared" ref="E59:E62" si="3">($B$2*C59^2+$B$3*C59+$B$4)-$B$5*D59-$E$7</f>
        <v>7.6830963822753826E-2</v>
      </c>
      <c r="F59" s="4">
        <f t="shared" si="1"/>
        <v>736.83675830992092</v>
      </c>
    </row>
    <row r="60" spans="1:6">
      <c r="A60" s="7">
        <v>43301</v>
      </c>
      <c r="B60" s="1">
        <v>0.33333333333333331</v>
      </c>
      <c r="C60">
        <v>8066.2</v>
      </c>
      <c r="D60">
        <v>9.1999999999999993</v>
      </c>
      <c r="E60" s="3">
        <f t="shared" si="3"/>
        <v>7.4418939006256041E-2</v>
      </c>
      <c r="F60" s="4">
        <f t="shared" si="1"/>
        <v>736.59073177863809</v>
      </c>
    </row>
    <row r="61" spans="1:6">
      <c r="A61" s="7">
        <v>43311</v>
      </c>
      <c r="B61" s="1">
        <v>0.33333333333333331</v>
      </c>
      <c r="C61">
        <v>8068.2</v>
      </c>
      <c r="D61">
        <v>8.9</v>
      </c>
      <c r="E61" s="3">
        <f t="shared" si="3"/>
        <v>7.3967801468316871E-2</v>
      </c>
      <c r="F61" s="4">
        <f t="shared" si="1"/>
        <v>736.54471574976833</v>
      </c>
    </row>
    <row r="62" spans="1:6">
      <c r="A62" s="7">
        <v>43322</v>
      </c>
      <c r="B62" s="1">
        <v>0.33333333333333331</v>
      </c>
      <c r="C62">
        <v>8027.5</v>
      </c>
      <c r="D62">
        <v>8.9</v>
      </c>
      <c r="E62" s="3">
        <f t="shared" si="3"/>
        <v>7.6762284556667823E-2</v>
      </c>
      <c r="F62" s="4">
        <f t="shared" si="1"/>
        <v>736.82975302478008</v>
      </c>
    </row>
    <row r="63" spans="1:6">
      <c r="A63" s="7">
        <v>43332</v>
      </c>
      <c r="B63" s="1">
        <v>0.33333333333333331</v>
      </c>
      <c r="C63">
        <v>8059.9</v>
      </c>
      <c r="D63">
        <v>8.9</v>
      </c>
      <c r="E63" s="3">
        <f t="shared" ref="E63:E80" si="4">($B$2*C63^2+$B$3*C63+$B$4)-$B$5*D63-$E$7</f>
        <v>7.4537562864877935E-2</v>
      </c>
      <c r="F63" s="4">
        <f t="shared" ref="F63:F80" si="5">$D$1+102*E63</f>
        <v>736.6028314122176</v>
      </c>
    </row>
    <row r="64" spans="1:6">
      <c r="A64" s="7">
        <v>43342</v>
      </c>
      <c r="B64" s="1">
        <v>0.33333333333333331</v>
      </c>
      <c r="C64">
        <v>8012.1</v>
      </c>
      <c r="D64">
        <v>9</v>
      </c>
      <c r="E64" s="3">
        <f t="shared" si="4"/>
        <v>7.7924662055692318E-2</v>
      </c>
      <c r="F64" s="4">
        <f t="shared" si="5"/>
        <v>736.9483155296806</v>
      </c>
    </row>
    <row r="65" spans="1:6">
      <c r="A65" s="7">
        <v>43353</v>
      </c>
      <c r="B65" s="1">
        <v>0.33333333333333331</v>
      </c>
      <c r="C65">
        <v>7901.2</v>
      </c>
      <c r="D65">
        <v>9.1</v>
      </c>
      <c r="E65" s="3">
        <f t="shared" si="4"/>
        <v>8.5652825016245118E-2</v>
      </c>
      <c r="F65" s="4">
        <f t="shared" si="5"/>
        <v>737.73658815165697</v>
      </c>
    </row>
    <row r="66" spans="1:6">
      <c r="A66" s="7">
        <v>43363</v>
      </c>
      <c r="B66" s="1">
        <v>0.33333333333333331</v>
      </c>
      <c r="C66">
        <v>8000.2</v>
      </c>
      <c r="D66">
        <v>8.9</v>
      </c>
      <c r="E66" s="3">
        <f t="shared" si="4"/>
        <v>7.8637551322657637E-2</v>
      </c>
      <c r="F66" s="4">
        <f t="shared" si="5"/>
        <v>737.02103023491111</v>
      </c>
    </row>
    <row r="67" spans="1:6">
      <c r="A67" s="7">
        <v>43373</v>
      </c>
      <c r="B67" s="1">
        <v>0.33333333333333331</v>
      </c>
      <c r="C67">
        <v>8012.7</v>
      </c>
      <c r="D67">
        <v>8.5</v>
      </c>
      <c r="E67" s="3">
        <f t="shared" si="4"/>
        <v>7.7360361119206481E-2</v>
      </c>
      <c r="F67" s="4">
        <f t="shared" si="5"/>
        <v>736.89075683415911</v>
      </c>
    </row>
    <row r="68" spans="1:6">
      <c r="A68" s="7">
        <v>43383</v>
      </c>
      <c r="B68" s="1">
        <v>0.33333333333333331</v>
      </c>
      <c r="C68">
        <v>8015.3</v>
      </c>
      <c r="D68">
        <v>8.4</v>
      </c>
      <c r="E68" s="3">
        <f t="shared" si="4"/>
        <v>7.7077147535031199E-2</v>
      </c>
      <c r="F68" s="4">
        <f t="shared" si="5"/>
        <v>736.86186904857323</v>
      </c>
    </row>
    <row r="69" spans="1:6">
      <c r="A69" s="7">
        <v>43393</v>
      </c>
      <c r="B69" s="1">
        <v>0.33333333333333331</v>
      </c>
      <c r="C69">
        <v>8018.7</v>
      </c>
      <c r="D69">
        <v>8.1999999999999993</v>
      </c>
      <c r="E69" s="3">
        <f t="shared" si="4"/>
        <v>7.6634373258150951E-2</v>
      </c>
      <c r="F69" s="4">
        <f t="shared" si="5"/>
        <v>736.81670607233139</v>
      </c>
    </row>
    <row r="70" spans="1:6">
      <c r="A70" s="32">
        <v>43605</v>
      </c>
      <c r="B70" s="1">
        <v>0.33333333333333331</v>
      </c>
      <c r="C70">
        <v>8065.3</v>
      </c>
      <c r="D70">
        <v>7.8</v>
      </c>
      <c r="E70" s="3">
        <f t="shared" si="4"/>
        <v>7.3016079586761318E-2</v>
      </c>
      <c r="F70" s="4">
        <f t="shared" si="5"/>
        <v>736.44764011784969</v>
      </c>
    </row>
    <row r="71" spans="1:6">
      <c r="A71" s="32">
        <v>43615</v>
      </c>
      <c r="B71" s="1">
        <v>0.33333333333333331</v>
      </c>
      <c r="C71">
        <v>8067.4</v>
      </c>
      <c r="D71">
        <v>7.9</v>
      </c>
      <c r="E71" s="3">
        <f t="shared" si="4"/>
        <v>7.2976544531885262E-2</v>
      </c>
      <c r="F71" s="4">
        <f t="shared" si="5"/>
        <v>736.44360754225227</v>
      </c>
    </row>
    <row r="72" spans="1:6">
      <c r="A72" s="32">
        <v>43626</v>
      </c>
      <c r="B72" s="1">
        <v>0.33333333333333331</v>
      </c>
      <c r="C72">
        <v>8069.1</v>
      </c>
      <c r="D72">
        <v>7.9</v>
      </c>
      <c r="E72" s="3">
        <f t="shared" si="4"/>
        <v>7.2859852834676747E-2</v>
      </c>
      <c r="F72" s="4">
        <f t="shared" si="5"/>
        <v>736.43170498913707</v>
      </c>
    </row>
    <row r="73" spans="1:6">
      <c r="A73" s="32">
        <v>43636</v>
      </c>
      <c r="B73" s="1">
        <v>0.33333333333333331</v>
      </c>
      <c r="C73">
        <v>8072.6</v>
      </c>
      <c r="D73">
        <v>8.1999999999999993</v>
      </c>
      <c r="E73" s="3">
        <f t="shared" si="4"/>
        <v>7.2933464705333267E-2</v>
      </c>
      <c r="F73" s="4">
        <f t="shared" si="5"/>
        <v>736.43921339994404</v>
      </c>
    </row>
    <row r="74" spans="1:6">
      <c r="A74" s="7">
        <v>43646</v>
      </c>
      <c r="B74" s="1">
        <v>0.33333333333333331</v>
      </c>
      <c r="C74">
        <v>8068.3</v>
      </c>
      <c r="D74">
        <v>8.3000000000000007</v>
      </c>
      <c r="E74" s="3">
        <f t="shared" si="4"/>
        <v>7.3333234650834009E-2</v>
      </c>
      <c r="F74" s="4">
        <f t="shared" si="5"/>
        <v>736.47998993438512</v>
      </c>
    </row>
    <row r="75" spans="1:6">
      <c r="A75" s="7">
        <v>43656</v>
      </c>
      <c r="B75" s="1">
        <v>0.33333333333333331</v>
      </c>
      <c r="C75">
        <v>8047.2</v>
      </c>
      <c r="D75">
        <v>8.5</v>
      </c>
      <c r="E75" s="3">
        <f t="shared" si="4"/>
        <v>7.4991017953487463E-2</v>
      </c>
      <c r="F75" s="4">
        <f t="shared" si="5"/>
        <v>736.64908383125567</v>
      </c>
    </row>
    <row r="76" spans="1:6">
      <c r="A76" s="7">
        <v>43666</v>
      </c>
      <c r="B76" s="1">
        <v>0.33333333333333331</v>
      </c>
      <c r="C76">
        <v>8025.1</v>
      </c>
      <c r="D76">
        <v>8.4</v>
      </c>
      <c r="E76" s="3">
        <f t="shared" si="4"/>
        <v>7.6404030805899914E-2</v>
      </c>
      <c r="F76" s="4">
        <f t="shared" si="5"/>
        <v>736.79321114220181</v>
      </c>
    </row>
    <row r="77" spans="1:6">
      <c r="A77" s="7">
        <v>43676</v>
      </c>
      <c r="B77" s="1">
        <v>0.33333333333333331</v>
      </c>
      <c r="C77">
        <v>8019.2</v>
      </c>
      <c r="D77">
        <v>8.1999999999999993</v>
      </c>
      <c r="E77" s="3">
        <f t="shared" si="4"/>
        <v>7.6600030005900349E-2</v>
      </c>
      <c r="F77" s="4">
        <f t="shared" si="5"/>
        <v>736.81320306060184</v>
      </c>
    </row>
    <row r="78" spans="1:6">
      <c r="A78" s="7">
        <v>43687</v>
      </c>
      <c r="B78" s="1">
        <v>0.33333333333333331</v>
      </c>
      <c r="C78">
        <v>8007.6</v>
      </c>
      <c r="D78">
        <v>8.4</v>
      </c>
      <c r="E78" s="3">
        <f t="shared" si="4"/>
        <v>7.7606085547450243E-2</v>
      </c>
      <c r="F78" s="4">
        <f t="shared" si="5"/>
        <v>736.91582072583992</v>
      </c>
    </row>
    <row r="79" spans="1:6">
      <c r="A79" s="7">
        <v>43697</v>
      </c>
      <c r="B79" s="1">
        <v>0.33333333333333331</v>
      </c>
      <c r="C79">
        <v>7957.1</v>
      </c>
      <c r="D79">
        <v>8.4</v>
      </c>
      <c r="E79" s="3">
        <f t="shared" si="4"/>
        <v>8.1076415982846373E-2</v>
      </c>
      <c r="F79" s="4">
        <f t="shared" si="5"/>
        <v>737.26979443025039</v>
      </c>
    </row>
    <row r="80" spans="1:6">
      <c r="A80" s="7">
        <v>43707</v>
      </c>
      <c r="B80" s="1">
        <v>0.33333333333333331</v>
      </c>
      <c r="C80">
        <v>7907.8</v>
      </c>
      <c r="D80">
        <v>8.6</v>
      </c>
      <c r="E80" s="3">
        <f t="shared" si="4"/>
        <v>8.4675729371430516E-2</v>
      </c>
      <c r="F80" s="4">
        <f t="shared" si="5"/>
        <v>737.6369243958859</v>
      </c>
    </row>
  </sheetData>
  <phoneticPr fontId="4" type="noConversion"/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6"/>
  <sheetViews>
    <sheetView topLeftCell="A33" workbookViewId="0">
      <selection activeCell="A53" sqref="A53:B55"/>
    </sheetView>
  </sheetViews>
  <sheetFormatPr defaultColWidth="9" defaultRowHeight="13.5"/>
  <cols>
    <col min="1" max="1" width="10.75" customWidth="1"/>
    <col min="2" max="2" width="13.125" style="17" customWidth="1"/>
    <col min="5" max="5" width="10.875" customWidth="1"/>
    <col min="8" max="8" width="9.5" customWidth="1"/>
  </cols>
  <sheetData>
    <row r="1" spans="1:8">
      <c r="A1" t="s">
        <v>0</v>
      </c>
      <c r="B1" s="18">
        <v>50416</v>
      </c>
      <c r="C1" t="s">
        <v>1</v>
      </c>
      <c r="D1" s="11">
        <v>750</v>
      </c>
    </row>
    <row r="2" spans="1:8">
      <c r="A2" t="s">
        <v>2</v>
      </c>
      <c r="B2" s="24">
        <v>6.7957299999999999E-10</v>
      </c>
    </row>
    <row r="3" spans="1:8">
      <c r="A3" t="s">
        <v>3</v>
      </c>
      <c r="B3" s="18">
        <v>-7.9920999999999996E-5</v>
      </c>
    </row>
    <row r="4" spans="1:8">
      <c r="A4" t="s">
        <v>4</v>
      </c>
      <c r="B4" s="18">
        <v>0.65777931999999995</v>
      </c>
    </row>
    <row r="5" spans="1:8">
      <c r="A5" t="s">
        <v>5</v>
      </c>
      <c r="B5" s="18">
        <v>-1.7232630000000001E-3</v>
      </c>
    </row>
    <row r="6" spans="1:8">
      <c r="A6" t="s">
        <v>6</v>
      </c>
      <c r="B6" s="17" t="s">
        <v>7</v>
      </c>
      <c r="C6" t="s">
        <v>8</v>
      </c>
      <c r="D6" t="s">
        <v>9</v>
      </c>
      <c r="E6" t="s">
        <v>10</v>
      </c>
      <c r="F6" t="s">
        <v>11</v>
      </c>
      <c r="G6" t="s">
        <v>12</v>
      </c>
    </row>
    <row r="7" spans="1:8">
      <c r="A7" s="6">
        <v>42888</v>
      </c>
      <c r="B7" s="9">
        <v>0.5625</v>
      </c>
      <c r="C7" s="2">
        <v>8895.4</v>
      </c>
      <c r="D7" s="2">
        <v>14.2</v>
      </c>
      <c r="E7" s="3">
        <f>($B$2*C7^2+$B$3*C7+$B$4)-$B$5*D7</f>
        <v>2.5093739472524659E-2</v>
      </c>
      <c r="G7" t="s">
        <v>13</v>
      </c>
    </row>
    <row r="8" spans="1:8">
      <c r="A8" s="6">
        <v>42888</v>
      </c>
      <c r="B8" s="9">
        <v>0.60416666666666663</v>
      </c>
      <c r="C8" s="2">
        <v>8866.7000000000007</v>
      </c>
      <c r="D8" s="2">
        <v>18.100000000000001</v>
      </c>
      <c r="E8" s="3">
        <f t="shared" ref="E8:E28" si="0">($B$2*C8^2+$B$3*C8+$B$4)-$B$5*D8-$E$7</f>
        <v>8.6680309291592046E-3</v>
      </c>
      <c r="F8" s="4">
        <f>$D$1+102*E8</f>
        <v>750.88413915477429</v>
      </c>
      <c r="G8" s="5" t="s">
        <v>14</v>
      </c>
      <c r="H8" s="23"/>
    </row>
    <row r="9" spans="1:8">
      <c r="A9" s="6">
        <v>42889</v>
      </c>
      <c r="B9" s="9">
        <v>0.33333333333333331</v>
      </c>
      <c r="C9" s="2">
        <v>8797.4</v>
      </c>
      <c r="D9" s="2">
        <v>11.4</v>
      </c>
      <c r="E9" s="3">
        <f t="shared" si="0"/>
        <v>1.8288137809087529E-3</v>
      </c>
      <c r="F9" s="4">
        <f t="shared" ref="F9:F55" si="1">$D$1+102*E9</f>
        <v>750.18653900565266</v>
      </c>
      <c r="H9" s="23"/>
    </row>
    <row r="10" spans="1:8">
      <c r="A10" s="6">
        <v>42890</v>
      </c>
      <c r="B10" s="9">
        <v>0.33333333333333331</v>
      </c>
      <c r="C10" s="2">
        <v>8801.5</v>
      </c>
      <c r="D10" s="2">
        <v>12.4</v>
      </c>
      <c r="E10" s="3">
        <f t="shared" si="0"/>
        <v>3.2734356037146355E-3</v>
      </c>
      <c r="F10" s="4">
        <f t="shared" si="1"/>
        <v>750.33389043157888</v>
      </c>
      <c r="H10" s="23"/>
    </row>
    <row r="11" spans="1:8">
      <c r="A11" s="6">
        <v>42891</v>
      </c>
      <c r="B11" s="9">
        <v>0.33333333333333331</v>
      </c>
      <c r="C11" s="2">
        <v>8804.7999999999993</v>
      </c>
      <c r="D11" s="2">
        <v>12.7</v>
      </c>
      <c r="E11" s="3">
        <f t="shared" si="0"/>
        <v>3.5661589318772731E-3</v>
      </c>
      <c r="F11" s="4">
        <f t="shared" si="1"/>
        <v>750.36374821105153</v>
      </c>
      <c r="H11" s="23"/>
    </row>
    <row r="12" spans="1:8">
      <c r="A12" s="6">
        <v>42892</v>
      </c>
      <c r="B12" s="9">
        <v>0.33333333333333331</v>
      </c>
      <c r="C12" s="2">
        <v>8807.2999999999993</v>
      </c>
      <c r="D12" s="2">
        <v>13</v>
      </c>
      <c r="E12" s="3">
        <f t="shared" si="0"/>
        <v>3.9132571009605453E-3</v>
      </c>
      <c r="F12" s="4">
        <f t="shared" si="1"/>
        <v>750.39915222429795</v>
      </c>
      <c r="H12" s="23"/>
    </row>
    <row r="13" spans="1:8">
      <c r="A13" s="6">
        <v>42893</v>
      </c>
      <c r="B13" s="9">
        <v>0.33333333333333331</v>
      </c>
      <c r="C13" s="2">
        <v>8810.5</v>
      </c>
      <c r="D13" s="2">
        <v>13.2</v>
      </c>
      <c r="E13" s="3">
        <f t="shared" si="0"/>
        <v>4.0404747607985236E-3</v>
      </c>
      <c r="F13" s="4">
        <f t="shared" si="1"/>
        <v>750.4121284256014</v>
      </c>
      <c r="H13" s="23"/>
    </row>
    <row r="14" spans="1:8">
      <c r="A14" s="6">
        <v>42894</v>
      </c>
      <c r="B14" s="9">
        <v>0.33333333333333331</v>
      </c>
      <c r="C14" s="2">
        <v>8813.7000000000007</v>
      </c>
      <c r="D14" s="2">
        <v>13.6</v>
      </c>
      <c r="E14" s="3">
        <f t="shared" si="0"/>
        <v>4.5123589382916433E-3</v>
      </c>
      <c r="F14" s="4">
        <f t="shared" si="1"/>
        <v>750.46026061170573</v>
      </c>
      <c r="H14" s="23"/>
    </row>
    <row r="15" spans="1:8">
      <c r="A15" s="6">
        <v>42896</v>
      </c>
      <c r="B15" s="9">
        <v>0.33333333333333331</v>
      </c>
      <c r="C15" s="2">
        <v>8823.5</v>
      </c>
      <c r="D15" s="2">
        <v>14.1</v>
      </c>
      <c r="E15" s="3">
        <f t="shared" si="0"/>
        <v>4.7082251344645297E-3</v>
      </c>
      <c r="F15" s="4">
        <f t="shared" si="1"/>
        <v>750.48023896371535</v>
      </c>
      <c r="H15" s="23"/>
    </row>
    <row r="16" spans="1:8">
      <c r="A16" s="6">
        <v>42906</v>
      </c>
      <c r="B16" s="9">
        <v>0.33333333333333331</v>
      </c>
      <c r="C16" s="2">
        <v>8834.7000000000007</v>
      </c>
      <c r="D16" s="2">
        <v>15</v>
      </c>
      <c r="E16" s="3">
        <f t="shared" si="0"/>
        <v>5.4984470370888147E-3</v>
      </c>
      <c r="F16" s="4">
        <f t="shared" si="1"/>
        <v>750.56084159778311</v>
      </c>
      <c r="H16" s="23"/>
    </row>
    <row r="17" spans="1:8">
      <c r="A17" s="6">
        <v>42916</v>
      </c>
      <c r="B17" s="9">
        <v>0.33333333333333331</v>
      </c>
      <c r="C17" s="2">
        <v>8848.5</v>
      </c>
      <c r="D17" s="2">
        <v>16</v>
      </c>
      <c r="E17" s="3">
        <f t="shared" si="0"/>
        <v>6.2846351858645184E-3</v>
      </c>
      <c r="F17" s="4">
        <f t="shared" si="1"/>
        <v>750.64103278895823</v>
      </c>
      <c r="H17" s="23"/>
    </row>
    <row r="18" spans="1:8">
      <c r="A18" s="6">
        <v>42926</v>
      </c>
      <c r="B18" s="9">
        <v>0.33333333333333331</v>
      </c>
      <c r="C18" s="2">
        <v>8873</v>
      </c>
      <c r="D18" s="2">
        <v>16.2</v>
      </c>
      <c r="E18" s="3">
        <f t="shared" si="0"/>
        <v>4.9662780823924099E-3</v>
      </c>
      <c r="F18" s="4">
        <f t="shared" si="1"/>
        <v>750.50656036440398</v>
      </c>
      <c r="H18" s="23"/>
    </row>
    <row r="19" spans="1:8">
      <c r="A19" s="7">
        <v>42936</v>
      </c>
      <c r="B19" s="9">
        <v>0.33333333333333331</v>
      </c>
      <c r="C19" s="2">
        <v>8854.5</v>
      </c>
      <c r="D19" s="2">
        <v>16.3</v>
      </c>
      <c r="E19" s="3">
        <f t="shared" si="0"/>
        <v>6.3942709707785796E-3</v>
      </c>
      <c r="F19" s="4">
        <f t="shared" si="1"/>
        <v>750.65221563901946</v>
      </c>
      <c r="H19" s="23"/>
    </row>
    <row r="20" spans="1:8">
      <c r="A20" s="7">
        <v>42946</v>
      </c>
      <c r="B20" s="9">
        <v>0.33333333333333331</v>
      </c>
      <c r="C20" s="2">
        <v>8858.4</v>
      </c>
      <c r="D20" s="2">
        <v>16.399999999999999</v>
      </c>
      <c r="E20" s="3">
        <f t="shared" si="0"/>
        <v>6.3018504842862165E-3</v>
      </c>
      <c r="F20" s="4">
        <f t="shared" si="1"/>
        <v>750.64278874939714</v>
      </c>
      <c r="H20" s="23"/>
    </row>
    <row r="21" spans="1:8">
      <c r="A21" s="7">
        <v>42957</v>
      </c>
      <c r="B21" s="9">
        <v>0.33333333333333331</v>
      </c>
      <c r="C21" s="2">
        <v>8852.7999999999993</v>
      </c>
      <c r="D21" s="2">
        <v>16.7</v>
      </c>
      <c r="E21" s="3">
        <f t="shared" si="0"/>
        <v>7.1989850857076855E-3</v>
      </c>
      <c r="F21" s="4">
        <f t="shared" si="1"/>
        <v>750.73429647874218</v>
      </c>
      <c r="H21" s="23"/>
    </row>
    <row r="22" spans="1:8">
      <c r="A22" s="7">
        <v>42967</v>
      </c>
      <c r="B22" s="9">
        <v>0.33333333333333331</v>
      </c>
      <c r="C22" s="2">
        <v>8848.2999999999993</v>
      </c>
      <c r="D22" s="2">
        <v>16.8</v>
      </c>
      <c r="E22" s="3">
        <f t="shared" si="0"/>
        <v>7.6768245323714061E-3</v>
      </c>
      <c r="F22" s="4">
        <f t="shared" si="1"/>
        <v>750.78303610230193</v>
      </c>
      <c r="H22" s="23"/>
    </row>
    <row r="23" spans="1:8">
      <c r="A23" s="7">
        <v>42977</v>
      </c>
      <c r="B23" s="9">
        <v>0.33333333333333331</v>
      </c>
      <c r="C23" s="2">
        <v>8862.1</v>
      </c>
      <c r="D23" s="2">
        <v>17.899999999999999</v>
      </c>
      <c r="E23" s="3">
        <f t="shared" si="0"/>
        <v>8.6355940656681653E-3</v>
      </c>
      <c r="F23" s="4">
        <f t="shared" si="1"/>
        <v>750.88083059469818</v>
      </c>
    </row>
    <row r="24" spans="1:8">
      <c r="A24" s="7">
        <v>42988</v>
      </c>
      <c r="B24" s="9">
        <v>0.33333333333333331</v>
      </c>
      <c r="C24" s="2">
        <v>8855.2000000000007</v>
      </c>
      <c r="D24" s="2">
        <v>17.600000000000001</v>
      </c>
      <c r="E24" s="3">
        <f t="shared" si="0"/>
        <v>8.5869926945491316E-3</v>
      </c>
      <c r="F24" s="4">
        <f t="shared" si="1"/>
        <v>750.87587325484401</v>
      </c>
    </row>
    <row r="25" spans="1:8">
      <c r="A25" s="7">
        <v>42998</v>
      </c>
      <c r="B25" s="9">
        <v>0.33333333333333331</v>
      </c>
      <c r="C25" s="2">
        <v>8868</v>
      </c>
      <c r="D25" s="2">
        <v>17.600000000000001</v>
      </c>
      <c r="E25" s="3">
        <f t="shared" si="0"/>
        <v>7.718169759427327E-3</v>
      </c>
      <c r="F25" s="4">
        <f t="shared" si="1"/>
        <v>750.78725331546161</v>
      </c>
    </row>
    <row r="26" spans="1:8">
      <c r="A26" s="7">
        <v>43008</v>
      </c>
      <c r="B26" s="9">
        <v>0.33333333333333331</v>
      </c>
      <c r="C26" s="2">
        <v>8864.6</v>
      </c>
      <c r="D26" s="2">
        <v>17.8</v>
      </c>
      <c r="E26" s="3">
        <f t="shared" si="0"/>
        <v>8.2935817324159868E-3</v>
      </c>
      <c r="F26" s="4">
        <f t="shared" si="1"/>
        <v>750.84594533670645</v>
      </c>
    </row>
    <row r="27" spans="1:8">
      <c r="A27" s="7">
        <v>43018</v>
      </c>
      <c r="B27" s="9">
        <v>0.33333333333333331</v>
      </c>
      <c r="C27" s="2">
        <v>8859.6</v>
      </c>
      <c r="D27" s="2">
        <v>17</v>
      </c>
      <c r="E27" s="3">
        <f t="shared" si="0"/>
        <v>7.254351893582995E-3</v>
      </c>
      <c r="F27" s="4">
        <f t="shared" si="1"/>
        <v>750.73994389314544</v>
      </c>
    </row>
    <row r="28" spans="1:8">
      <c r="A28" s="6">
        <v>43230</v>
      </c>
      <c r="B28" s="9">
        <v>0.33333333333333331</v>
      </c>
      <c r="C28" s="2">
        <v>8755.5</v>
      </c>
      <c r="D28" s="2">
        <v>7.8</v>
      </c>
      <c r="E28" s="3">
        <f t="shared" si="0"/>
        <v>-1.5260463016914493E-3</v>
      </c>
      <c r="F28" s="4">
        <f t="shared" si="1"/>
        <v>749.84434327722749</v>
      </c>
    </row>
    <row r="29" spans="1:8">
      <c r="A29" s="7">
        <v>43240</v>
      </c>
      <c r="B29" s="9">
        <v>0.33333333333333331</v>
      </c>
      <c r="C29" s="2">
        <v>8750.9</v>
      </c>
      <c r="D29" s="2">
        <v>7.5</v>
      </c>
      <c r="E29" s="3">
        <f>($B$2*C29^2+$B$3*C29+$B$4)-$B$5*D29-$E$7</f>
        <v>-1.7301142348205324E-3</v>
      </c>
      <c r="F29" s="4">
        <f t="shared" si="1"/>
        <v>749.82352834804828</v>
      </c>
    </row>
    <row r="30" spans="1:8">
      <c r="A30" s="7">
        <v>43250</v>
      </c>
      <c r="B30" s="9">
        <v>0.33333333333333331</v>
      </c>
      <c r="C30" s="2">
        <v>8742.7999999999993</v>
      </c>
      <c r="D30" s="2">
        <v>7.6</v>
      </c>
      <c r="E30" s="8">
        <f>($B$2*C30^2+$B$3*C30+$B$4)-$B$5*D30-$E$7</f>
        <v>-1.0067226289602882E-3</v>
      </c>
      <c r="F30" s="4">
        <f t="shared" si="1"/>
        <v>749.8973142918461</v>
      </c>
    </row>
    <row r="31" spans="1:8">
      <c r="A31" s="7">
        <v>43261</v>
      </c>
      <c r="B31" s="9">
        <v>0.33333333333333331</v>
      </c>
      <c r="C31" s="2">
        <v>8749.7999999999993</v>
      </c>
      <c r="D31" s="2">
        <v>7.2</v>
      </c>
      <c r="E31" s="3">
        <f>($B$2*C31^2+$B$3*C31+$B$4)-$B$5*D31-$E$7</f>
        <v>-2.1722623383416788E-3</v>
      </c>
      <c r="F31" s="4">
        <f t="shared" si="1"/>
        <v>749.77842924148911</v>
      </c>
    </row>
    <row r="32" spans="1:8">
      <c r="A32" s="7">
        <v>43271</v>
      </c>
      <c r="B32" s="9">
        <v>0.33333333333333331</v>
      </c>
      <c r="C32" s="2">
        <v>8750.2999999999993</v>
      </c>
      <c r="D32" s="2">
        <v>7</v>
      </c>
      <c r="E32" s="3">
        <f>($B$2*C32^2+$B$3*C32+$B$4)-$B$5*D32-$E$7</f>
        <v>-2.5509291406130147E-3</v>
      </c>
      <c r="F32" s="4">
        <f t="shared" si="1"/>
        <v>749.73980522765748</v>
      </c>
    </row>
    <row r="33" spans="1:6">
      <c r="A33" s="7">
        <v>43281</v>
      </c>
      <c r="B33" s="9">
        <v>0.33333333333333331</v>
      </c>
      <c r="C33" s="2">
        <v>8745</v>
      </c>
      <c r="D33" s="2">
        <v>6.8</v>
      </c>
      <c r="E33" s="3">
        <f>($B$2*C33^2+$B$3*C33+$B$4)-$B$5*D33-$E$7</f>
        <v>-2.5350139081996778E-3</v>
      </c>
      <c r="F33" s="4">
        <f t="shared" si="1"/>
        <v>749.74142858136361</v>
      </c>
    </row>
    <row r="34" spans="1:6">
      <c r="A34" s="7">
        <v>43291</v>
      </c>
      <c r="B34" s="9">
        <v>0.33333333333333331</v>
      </c>
      <c r="C34" s="2">
        <v>8756.4</v>
      </c>
      <c r="D34" s="2">
        <v>7.9</v>
      </c>
      <c r="E34" s="3">
        <f t="shared" ref="E34:E55" si="2">($B$2*C34^2+$B$3*C34+$B$4)-$B$5*D34-$E$7</f>
        <v>-1.4149383487145513E-3</v>
      </c>
      <c r="F34" s="4">
        <f t="shared" si="1"/>
        <v>749.85567628843114</v>
      </c>
    </row>
    <row r="35" spans="1:6">
      <c r="A35" s="7">
        <v>43301</v>
      </c>
      <c r="B35" s="9">
        <v>0.33333333333333331</v>
      </c>
      <c r="C35" s="2">
        <v>8747.1</v>
      </c>
      <c r="D35" s="2">
        <v>7.7</v>
      </c>
      <c r="E35" s="3">
        <f t="shared" si="2"/>
        <v>-1.1269482745657998E-3</v>
      </c>
      <c r="F35" s="4">
        <f t="shared" si="1"/>
        <v>749.88505127599433</v>
      </c>
    </row>
    <row r="36" spans="1:6">
      <c r="A36" s="7">
        <v>43311</v>
      </c>
      <c r="B36" s="9">
        <v>0.33333333333333331</v>
      </c>
      <c r="C36" s="2">
        <v>8750.5</v>
      </c>
      <c r="D36" s="2">
        <v>8</v>
      </c>
      <c r="E36" s="3">
        <f t="shared" si="2"/>
        <v>-8.4127172638136585E-4</v>
      </c>
      <c r="F36" s="4">
        <f t="shared" si="1"/>
        <v>749.91419028390908</v>
      </c>
    </row>
    <row r="37" spans="1:6">
      <c r="A37" s="7">
        <v>43322</v>
      </c>
      <c r="B37" s="9">
        <v>0.33333333333333331</v>
      </c>
      <c r="C37" s="2">
        <v>8757.2000000000007</v>
      </c>
      <c r="D37" s="2">
        <v>8.8000000000000007</v>
      </c>
      <c r="E37" s="3">
        <f t="shared" si="2"/>
        <v>8.1582967039559723E-5</v>
      </c>
      <c r="F37" s="4">
        <f t="shared" si="1"/>
        <v>750.00832146263804</v>
      </c>
    </row>
    <row r="38" spans="1:6">
      <c r="A38" s="7">
        <v>43332</v>
      </c>
      <c r="B38" s="9">
        <v>0.33333333333333331</v>
      </c>
      <c r="C38" s="2">
        <v>8771.2999999999993</v>
      </c>
      <c r="D38" s="2">
        <v>9.1999999999999993</v>
      </c>
      <c r="E38" s="3">
        <f t="shared" si="2"/>
        <v>-1.8804020880032815E-4</v>
      </c>
      <c r="F38" s="4">
        <f t="shared" si="1"/>
        <v>749.98081989870241</v>
      </c>
    </row>
    <row r="39" spans="1:6">
      <c r="A39" s="7">
        <v>43342</v>
      </c>
      <c r="B39" s="9">
        <v>0.33333333333333331</v>
      </c>
      <c r="C39" s="2">
        <v>8780.2999999999993</v>
      </c>
      <c r="D39" s="2">
        <v>9.6</v>
      </c>
      <c r="E39" s="3">
        <f t="shared" si="2"/>
        <v>-1.1067566759909858E-4</v>
      </c>
      <c r="F39" s="4">
        <f t="shared" si="1"/>
        <v>749.98871108190485</v>
      </c>
    </row>
    <row r="40" spans="1:6">
      <c r="A40" s="7">
        <v>43353</v>
      </c>
      <c r="B40" s="9">
        <v>0.33333333333333331</v>
      </c>
      <c r="C40" s="2">
        <v>8787.6</v>
      </c>
      <c r="D40" s="2">
        <v>10.4</v>
      </c>
      <c r="E40" s="3">
        <f t="shared" si="2"/>
        <v>7.7166372709976463E-4</v>
      </c>
      <c r="F40" s="4">
        <f t="shared" si="1"/>
        <v>750.07870970016415</v>
      </c>
    </row>
    <row r="41" spans="1:6">
      <c r="A41" s="7">
        <v>43363</v>
      </c>
      <c r="B41" s="9">
        <v>0.33333333333333331</v>
      </c>
      <c r="C41" s="2">
        <v>8774.7000000000007</v>
      </c>
      <c r="D41" s="2">
        <v>10.7</v>
      </c>
      <c r="E41" s="3">
        <f t="shared" si="2"/>
        <v>2.1656637699168299E-3</v>
      </c>
      <c r="F41" s="4">
        <f t="shared" si="1"/>
        <v>750.22089770453147</v>
      </c>
    </row>
    <row r="42" spans="1:6">
      <c r="A42" s="7">
        <v>43373</v>
      </c>
      <c r="B42" s="9">
        <v>0.33333333333333331</v>
      </c>
      <c r="C42" s="2">
        <v>8779.4</v>
      </c>
      <c r="D42" s="2">
        <v>10.5</v>
      </c>
      <c r="E42" s="3">
        <f t="shared" si="2"/>
        <v>1.5014501441936619E-3</v>
      </c>
      <c r="F42" s="4">
        <f t="shared" si="1"/>
        <v>750.1531479147078</v>
      </c>
    </row>
    <row r="43" spans="1:6">
      <c r="A43" s="7">
        <v>43383</v>
      </c>
      <c r="B43" s="9">
        <v>0.33333333333333331</v>
      </c>
      <c r="C43" s="2">
        <v>8781.2999999999993</v>
      </c>
      <c r="D43" s="2">
        <v>10.199999999999999</v>
      </c>
      <c r="E43" s="3">
        <f t="shared" si="2"/>
        <v>8.5529552159769803E-4</v>
      </c>
      <c r="F43" s="4">
        <f t="shared" si="1"/>
        <v>750.08724014320296</v>
      </c>
    </row>
    <row r="44" spans="1:6">
      <c r="A44" s="7">
        <v>43393</v>
      </c>
      <c r="B44" s="9">
        <v>0.33333333333333331</v>
      </c>
      <c r="C44" s="2">
        <v>8783.6</v>
      </c>
      <c r="D44" s="2">
        <v>9.8000000000000007</v>
      </c>
      <c r="E44" s="3">
        <f t="shared" si="2"/>
        <v>9.6262747093511791E-6</v>
      </c>
      <c r="F44" s="4">
        <f t="shared" si="1"/>
        <v>750.00098188002039</v>
      </c>
    </row>
    <row r="45" spans="1:6">
      <c r="A45" s="7">
        <v>43605</v>
      </c>
      <c r="B45" s="1">
        <v>0.33333333333333331</v>
      </c>
      <c r="C45" s="2">
        <v>8743.1</v>
      </c>
      <c r="D45" s="2">
        <v>6.2</v>
      </c>
      <c r="E45" s="3">
        <f t="shared" si="2"/>
        <v>-3.4397022453041895E-3</v>
      </c>
      <c r="F45" s="4">
        <f t="shared" si="1"/>
        <v>749.64915037097899</v>
      </c>
    </row>
    <row r="46" spans="1:6">
      <c r="A46" s="7">
        <v>43615</v>
      </c>
      <c r="B46" s="1">
        <v>0.33333333333333331</v>
      </c>
      <c r="C46" s="2">
        <v>8750.2000000000007</v>
      </c>
      <c r="D46" s="2">
        <v>6.3</v>
      </c>
      <c r="E46" s="3">
        <f t="shared" si="2"/>
        <v>-3.7504104273418694E-3</v>
      </c>
      <c r="F46" s="4">
        <f t="shared" si="1"/>
        <v>749.61745813641107</v>
      </c>
    </row>
    <row r="47" spans="1:6">
      <c r="A47" s="7">
        <v>43626</v>
      </c>
      <c r="B47" s="1">
        <v>0.33333333333333331</v>
      </c>
      <c r="C47" s="2">
        <v>8753.9</v>
      </c>
      <c r="D47" s="2">
        <v>6.3</v>
      </c>
      <c r="E47" s="3">
        <f t="shared" si="2"/>
        <v>-4.0021054664693446E-3</v>
      </c>
      <c r="F47" s="4">
        <f t="shared" si="1"/>
        <v>749.59178524242009</v>
      </c>
    </row>
    <row r="48" spans="1:6">
      <c r="A48" s="7">
        <v>43636</v>
      </c>
      <c r="B48" s="1">
        <v>0.33333333333333331</v>
      </c>
      <c r="C48" s="2">
        <v>8757.2000000000007</v>
      </c>
      <c r="D48" s="2">
        <v>6.4</v>
      </c>
      <c r="E48" s="3">
        <f t="shared" si="2"/>
        <v>-4.0542482329604425E-3</v>
      </c>
      <c r="F48" s="4">
        <f t="shared" si="1"/>
        <v>749.586466680238</v>
      </c>
    </row>
    <row r="49" spans="1:6">
      <c r="A49" s="7">
        <v>43646</v>
      </c>
      <c r="B49" s="1">
        <v>0.33333333333333331</v>
      </c>
      <c r="C49" s="2">
        <v>8752.6</v>
      </c>
      <c r="D49" s="2">
        <v>6.5</v>
      </c>
      <c r="E49" s="3">
        <f t="shared" si="2"/>
        <v>-3.5690215946112547E-3</v>
      </c>
      <c r="F49" s="4">
        <f t="shared" si="1"/>
        <v>749.63595979734964</v>
      </c>
    </row>
    <row r="50" spans="1:6">
      <c r="A50" s="7">
        <v>43656</v>
      </c>
      <c r="B50" s="1">
        <v>0.33333333333333331</v>
      </c>
      <c r="C50" s="2">
        <v>8750.2999999999993</v>
      </c>
      <c r="D50" s="2">
        <v>6.4</v>
      </c>
      <c r="E50" s="3">
        <f t="shared" si="2"/>
        <v>-3.584886940613017E-3</v>
      </c>
      <c r="F50" s="4">
        <f t="shared" si="1"/>
        <v>749.63434153205742</v>
      </c>
    </row>
    <row r="51" spans="1:6">
      <c r="A51" s="7">
        <v>43666</v>
      </c>
      <c r="B51" s="1">
        <v>0.33333333333333331</v>
      </c>
      <c r="C51" s="2">
        <v>8747.1</v>
      </c>
      <c r="D51" s="2">
        <v>6.4</v>
      </c>
      <c r="E51" s="3">
        <f t="shared" si="2"/>
        <v>-3.3671901745658019E-3</v>
      </c>
      <c r="F51" s="4">
        <f t="shared" si="1"/>
        <v>749.65654660219434</v>
      </c>
    </row>
    <row r="52" spans="1:6">
      <c r="A52" s="7">
        <v>43676</v>
      </c>
      <c r="B52" s="1">
        <v>0.33333333333333331</v>
      </c>
      <c r="C52" s="2">
        <v>8745.4</v>
      </c>
      <c r="D52" s="2">
        <v>6.4</v>
      </c>
      <c r="E52" s="3">
        <f t="shared" si="2"/>
        <v>-3.2515331067599941E-3</v>
      </c>
      <c r="F52" s="4">
        <f t="shared" si="1"/>
        <v>749.66834362311045</v>
      </c>
    </row>
    <row r="53" spans="1:6">
      <c r="A53" s="7">
        <v>43687</v>
      </c>
      <c r="B53" s="9">
        <v>0.33333333333333331</v>
      </c>
      <c r="C53" s="2">
        <v>8747.2999999999993</v>
      </c>
      <c r="D53" s="2">
        <v>7.8</v>
      </c>
      <c r="E53" s="3">
        <f t="shared" si="2"/>
        <v>-9.6822843018745317E-4</v>
      </c>
      <c r="F53" s="4">
        <f t="shared" si="1"/>
        <v>749.90124070012087</v>
      </c>
    </row>
    <row r="54" spans="1:6">
      <c r="A54" s="7">
        <v>43697</v>
      </c>
      <c r="B54" s="1">
        <v>0.33333333333333331</v>
      </c>
      <c r="C54" s="2">
        <v>8749.6</v>
      </c>
      <c r="D54" s="2">
        <v>7.9</v>
      </c>
      <c r="E54" s="3">
        <f t="shared" si="2"/>
        <v>-9.5237246229297814E-4</v>
      </c>
      <c r="F54" s="4">
        <f t="shared" si="1"/>
        <v>749.90285800884612</v>
      </c>
    </row>
    <row r="55" spans="1:6">
      <c r="A55" s="7">
        <v>43707</v>
      </c>
      <c r="B55" s="9">
        <v>0.33333333333333331</v>
      </c>
      <c r="C55" s="2">
        <v>8755.5</v>
      </c>
      <c r="D55" s="2">
        <v>8.6</v>
      </c>
      <c r="E55" s="3">
        <f t="shared" si="2"/>
        <v>-1.4743590169144852E-4</v>
      </c>
      <c r="F55" s="4">
        <f t="shared" si="1"/>
        <v>749.98496153802751</v>
      </c>
    </row>
    <row r="56" spans="1:6">
      <c r="B56" s="9"/>
    </row>
    <row r="57" spans="1:6">
      <c r="B57" s="9"/>
    </row>
    <row r="58" spans="1:6">
      <c r="B58" s="9"/>
    </row>
    <row r="59" spans="1:6">
      <c r="B59" s="9"/>
    </row>
    <row r="60" spans="1:6">
      <c r="B60" s="9"/>
    </row>
    <row r="61" spans="1:6">
      <c r="B61" s="9"/>
    </row>
    <row r="62" spans="1:6">
      <c r="B62" s="9"/>
    </row>
    <row r="63" spans="1:6">
      <c r="B63" s="9"/>
    </row>
    <row r="64" spans="1:6">
      <c r="B64" s="9"/>
    </row>
    <row r="65" spans="2:2">
      <c r="B65" s="9"/>
    </row>
    <row r="66" spans="2:2">
      <c r="B66" s="9"/>
    </row>
    <row r="67" spans="2:2">
      <c r="B67" s="9"/>
    </row>
    <row r="68" spans="2:2">
      <c r="B68" s="9"/>
    </row>
    <row r="69" spans="2:2">
      <c r="B69" s="9"/>
    </row>
    <row r="70" spans="2:2">
      <c r="B70" s="9"/>
    </row>
    <row r="71" spans="2:2">
      <c r="B71" s="9"/>
    </row>
    <row r="72" spans="2:2">
      <c r="B72" s="9"/>
    </row>
    <row r="73" spans="2:2">
      <c r="B73" s="9"/>
    </row>
    <row r="74" spans="2:2">
      <c r="B74" s="9"/>
    </row>
    <row r="75" spans="2:2">
      <c r="B75" s="9"/>
    </row>
    <row r="76" spans="2:2">
      <c r="B76" s="9"/>
    </row>
    <row r="77" spans="2:2">
      <c r="B77" s="9"/>
    </row>
    <row r="78" spans="2:2">
      <c r="B78" s="9"/>
    </row>
    <row r="79" spans="2:2">
      <c r="B79" s="9"/>
    </row>
    <row r="80" spans="2:2">
      <c r="B80" s="9"/>
    </row>
    <row r="81" spans="2:2">
      <c r="B81" s="9"/>
    </row>
    <row r="82" spans="2:2">
      <c r="B82" s="9"/>
    </row>
    <row r="83" spans="2:2">
      <c r="B83" s="9"/>
    </row>
    <row r="84" spans="2:2">
      <c r="B84" s="9"/>
    </row>
    <row r="85" spans="2:2">
      <c r="B85" s="9"/>
    </row>
    <row r="86" spans="2:2">
      <c r="B86" s="9"/>
    </row>
    <row r="87" spans="2:2">
      <c r="B87" s="9"/>
    </row>
    <row r="88" spans="2:2">
      <c r="B88" s="9"/>
    </row>
    <row r="89" spans="2:2">
      <c r="B89" s="9"/>
    </row>
    <row r="90" spans="2:2">
      <c r="B90" s="9"/>
    </row>
    <row r="91" spans="2:2">
      <c r="B91" s="9"/>
    </row>
    <row r="92" spans="2:2">
      <c r="B92" s="9"/>
    </row>
    <row r="93" spans="2:2">
      <c r="B93" s="9"/>
    </row>
    <row r="94" spans="2:2">
      <c r="B94" s="9"/>
    </row>
    <row r="95" spans="2:2">
      <c r="B95" s="9"/>
    </row>
    <row r="96" spans="2:2">
      <c r="B96" s="9"/>
    </row>
    <row r="97" spans="2:2">
      <c r="B97" s="9"/>
    </row>
    <row r="98" spans="2:2">
      <c r="B98" s="9"/>
    </row>
    <row r="99" spans="2:2">
      <c r="B99" s="9"/>
    </row>
    <row r="100" spans="2:2">
      <c r="B100" s="9"/>
    </row>
    <row r="101" spans="2:2">
      <c r="B101" s="9"/>
    </row>
    <row r="102" spans="2:2">
      <c r="B102" s="9"/>
    </row>
    <row r="103" spans="2:2">
      <c r="B103" s="9"/>
    </row>
    <row r="104" spans="2:2">
      <c r="B104" s="9"/>
    </row>
    <row r="105" spans="2:2">
      <c r="B105" s="9"/>
    </row>
    <row r="106" spans="2:2">
      <c r="B106" s="9"/>
    </row>
    <row r="107" spans="2:2">
      <c r="B107" s="9"/>
    </row>
    <row r="108" spans="2:2">
      <c r="B108" s="9"/>
    </row>
    <row r="109" spans="2:2">
      <c r="B109" s="9"/>
    </row>
    <row r="110" spans="2:2">
      <c r="B110" s="9"/>
    </row>
    <row r="111" spans="2:2">
      <c r="B111" s="9"/>
    </row>
    <row r="112" spans="2:2">
      <c r="B112" s="9"/>
    </row>
    <row r="113" spans="2:2">
      <c r="B113" s="9"/>
    </row>
    <row r="114" spans="2:2">
      <c r="B114" s="9"/>
    </row>
    <row r="115" spans="2:2">
      <c r="B115" s="9"/>
    </row>
    <row r="116" spans="2:2">
      <c r="B116" s="9"/>
    </row>
    <row r="117" spans="2:2">
      <c r="B117" s="9"/>
    </row>
    <row r="118" spans="2:2">
      <c r="B118" s="9"/>
    </row>
    <row r="119" spans="2:2">
      <c r="B119" s="9"/>
    </row>
    <row r="120" spans="2:2">
      <c r="B120" s="9"/>
    </row>
    <row r="121" spans="2:2">
      <c r="B121" s="9"/>
    </row>
    <row r="122" spans="2:2">
      <c r="B122" s="9"/>
    </row>
    <row r="123" spans="2:2">
      <c r="B123" s="9"/>
    </row>
    <row r="124" spans="2:2">
      <c r="B124" s="9"/>
    </row>
    <row r="125" spans="2:2">
      <c r="B125" s="9"/>
    </row>
    <row r="126" spans="2:2">
      <c r="B126" s="9"/>
    </row>
    <row r="127" spans="2:2">
      <c r="B127" s="9"/>
    </row>
    <row r="128" spans="2:2">
      <c r="B128" s="9"/>
    </row>
    <row r="129" spans="2:2">
      <c r="B129" s="9"/>
    </row>
    <row r="130" spans="2:2">
      <c r="B130" s="9"/>
    </row>
    <row r="131" spans="2:2">
      <c r="B131" s="9"/>
    </row>
    <row r="132" spans="2:2">
      <c r="B132" s="9"/>
    </row>
    <row r="133" spans="2:2">
      <c r="B133" s="9"/>
    </row>
    <row r="134" spans="2:2">
      <c r="B134" s="9"/>
    </row>
    <row r="135" spans="2:2">
      <c r="B135" s="9"/>
    </row>
    <row r="136" spans="2:2">
      <c r="B136" s="9"/>
    </row>
    <row r="137" spans="2:2">
      <c r="B137" s="9"/>
    </row>
    <row r="138" spans="2:2">
      <c r="B138" s="9"/>
    </row>
    <row r="139" spans="2:2">
      <c r="B139" s="9"/>
    </row>
    <row r="140" spans="2:2">
      <c r="B140" s="9"/>
    </row>
    <row r="141" spans="2:2">
      <c r="B141" s="9"/>
    </row>
    <row r="142" spans="2:2">
      <c r="B142" s="9"/>
    </row>
    <row r="143" spans="2:2">
      <c r="B143" s="9"/>
    </row>
    <row r="144" spans="2:2">
      <c r="B144" s="9"/>
    </row>
    <row r="145" spans="2:2">
      <c r="B145" s="9"/>
    </row>
    <row r="146" spans="2:2">
      <c r="B146" s="9"/>
    </row>
    <row r="147" spans="2:2">
      <c r="B147" s="9"/>
    </row>
    <row r="148" spans="2:2">
      <c r="B148" s="9"/>
    </row>
    <row r="149" spans="2:2">
      <c r="B149" s="9"/>
    </row>
    <row r="150" spans="2:2">
      <c r="B150" s="9"/>
    </row>
    <row r="151" spans="2:2">
      <c r="B151" s="9"/>
    </row>
    <row r="152" spans="2:2">
      <c r="B152" s="9"/>
    </row>
    <row r="153" spans="2:2">
      <c r="B153" s="9"/>
    </row>
    <row r="154" spans="2:2">
      <c r="B154" s="9"/>
    </row>
    <row r="155" spans="2:2">
      <c r="B155" s="9"/>
    </row>
    <row r="156" spans="2:2">
      <c r="B156" s="9"/>
    </row>
    <row r="157" spans="2:2">
      <c r="B157" s="9"/>
    </row>
    <row r="158" spans="2:2">
      <c r="B158" s="9"/>
    </row>
    <row r="159" spans="2:2">
      <c r="B159" s="9"/>
    </row>
    <row r="160" spans="2:2">
      <c r="B160" s="9"/>
    </row>
    <row r="161" spans="2:2">
      <c r="B161" s="9"/>
    </row>
    <row r="162" spans="2:2">
      <c r="B162" s="9"/>
    </row>
    <row r="163" spans="2:2">
      <c r="B163" s="9"/>
    </row>
    <row r="164" spans="2:2">
      <c r="B164" s="9"/>
    </row>
    <row r="165" spans="2:2">
      <c r="B165" s="9"/>
    </row>
    <row r="166" spans="2:2">
      <c r="B166" s="9"/>
    </row>
    <row r="167" spans="2:2">
      <c r="B167" s="9"/>
    </row>
    <row r="168" spans="2:2">
      <c r="B168" s="9"/>
    </row>
    <row r="169" spans="2:2">
      <c r="B169" s="9"/>
    </row>
    <row r="170" spans="2:2">
      <c r="B170" s="9"/>
    </row>
    <row r="171" spans="2:2">
      <c r="B171" s="9"/>
    </row>
    <row r="172" spans="2:2">
      <c r="B172" s="9"/>
    </row>
    <row r="173" spans="2:2">
      <c r="B173" s="9"/>
    </row>
    <row r="174" spans="2:2">
      <c r="B174" s="9"/>
    </row>
    <row r="175" spans="2:2">
      <c r="B175" s="9"/>
    </row>
    <row r="176" spans="2:2">
      <c r="B176" s="9"/>
    </row>
  </sheetData>
  <phoneticPr fontId="5" type="noConversion"/>
  <pageMargins left="0.69930555555555596" right="0.69930555555555596" top="0.75" bottom="0.75" header="0.3" footer="0.3"/>
  <pageSetup paperSize="9" orientation="portrait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0"/>
  <sheetViews>
    <sheetView topLeftCell="A57" workbookViewId="0">
      <selection activeCell="A74" sqref="A74:B80"/>
    </sheetView>
  </sheetViews>
  <sheetFormatPr defaultColWidth="9" defaultRowHeight="13.5"/>
  <cols>
    <col min="1" max="1" width="11.625" bestFit="1" customWidth="1"/>
    <col min="2" max="2" width="13.875" customWidth="1"/>
  </cols>
  <sheetData>
    <row r="1" spans="1:7">
      <c r="A1" t="s">
        <v>0</v>
      </c>
      <c r="B1">
        <v>11218</v>
      </c>
      <c r="C1" t="s">
        <v>1</v>
      </c>
      <c r="D1">
        <v>724.3</v>
      </c>
    </row>
    <row r="2" spans="1:7">
      <c r="A2" t="s">
        <v>2</v>
      </c>
      <c r="B2">
        <f>2.33355*10^(-11)</f>
        <v>2.3335499999999997E-11</v>
      </c>
    </row>
    <row r="3" spans="1:7">
      <c r="A3" t="s">
        <v>3</v>
      </c>
      <c r="B3">
        <f>-0.000163212</f>
        <v>-1.6321200000000001E-4</v>
      </c>
    </row>
    <row r="4" spans="1:7">
      <c r="A4" t="s">
        <v>4</v>
      </c>
      <c r="B4">
        <f>1.29385284</f>
        <v>1.29385284</v>
      </c>
    </row>
    <row r="5" spans="1:7">
      <c r="A5" t="s">
        <v>5</v>
      </c>
      <c r="B5">
        <f>-0.002974255</f>
        <v>-2.9742549999999999E-3</v>
      </c>
    </row>
    <row r="6" spans="1:7">
      <c r="A6" t="s">
        <v>6</v>
      </c>
      <c r="B6" t="s">
        <v>7</v>
      </c>
      <c r="C6" t="s">
        <v>8</v>
      </c>
      <c r="D6" t="s">
        <v>9</v>
      </c>
      <c r="E6" t="s">
        <v>10</v>
      </c>
      <c r="F6" t="s">
        <v>11</v>
      </c>
      <c r="G6" t="s">
        <v>12</v>
      </c>
    </row>
    <row r="7" spans="1:7">
      <c r="A7" s="7">
        <v>42259</v>
      </c>
      <c r="B7" s="1">
        <v>0.6875</v>
      </c>
      <c r="C7" s="2">
        <v>7862.4</v>
      </c>
      <c r="D7" s="2">
        <v>13.6</v>
      </c>
      <c r="E7" s="3">
        <f>($B$2*C7^2+$B$3*C7+$B$4)-$B$5*D7</f>
        <v>5.2507217591956479E-2</v>
      </c>
      <c r="G7" t="s">
        <v>13</v>
      </c>
    </row>
    <row r="8" spans="1:7">
      <c r="A8" s="7">
        <v>42259</v>
      </c>
      <c r="B8" s="1">
        <v>0.83333333333333304</v>
      </c>
      <c r="C8" s="2">
        <v>6851.3</v>
      </c>
      <c r="D8" s="2">
        <v>10.9</v>
      </c>
      <c r="E8" s="3">
        <f>($B$2*C8^2+$B$3*C8+$B$4)-$B$5*D8-$E$7</f>
        <v>0.15664600195148548</v>
      </c>
      <c r="F8" s="4">
        <f>$D$1+102*E8</f>
        <v>740.27789219905151</v>
      </c>
      <c r="G8" t="s">
        <v>17</v>
      </c>
    </row>
    <row r="9" spans="1:7">
      <c r="A9" s="7">
        <v>42260</v>
      </c>
      <c r="B9" s="1">
        <v>0.33333333333333298</v>
      </c>
      <c r="C9" s="2">
        <v>7349.8</v>
      </c>
      <c r="D9" s="2">
        <v>17</v>
      </c>
      <c r="E9" s="3">
        <f t="shared" ref="E9:E24" si="0">($B$2*C9^2+$B$3*C9+$B$4)-$B$5*D9-$E$7</f>
        <v>9.3592973251356848E-2</v>
      </c>
      <c r="F9" s="4">
        <f t="shared" ref="F9:F62" si="1">$D$1+102*E9</f>
        <v>733.84648327163836</v>
      </c>
      <c r="G9" t="s">
        <v>14</v>
      </c>
    </row>
    <row r="10" spans="1:7">
      <c r="A10" s="7">
        <v>42261</v>
      </c>
      <c r="B10" s="1">
        <v>0.33333333333333298</v>
      </c>
      <c r="C10" s="2">
        <v>7341.7</v>
      </c>
      <c r="D10" s="2">
        <v>17.100000000000001</v>
      </c>
      <c r="E10" s="3">
        <f t="shared" si="0"/>
        <v>9.5209639000020996E-2</v>
      </c>
      <c r="F10" s="4">
        <f t="shared" si="1"/>
        <v>734.01138317800212</v>
      </c>
    </row>
    <row r="11" spans="1:7">
      <c r="A11" s="7">
        <v>42262</v>
      </c>
      <c r="B11" s="1">
        <v>0.33333333333333298</v>
      </c>
      <c r="C11" s="2">
        <v>7328</v>
      </c>
      <c r="D11" s="2">
        <v>16</v>
      </c>
      <c r="E11" s="3">
        <f t="shared" si="0"/>
        <v>9.4169273050475427E-2</v>
      </c>
      <c r="F11" s="4">
        <f t="shared" si="1"/>
        <v>733.90526585114844</v>
      </c>
    </row>
    <row r="12" spans="1:7">
      <c r="A12" s="7">
        <v>42263</v>
      </c>
      <c r="B12" s="1">
        <v>0.33333333333333298</v>
      </c>
      <c r="C12" s="2">
        <v>7320.8</v>
      </c>
      <c r="D12" s="2">
        <v>15.7</v>
      </c>
      <c r="E12" s="3">
        <f t="shared" si="0"/>
        <v>9.4449661723554207E-2</v>
      </c>
      <c r="F12" s="4">
        <f t="shared" si="1"/>
        <v>733.93386549580248</v>
      </c>
    </row>
    <row r="13" spans="1:7">
      <c r="A13" s="7">
        <v>42264</v>
      </c>
      <c r="B13" s="1">
        <v>0.33333333333333298</v>
      </c>
      <c r="C13" s="2">
        <v>7308.7</v>
      </c>
      <c r="D13" s="2">
        <v>15.2</v>
      </c>
      <c r="E13" s="3">
        <f t="shared" si="0"/>
        <v>9.4933268644517399E-2</v>
      </c>
      <c r="F13" s="4">
        <f t="shared" si="1"/>
        <v>733.98319340174078</v>
      </c>
    </row>
    <row r="14" spans="1:7">
      <c r="A14" s="7">
        <v>42265</v>
      </c>
      <c r="B14" s="1">
        <v>0.33333333333333298</v>
      </c>
      <c r="C14" s="2">
        <v>7223.6</v>
      </c>
      <c r="D14" s="2">
        <v>14.9</v>
      </c>
      <c r="E14" s="3">
        <f t="shared" si="0"/>
        <v>0.10790147436130365</v>
      </c>
      <c r="F14" s="4">
        <f t="shared" si="1"/>
        <v>735.30595038485296</v>
      </c>
    </row>
    <row r="15" spans="1:7">
      <c r="A15" s="7">
        <v>42266</v>
      </c>
      <c r="B15" s="1">
        <v>0.33333333333333298</v>
      </c>
      <c r="C15" s="2">
        <v>7300.9</v>
      </c>
      <c r="D15" s="2">
        <v>14.9</v>
      </c>
      <c r="E15" s="3">
        <f t="shared" si="0"/>
        <v>9.5311386550415211E-2</v>
      </c>
      <c r="F15" s="4">
        <f t="shared" si="1"/>
        <v>734.02176142814233</v>
      </c>
    </row>
    <row r="16" spans="1:7">
      <c r="A16" s="7">
        <v>42273</v>
      </c>
      <c r="B16" s="1">
        <v>0.33333333333333298</v>
      </c>
      <c r="C16" s="2">
        <v>7426.6</v>
      </c>
      <c r="D16" s="2">
        <v>21.1</v>
      </c>
      <c r="E16" s="3">
        <f t="shared" si="0"/>
        <v>9.3279218918949802E-2</v>
      </c>
      <c r="F16" s="4">
        <f t="shared" si="1"/>
        <v>733.81448032973287</v>
      </c>
    </row>
    <row r="17" spans="1:7">
      <c r="A17" s="7">
        <v>42280</v>
      </c>
      <c r="B17" s="1">
        <v>0.33333333333333298</v>
      </c>
      <c r="C17" s="2">
        <v>7332</v>
      </c>
      <c r="D17" s="2">
        <v>16</v>
      </c>
      <c r="E17" s="3">
        <f t="shared" si="0"/>
        <v>9.3517793444195446E-2</v>
      </c>
      <c r="F17" s="4">
        <f t="shared" si="1"/>
        <v>733.83881493130787</v>
      </c>
    </row>
    <row r="18" spans="1:7">
      <c r="A18" s="7">
        <v>42287</v>
      </c>
      <c r="B18" s="1">
        <v>0.33333333333333298</v>
      </c>
      <c r="C18" s="2">
        <v>7303.2</v>
      </c>
      <c r="D18" s="2">
        <v>14.8</v>
      </c>
      <c r="E18" s="3">
        <f t="shared" si="0"/>
        <v>9.4639357276558866E-2</v>
      </c>
      <c r="F18" s="4">
        <f t="shared" si="1"/>
        <v>733.95321444220895</v>
      </c>
    </row>
    <row r="19" spans="1:7">
      <c r="A19" s="7">
        <v>42294</v>
      </c>
      <c r="B19" s="1">
        <v>0.33333333333333298</v>
      </c>
      <c r="C19" s="2">
        <v>7272.9</v>
      </c>
      <c r="D19" s="2">
        <v>13.6</v>
      </c>
      <c r="E19" s="3">
        <f t="shared" si="0"/>
        <v>9.6005268616938144E-2</v>
      </c>
      <c r="F19" s="4">
        <f t="shared" si="1"/>
        <v>734.09253739892767</v>
      </c>
      <c r="G19" s="2"/>
    </row>
    <row r="20" spans="1:7">
      <c r="A20" s="7">
        <v>42297</v>
      </c>
      <c r="B20" s="1">
        <v>0.33333333333333298</v>
      </c>
      <c r="C20" s="2">
        <v>7278.7</v>
      </c>
      <c r="D20" s="2">
        <v>13.3</v>
      </c>
      <c r="E20" s="3">
        <f t="shared" si="0"/>
        <v>9.4168332016336564E-2</v>
      </c>
      <c r="F20" s="4">
        <f t="shared" si="1"/>
        <v>733.90516986566627</v>
      </c>
      <c r="G20" s="2"/>
    </row>
    <row r="21" spans="1:7">
      <c r="A21" s="7">
        <v>42301</v>
      </c>
      <c r="B21" s="1">
        <v>0.33333333333333298</v>
      </c>
      <c r="C21" s="2">
        <v>7267.8</v>
      </c>
      <c r="D21" s="2">
        <v>12.9</v>
      </c>
      <c r="E21" s="3">
        <f t="shared" si="0"/>
        <v>9.4753940812963316E-2</v>
      </c>
      <c r="F21" s="4">
        <f t="shared" si="1"/>
        <v>733.96490196292223</v>
      </c>
      <c r="G21" s="2"/>
    </row>
    <row r="22" spans="1:7">
      <c r="A22" s="7">
        <v>42521</v>
      </c>
      <c r="B22" s="1">
        <v>0.33333333333333298</v>
      </c>
      <c r="C22" s="2">
        <v>7196.6</v>
      </c>
      <c r="D22" s="2">
        <v>7.4</v>
      </c>
      <c r="E22" s="3">
        <f t="shared" si="0"/>
        <v>8.9992200291721725E-2</v>
      </c>
      <c r="F22" s="4">
        <f t="shared" si="1"/>
        <v>733.47920442975555</v>
      </c>
      <c r="G22" s="2"/>
    </row>
    <row r="23" spans="1:7">
      <c r="A23" s="7">
        <v>42531</v>
      </c>
      <c r="B23" s="1">
        <v>0.33333333333333298</v>
      </c>
      <c r="C23" s="2">
        <v>7204.2</v>
      </c>
      <c r="D23" s="2">
        <v>7.3</v>
      </c>
      <c r="E23" s="3">
        <f t="shared" si="0"/>
        <v>8.8456917570721605E-2</v>
      </c>
      <c r="F23" s="4">
        <f t="shared" si="1"/>
        <v>733.32260559221356</v>
      </c>
    </row>
    <row r="24" spans="1:7">
      <c r="A24" s="6">
        <v>42544</v>
      </c>
      <c r="B24" s="1">
        <v>0.33333333333333298</v>
      </c>
      <c r="C24" s="2">
        <v>7116.6</v>
      </c>
      <c r="D24" s="2">
        <v>7.1</v>
      </c>
      <c r="E24" s="3">
        <f t="shared" si="0"/>
        <v>0.10213016333743374</v>
      </c>
      <c r="F24" s="4">
        <f t="shared" si="1"/>
        <v>734.71727666041818</v>
      </c>
    </row>
    <row r="25" spans="1:7">
      <c r="A25" s="7">
        <v>42551</v>
      </c>
      <c r="B25" s="9">
        <v>0.33333333333333298</v>
      </c>
      <c r="C25">
        <v>7180.3</v>
      </c>
      <c r="D25">
        <v>7</v>
      </c>
      <c r="E25" s="3">
        <f>($B$2*C25^2+$B$3*C25+$B$4)-$B$5*D25-$E$7</f>
        <v>9.1457385369677652E-2</v>
      </c>
      <c r="F25" s="4">
        <f t="shared" si="1"/>
        <v>733.62865330770705</v>
      </c>
    </row>
    <row r="26" spans="1:7">
      <c r="A26" s="7">
        <v>42561</v>
      </c>
      <c r="B26" s="9">
        <v>0.33333333333333298</v>
      </c>
      <c r="C26">
        <v>7186</v>
      </c>
      <c r="D26">
        <v>7.2</v>
      </c>
      <c r="E26" s="3">
        <f>($B$2*C26^2+$B$3*C26+$B$4)-$B$5*D26-$E$7</f>
        <v>9.1123838865001527E-2</v>
      </c>
      <c r="F26" s="4">
        <f t="shared" si="1"/>
        <v>733.5946315642301</v>
      </c>
    </row>
    <row r="27" spans="1:7">
      <c r="A27" s="7">
        <v>42571</v>
      </c>
      <c r="B27" s="9">
        <v>0.33333333333333298</v>
      </c>
      <c r="C27" s="2">
        <v>7197.6</v>
      </c>
      <c r="D27" s="2">
        <v>7.5</v>
      </c>
      <c r="E27" s="3">
        <f>($B$2*C27^2+$B$3*C27+$B$4)-$B$5*D27-$E$7</f>
        <v>9.0126749687575836E-2</v>
      </c>
      <c r="F27" s="4">
        <f t="shared" si="1"/>
        <v>733.49292846813273</v>
      </c>
    </row>
    <row r="28" spans="1:7">
      <c r="A28" s="7">
        <v>42581</v>
      </c>
      <c r="B28" s="9">
        <v>0.33333333333333298</v>
      </c>
      <c r="C28" s="2">
        <v>7198</v>
      </c>
      <c r="D28" s="2">
        <v>7.9</v>
      </c>
      <c r="E28" s="3">
        <f>($B$2*C28^2+$B$3*C28+$B$4)-$B$5*D28-$E$7</f>
        <v>9.1251301258985396E-2</v>
      </c>
      <c r="F28" s="4">
        <f t="shared" si="1"/>
        <v>733.60763272841643</v>
      </c>
    </row>
    <row r="29" spans="1:7">
      <c r="A29" s="7">
        <v>42592</v>
      </c>
      <c r="B29" s="1">
        <v>0.33333333333333298</v>
      </c>
      <c r="C29">
        <v>7203.9</v>
      </c>
      <c r="D29">
        <v>8.3000000000000007</v>
      </c>
      <c r="E29" s="3">
        <f t="shared" ref="E29:E53" si="2">($B$2*C29^2+$B$3*C29+$B$4)-$B$5*D29-$E$7</f>
        <v>9.1480035304656399E-2</v>
      </c>
      <c r="F29" s="4">
        <f t="shared" si="1"/>
        <v>733.63096360107488</v>
      </c>
    </row>
    <row r="30" spans="1:7">
      <c r="A30" s="7">
        <v>42602</v>
      </c>
      <c r="B30" s="1">
        <v>0.33333333333333298</v>
      </c>
      <c r="C30">
        <v>7220.5</v>
      </c>
      <c r="D30">
        <v>9</v>
      </c>
      <c r="E30" s="3">
        <f t="shared" si="2"/>
        <v>9.0858282174387239E-2</v>
      </c>
      <c r="F30" s="4">
        <f t="shared" si="1"/>
        <v>733.56754478178743</v>
      </c>
    </row>
    <row r="31" spans="1:7">
      <c r="A31" s="7">
        <v>42612</v>
      </c>
      <c r="B31" s="1">
        <v>0.33333333333333298</v>
      </c>
      <c r="C31">
        <v>7239.7</v>
      </c>
      <c r="D31">
        <v>9.6</v>
      </c>
      <c r="E31" s="3">
        <f t="shared" si="2"/>
        <v>8.9515643545531681E-2</v>
      </c>
      <c r="F31" s="4">
        <f t="shared" si="1"/>
        <v>733.43059564164423</v>
      </c>
    </row>
    <row r="32" spans="1:7">
      <c r="A32" s="7">
        <v>42623</v>
      </c>
      <c r="B32" s="1">
        <v>0.33333333333333298</v>
      </c>
      <c r="C32">
        <v>7218</v>
      </c>
      <c r="D32">
        <v>10</v>
      </c>
      <c r="E32" s="3">
        <f t="shared" si="2"/>
        <v>9.4239724850345402E-2</v>
      </c>
      <c r="F32" s="4">
        <f t="shared" si="1"/>
        <v>733.91245193473515</v>
      </c>
    </row>
    <row r="33" spans="1:6">
      <c r="A33" s="7">
        <v>42633</v>
      </c>
      <c r="B33" s="1">
        <v>0.33333333333333331</v>
      </c>
      <c r="C33">
        <v>7207.3</v>
      </c>
      <c r="D33">
        <v>10.4</v>
      </c>
      <c r="E33" s="3">
        <f t="shared" si="2"/>
        <v>9.7172193399352236E-2</v>
      </c>
      <c r="F33" s="4">
        <f t="shared" si="1"/>
        <v>734.21156372673386</v>
      </c>
    </row>
    <row r="34" spans="1:6">
      <c r="A34" s="7">
        <v>42643</v>
      </c>
      <c r="B34" s="1">
        <v>0.33333333333333331</v>
      </c>
      <c r="C34">
        <v>7109.1</v>
      </c>
      <c r="D34">
        <v>10.7</v>
      </c>
      <c r="E34" s="3">
        <f t="shared" si="2"/>
        <v>0.11405908160876632</v>
      </c>
      <c r="F34" s="4">
        <f t="shared" si="1"/>
        <v>735.93402632409413</v>
      </c>
    </row>
    <row r="35" spans="1:6">
      <c r="A35" s="7">
        <v>42653</v>
      </c>
      <c r="B35" s="1">
        <v>0.33333333333333331</v>
      </c>
      <c r="C35">
        <v>7166.5</v>
      </c>
      <c r="D35">
        <v>10.7</v>
      </c>
      <c r="E35" s="3">
        <f t="shared" si="2"/>
        <v>0.10470983437110815</v>
      </c>
      <c r="F35" s="4">
        <f t="shared" si="1"/>
        <v>734.98040310585293</v>
      </c>
    </row>
    <row r="36" spans="1:6">
      <c r="A36" s="7">
        <v>42855</v>
      </c>
      <c r="B36" s="1">
        <v>0.33333333333333331</v>
      </c>
      <c r="C36">
        <v>7095.8</v>
      </c>
      <c r="D36">
        <v>8.6999999999999993</v>
      </c>
      <c r="E36" s="3">
        <f t="shared" si="2"/>
        <v>0.1102768825454617</v>
      </c>
      <c r="F36" s="4">
        <f t="shared" si="1"/>
        <v>735.54824201963709</v>
      </c>
    </row>
    <row r="37" spans="1:6">
      <c r="A37" s="7">
        <v>42865</v>
      </c>
      <c r="B37" s="1">
        <v>0.33333333333333331</v>
      </c>
      <c r="C37">
        <v>7059.3</v>
      </c>
      <c r="D37">
        <v>8.6999999999999993</v>
      </c>
      <c r="E37" s="3">
        <f t="shared" si="2"/>
        <v>0.11622206399919582</v>
      </c>
      <c r="F37" s="4">
        <f t="shared" si="1"/>
        <v>736.15465052791797</v>
      </c>
    </row>
    <row r="38" spans="1:6">
      <c r="A38" s="7">
        <v>42875</v>
      </c>
      <c r="B38" s="1">
        <v>0.33333333333333331</v>
      </c>
      <c r="C38">
        <v>7090.7</v>
      </c>
      <c r="D38">
        <v>8.5</v>
      </c>
      <c r="E38" s="3">
        <f t="shared" si="2"/>
        <v>0.11051272439520096</v>
      </c>
      <c r="F38" s="4">
        <f t="shared" si="1"/>
        <v>735.57229788831046</v>
      </c>
    </row>
    <row r="39" spans="1:6">
      <c r="A39" s="7">
        <v>42885</v>
      </c>
      <c r="B39" s="1">
        <v>0.33333333333333331</v>
      </c>
      <c r="C39">
        <v>7107</v>
      </c>
      <c r="D39">
        <v>8.4</v>
      </c>
      <c r="E39" s="3">
        <f t="shared" si="2"/>
        <v>0.10756034365518305</v>
      </c>
      <c r="F39" s="4">
        <f t="shared" si="1"/>
        <v>735.27115505282859</v>
      </c>
    </row>
    <row r="40" spans="1:6">
      <c r="A40" s="7">
        <v>42896</v>
      </c>
      <c r="B40" s="1">
        <v>0.33333333333333331</v>
      </c>
      <c r="C40">
        <v>7102.3</v>
      </c>
      <c r="D40">
        <v>8.3000000000000007</v>
      </c>
      <c r="E40" s="3">
        <f t="shared" si="2"/>
        <v>0.10802845612391829</v>
      </c>
      <c r="F40" s="4">
        <f t="shared" si="1"/>
        <v>735.31890252463961</v>
      </c>
    </row>
    <row r="41" spans="1:6">
      <c r="A41" s="7">
        <v>42906</v>
      </c>
      <c r="B41" s="1">
        <v>0.33333333333333331</v>
      </c>
      <c r="C41">
        <v>7092</v>
      </c>
      <c r="D41">
        <v>8.1</v>
      </c>
      <c r="E41" s="3">
        <f t="shared" si="2"/>
        <v>0.10911127704371557</v>
      </c>
      <c r="F41" s="4">
        <f t="shared" si="1"/>
        <v>735.42935025845895</v>
      </c>
    </row>
    <row r="42" spans="1:6">
      <c r="A42" s="7">
        <v>42916</v>
      </c>
      <c r="B42" s="1">
        <v>0.33333333333333331</v>
      </c>
      <c r="C42">
        <v>7093.9</v>
      </c>
      <c r="D42">
        <v>8</v>
      </c>
      <c r="E42" s="3">
        <f t="shared" si="2"/>
        <v>0.10850437771034735</v>
      </c>
      <c r="F42" s="4">
        <f t="shared" si="1"/>
        <v>735.36744652645541</v>
      </c>
    </row>
    <row r="43" spans="1:6">
      <c r="A43" s="7">
        <v>42926</v>
      </c>
      <c r="B43" s="1">
        <v>0.33333333333333331</v>
      </c>
      <c r="C43">
        <v>7102.4</v>
      </c>
      <c r="D43">
        <v>8</v>
      </c>
      <c r="E43" s="3">
        <f t="shared" si="2"/>
        <v>0.10711989157129606</v>
      </c>
      <c r="F43" s="4">
        <f t="shared" si="1"/>
        <v>735.22622894027211</v>
      </c>
    </row>
    <row r="44" spans="1:6">
      <c r="A44" s="7">
        <v>42936</v>
      </c>
      <c r="B44" s="1">
        <v>0.33333333333333331</v>
      </c>
      <c r="C44">
        <v>7100.4</v>
      </c>
      <c r="D44">
        <v>7.9</v>
      </c>
      <c r="E44" s="3">
        <f t="shared" si="2"/>
        <v>0.10714822721241724</v>
      </c>
      <c r="F44" s="4">
        <f t="shared" si="1"/>
        <v>735.22911917566648</v>
      </c>
    </row>
    <row r="45" spans="1:6">
      <c r="A45" s="7">
        <v>42946</v>
      </c>
      <c r="B45" s="1">
        <v>0.33333333333333331</v>
      </c>
      <c r="C45">
        <v>7103.4</v>
      </c>
      <c r="D45">
        <v>7.8</v>
      </c>
      <c r="E45" s="3">
        <f t="shared" si="2"/>
        <v>0.10636216007074206</v>
      </c>
      <c r="F45" s="4">
        <f t="shared" si="1"/>
        <v>735.14894032721566</v>
      </c>
    </row>
    <row r="46" spans="1:6">
      <c r="A46" s="7">
        <v>42957</v>
      </c>
      <c r="B46" s="1">
        <v>0.33333333333333331</v>
      </c>
      <c r="C46">
        <v>7096.5</v>
      </c>
      <c r="D46">
        <v>7.7</v>
      </c>
      <c r="E46" s="3">
        <f t="shared" si="2"/>
        <v>0.10718861097455334</v>
      </c>
      <c r="F46" s="4">
        <f t="shared" si="1"/>
        <v>735.23323831940445</v>
      </c>
    </row>
    <row r="47" spans="1:6">
      <c r="A47" s="7">
        <v>42967</v>
      </c>
      <c r="B47" s="1">
        <v>0.33333333333333331</v>
      </c>
      <c r="C47">
        <v>7092</v>
      </c>
      <c r="D47">
        <v>7.8</v>
      </c>
      <c r="E47" s="3">
        <f t="shared" si="2"/>
        <v>0.10821900054371558</v>
      </c>
      <c r="F47" s="4">
        <f t="shared" si="1"/>
        <v>735.33833805545896</v>
      </c>
    </row>
    <row r="48" spans="1:6">
      <c r="A48" s="7">
        <v>42977</v>
      </c>
      <c r="B48" s="1">
        <v>0.33333333333333331</v>
      </c>
      <c r="C48">
        <v>7095.8</v>
      </c>
      <c r="D48">
        <v>7.6</v>
      </c>
      <c r="E48" s="3">
        <f t="shared" si="2"/>
        <v>0.10700520204546171</v>
      </c>
      <c r="F48" s="4">
        <f t="shared" si="1"/>
        <v>735.21453060863701</v>
      </c>
    </row>
    <row r="49" spans="1:6">
      <c r="A49" s="7">
        <v>42988</v>
      </c>
      <c r="B49" s="1">
        <v>0.33333333333333331</v>
      </c>
      <c r="C49">
        <v>7089.8</v>
      </c>
      <c r="D49">
        <v>7.8</v>
      </c>
      <c r="E49" s="3">
        <f t="shared" si="2"/>
        <v>0.10857733887704879</v>
      </c>
      <c r="F49" s="4">
        <f t="shared" si="1"/>
        <v>735.37488856545895</v>
      </c>
    </row>
    <row r="50" spans="1:6">
      <c r="A50" s="7">
        <v>42998</v>
      </c>
      <c r="B50" s="1">
        <v>0.33333333333333331</v>
      </c>
      <c r="C50">
        <v>7097.4</v>
      </c>
      <c r="D50">
        <v>7.6</v>
      </c>
      <c r="E50" s="3">
        <f t="shared" si="2"/>
        <v>0.10674459277413151</v>
      </c>
      <c r="F50" s="4">
        <f t="shared" si="1"/>
        <v>735.18794846296134</v>
      </c>
    </row>
    <row r="51" spans="1:6">
      <c r="A51" s="7">
        <v>43008</v>
      </c>
      <c r="B51" s="1">
        <v>0.33333333333333331</v>
      </c>
      <c r="C51">
        <v>7096.3</v>
      </c>
      <c r="D51">
        <v>7.5</v>
      </c>
      <c r="E51" s="3">
        <f t="shared" si="2"/>
        <v>0.10662633613533645</v>
      </c>
      <c r="F51" s="4">
        <f t="shared" si="1"/>
        <v>735.17588628580427</v>
      </c>
    </row>
    <row r="52" spans="1:6">
      <c r="A52" s="7">
        <v>43018</v>
      </c>
      <c r="B52" s="1">
        <v>0.33333333333333331</v>
      </c>
      <c r="C52">
        <v>7094</v>
      </c>
      <c r="D52">
        <v>7.5</v>
      </c>
      <c r="E52" s="3">
        <f t="shared" si="2"/>
        <v>0.10700096211852139</v>
      </c>
      <c r="F52" s="4">
        <f t="shared" si="1"/>
        <v>735.21409813608909</v>
      </c>
    </row>
    <row r="53" spans="1:6">
      <c r="A53" s="7">
        <v>43230</v>
      </c>
      <c r="B53" s="1">
        <v>0.33333333333333331</v>
      </c>
      <c r="C53">
        <v>7109.3</v>
      </c>
      <c r="D53">
        <v>8.1999999999999993</v>
      </c>
      <c r="E53" s="3">
        <f t="shared" si="2"/>
        <v>0.10659086806746074</v>
      </c>
      <c r="F53" s="4">
        <f t="shared" si="1"/>
        <v>735.17226854288094</v>
      </c>
    </row>
    <row r="54" spans="1:6">
      <c r="A54" s="7">
        <v>43240</v>
      </c>
      <c r="B54" s="1">
        <v>0.33333333333333331</v>
      </c>
      <c r="C54">
        <v>7109.5</v>
      </c>
      <c r="D54">
        <v>8.6999999999999993</v>
      </c>
      <c r="E54" s="3">
        <f>($B$2*C54^2+$B$3*C54+$B$4)-$B$5*D54-$E$7</f>
        <v>0.10804541952802232</v>
      </c>
      <c r="F54" s="4">
        <f t="shared" si="1"/>
        <v>735.3206327918582</v>
      </c>
    </row>
    <row r="55" spans="1:6">
      <c r="A55" s="7">
        <v>43250</v>
      </c>
      <c r="B55" s="1">
        <v>0.33333333333333331</v>
      </c>
      <c r="C55">
        <v>7104.2</v>
      </c>
      <c r="D55">
        <v>8</v>
      </c>
      <c r="E55" s="3">
        <f>($B$2*C55^2+$B$3*C55+$B$4)-$B$5*D55-$E$7</f>
        <v>0.10682670670390168</v>
      </c>
      <c r="F55" s="4">
        <f t="shared" si="1"/>
        <v>735.19632408379789</v>
      </c>
    </row>
    <row r="56" spans="1:6">
      <c r="A56" s="7">
        <v>43261</v>
      </c>
      <c r="B56" s="1">
        <v>0.33333333333333331</v>
      </c>
      <c r="C56">
        <v>7082</v>
      </c>
      <c r="D56">
        <v>8.1999999999999993</v>
      </c>
      <c r="E56" s="3">
        <f>($B$2*C56^2+$B$3*C56+$B$4)-$B$5*D56-$E$7</f>
        <v>0.1110375149699456</v>
      </c>
      <c r="F56" s="4">
        <f t="shared" si="1"/>
        <v>735.62582652693436</v>
      </c>
    </row>
    <row r="57" spans="1:6">
      <c r="A57" s="7">
        <v>43271</v>
      </c>
      <c r="B57" s="1">
        <v>0.33333333333333331</v>
      </c>
      <c r="C57">
        <v>7026.8</v>
      </c>
      <c r="D57">
        <v>8.1</v>
      </c>
      <c r="E57" s="3">
        <f>($B$2*C57^2+$B$3*C57+$B$4)-$B$5*D57-$E$7</f>
        <v>0.119731218048133</v>
      </c>
      <c r="F57" s="4">
        <f t="shared" si="1"/>
        <v>736.51258424090952</v>
      </c>
    </row>
    <row r="58" spans="1:6">
      <c r="A58" s="7">
        <v>43281</v>
      </c>
      <c r="B58" s="1">
        <v>0.33333333333333331</v>
      </c>
      <c r="C58">
        <v>7037.6</v>
      </c>
      <c r="D58">
        <v>8.1999999999999993</v>
      </c>
      <c r="E58" s="3">
        <f>($B$2*C58^2+$B$3*C58+$B$4)-$B$5*D58-$E$7</f>
        <v>0.11826949850603993</v>
      </c>
      <c r="F58" s="4">
        <f t="shared" si="1"/>
        <v>736.36348884761605</v>
      </c>
    </row>
    <row r="59" spans="1:6">
      <c r="A59" s="7">
        <v>43291</v>
      </c>
      <c r="B59" s="1">
        <v>0.33333333333333331</v>
      </c>
      <c r="C59">
        <v>7065.4</v>
      </c>
      <c r="D59">
        <v>8.1</v>
      </c>
      <c r="E59" s="3">
        <f t="shared" ref="E59:E62" si="3">($B$2*C59^2+$B$3*C59+$B$4)-$B$5*D59-$E$7</f>
        <v>0.11344392840151082</v>
      </c>
      <c r="F59" s="4">
        <f t="shared" si="1"/>
        <v>735.87128069695405</v>
      </c>
    </row>
    <row r="60" spans="1:6">
      <c r="A60" s="7">
        <v>43301</v>
      </c>
      <c r="B60" s="1">
        <v>0.33333333333333331</v>
      </c>
      <c r="C60">
        <v>7081.9</v>
      </c>
      <c r="D60">
        <v>8.3000000000000007</v>
      </c>
      <c r="E60" s="3">
        <f t="shared" si="3"/>
        <v>0.11135122861777655</v>
      </c>
      <c r="F60" s="4">
        <f t="shared" si="1"/>
        <v>735.65782531901311</v>
      </c>
    </row>
    <row r="61" spans="1:6">
      <c r="A61" s="7">
        <v>43311</v>
      </c>
      <c r="B61" s="1">
        <v>0.33333333333333331</v>
      </c>
      <c r="C61">
        <v>7082.9</v>
      </c>
      <c r="D61">
        <v>8.1999999999999993</v>
      </c>
      <c r="E61" s="3">
        <f t="shared" si="3"/>
        <v>0.11089092166046718</v>
      </c>
      <c r="F61" s="4">
        <f t="shared" si="1"/>
        <v>735.61087400936765</v>
      </c>
    </row>
    <row r="62" spans="1:6">
      <c r="A62" s="7">
        <v>43322</v>
      </c>
      <c r="B62" s="1">
        <v>0.33333333333333331</v>
      </c>
      <c r="C62">
        <v>7066.1</v>
      </c>
      <c r="D62">
        <v>8.1999999999999993</v>
      </c>
      <c r="E62" s="3">
        <f t="shared" si="3"/>
        <v>0.11362733633744335</v>
      </c>
      <c r="F62" s="4">
        <f t="shared" si="1"/>
        <v>735.88998830641913</v>
      </c>
    </row>
    <row r="63" spans="1:6">
      <c r="A63" s="7">
        <v>43332</v>
      </c>
      <c r="B63" s="1">
        <v>0.33333333333333331</v>
      </c>
      <c r="C63">
        <v>7079.8</v>
      </c>
      <c r="D63">
        <v>8.1999999999999993</v>
      </c>
      <c r="E63" s="3">
        <f t="shared" ref="E63:E80" si="4">($B$2*C63^2+$B$3*C63+$B$4)-$B$5*D63-$E$7</f>
        <v>0.11139585433004082</v>
      </c>
      <c r="F63" s="4">
        <f t="shared" ref="F63:F80" si="5">$D$1+102*E63</f>
        <v>735.66237714166414</v>
      </c>
    </row>
    <row r="64" spans="1:6">
      <c r="A64" s="7">
        <v>43342</v>
      </c>
      <c r="B64" s="1">
        <v>0.33333333333333331</v>
      </c>
      <c r="C64">
        <v>7071.4</v>
      </c>
      <c r="D64">
        <v>8.4</v>
      </c>
      <c r="E64" s="3">
        <f t="shared" si="4"/>
        <v>0.11335891223728908</v>
      </c>
      <c r="F64" s="4">
        <f t="shared" si="5"/>
        <v>735.86260904820347</v>
      </c>
    </row>
    <row r="65" spans="1:6">
      <c r="A65" s="7">
        <v>43353</v>
      </c>
      <c r="B65" s="1">
        <v>0.33333333333333331</v>
      </c>
      <c r="C65">
        <v>7014.2</v>
      </c>
      <c r="D65">
        <v>8.8000000000000007</v>
      </c>
      <c r="E65" s="3">
        <f t="shared" si="4"/>
        <v>0.12386553931081362</v>
      </c>
      <c r="F65" s="4">
        <f t="shared" si="5"/>
        <v>736.93428500970299</v>
      </c>
    </row>
    <row r="66" spans="1:6">
      <c r="A66" s="7">
        <v>43363</v>
      </c>
      <c r="B66" s="1">
        <v>0.33333333333333331</v>
      </c>
      <c r="C66">
        <v>7055.4</v>
      </c>
      <c r="D66">
        <v>8.1999999999999993</v>
      </c>
      <c r="E66" s="3">
        <f t="shared" si="4"/>
        <v>0.11537017874222674</v>
      </c>
      <c r="F66" s="4">
        <f t="shared" si="5"/>
        <v>736.0677582317071</v>
      </c>
    </row>
    <row r="67" spans="1:6">
      <c r="A67" s="7">
        <v>43373</v>
      </c>
      <c r="B67" s="1">
        <v>0.33333333333333331</v>
      </c>
      <c r="C67">
        <v>7063.7</v>
      </c>
      <c r="D67">
        <v>8</v>
      </c>
      <c r="E67" s="3">
        <f t="shared" si="4"/>
        <v>0.11342340279516858</v>
      </c>
      <c r="F67" s="4">
        <f t="shared" si="5"/>
        <v>735.86918708510711</v>
      </c>
    </row>
    <row r="68" spans="1:6">
      <c r="A68" s="7">
        <v>43383</v>
      </c>
      <c r="B68" s="1">
        <v>0.33333333333333331</v>
      </c>
      <c r="C68">
        <v>7067.4</v>
      </c>
      <c r="D68">
        <v>8</v>
      </c>
      <c r="E68" s="3">
        <f t="shared" si="4"/>
        <v>0.11282073849341942</v>
      </c>
      <c r="F68" s="4">
        <f t="shared" si="5"/>
        <v>735.80771532632878</v>
      </c>
    </row>
    <row r="69" spans="1:6">
      <c r="A69" s="7">
        <v>43393</v>
      </c>
      <c r="B69" s="1">
        <v>0.33333333333333331</v>
      </c>
      <c r="C69">
        <v>7069.2</v>
      </c>
      <c r="D69">
        <v>7.9</v>
      </c>
      <c r="E69" s="3">
        <f t="shared" si="4"/>
        <v>0.11223012518575215</v>
      </c>
      <c r="F69" s="4">
        <f t="shared" si="5"/>
        <v>735.74747276894664</v>
      </c>
    </row>
    <row r="70" spans="1:6">
      <c r="A70" s="32">
        <v>43605</v>
      </c>
      <c r="B70" s="1">
        <v>0.33333333333333331</v>
      </c>
      <c r="C70">
        <v>7092.6</v>
      </c>
      <c r="D70">
        <v>7.4</v>
      </c>
      <c r="E70" s="3">
        <f t="shared" si="4"/>
        <v>0.10693156994655539</v>
      </c>
      <c r="F70" s="4">
        <f t="shared" si="5"/>
        <v>735.20702013454866</v>
      </c>
    </row>
    <row r="71" spans="1:6">
      <c r="A71" s="32">
        <v>43615</v>
      </c>
      <c r="B71" s="1">
        <v>0.33333333333333331</v>
      </c>
      <c r="C71">
        <v>7094.1</v>
      </c>
      <c r="D71">
        <v>7.6</v>
      </c>
      <c r="E71" s="3">
        <f t="shared" si="4"/>
        <v>0.10728209952716194</v>
      </c>
      <c r="F71" s="4">
        <f t="shared" si="5"/>
        <v>735.2427741517705</v>
      </c>
    </row>
    <row r="72" spans="1:6">
      <c r="A72" s="32">
        <v>43626</v>
      </c>
      <c r="B72" s="1">
        <v>0.33333333333333331</v>
      </c>
      <c r="C72">
        <v>7096.2</v>
      </c>
      <c r="D72">
        <v>7.5</v>
      </c>
      <c r="E72" s="3">
        <f t="shared" si="4"/>
        <v>0.10664262421642812</v>
      </c>
      <c r="F72" s="4">
        <f t="shared" si="5"/>
        <v>735.17754767007557</v>
      </c>
    </row>
    <row r="73" spans="1:6">
      <c r="A73" s="32">
        <v>43636</v>
      </c>
      <c r="B73" s="1">
        <v>0.33333333333333331</v>
      </c>
      <c r="C73">
        <v>7099.3</v>
      </c>
      <c r="D73">
        <v>7.7</v>
      </c>
      <c r="E73" s="3">
        <f t="shared" si="4"/>
        <v>0.10673254491960782</v>
      </c>
      <c r="F73" s="4">
        <f t="shared" si="5"/>
        <v>735.18671958179993</v>
      </c>
    </row>
    <row r="74" spans="1:6">
      <c r="A74" s="7">
        <v>43646</v>
      </c>
      <c r="B74" s="1">
        <v>0.33333333333333331</v>
      </c>
      <c r="C74">
        <v>7090.1</v>
      </c>
      <c r="D74">
        <v>7.9</v>
      </c>
      <c r="E74" s="3">
        <f t="shared" si="4"/>
        <v>0.10882590004556569</v>
      </c>
      <c r="F74" s="4">
        <f t="shared" si="5"/>
        <v>735.40024180464764</v>
      </c>
    </row>
    <row r="75" spans="1:6">
      <c r="A75" s="7">
        <v>43656</v>
      </c>
      <c r="B75" s="1">
        <v>0.33333333333333331</v>
      </c>
      <c r="C75">
        <v>7075.2</v>
      </c>
      <c r="D75">
        <v>7.9</v>
      </c>
      <c r="E75" s="3">
        <f t="shared" si="4"/>
        <v>0.11125283358562943</v>
      </c>
      <c r="F75" s="4">
        <f t="shared" si="5"/>
        <v>735.64778902573414</v>
      </c>
    </row>
    <row r="76" spans="1:6">
      <c r="A76" s="7">
        <v>43666</v>
      </c>
      <c r="B76" s="1">
        <v>0.33333333333333331</v>
      </c>
      <c r="C76">
        <v>7069.2</v>
      </c>
      <c r="D76">
        <v>8.1</v>
      </c>
      <c r="E76" s="3">
        <f t="shared" si="4"/>
        <v>0.11282497618575213</v>
      </c>
      <c r="F76" s="4">
        <f t="shared" si="5"/>
        <v>735.80814757094663</v>
      </c>
    </row>
    <row r="77" spans="1:6">
      <c r="A77" s="7">
        <v>43676</v>
      </c>
      <c r="B77" s="1">
        <v>0.33333333333333331</v>
      </c>
      <c r="C77">
        <v>7047.3</v>
      </c>
      <c r="D77">
        <v>8</v>
      </c>
      <c r="E77" s="3">
        <f t="shared" si="4"/>
        <v>0.11609467928442438</v>
      </c>
      <c r="F77" s="4">
        <f t="shared" si="5"/>
        <v>736.14165728701118</v>
      </c>
    </row>
    <row r="78" spans="1:6">
      <c r="A78" s="7">
        <v>43687</v>
      </c>
      <c r="B78" s="1">
        <v>0.33333333333333331</v>
      </c>
      <c r="C78">
        <v>7036.5</v>
      </c>
      <c r="D78">
        <v>8</v>
      </c>
      <c r="E78" s="3">
        <f t="shared" si="4"/>
        <v>0.11785381943726334</v>
      </c>
      <c r="F78" s="4">
        <f t="shared" si="5"/>
        <v>736.32108958260085</v>
      </c>
    </row>
    <row r="79" spans="1:6">
      <c r="A79" s="7">
        <v>43697</v>
      </c>
      <c r="B79" s="1">
        <v>0.33333333333333331</v>
      </c>
      <c r="C79">
        <v>7025.3</v>
      </c>
      <c r="D79">
        <v>8.1</v>
      </c>
      <c r="E79" s="3">
        <f t="shared" si="4"/>
        <v>0.11997554417896347</v>
      </c>
      <c r="F79" s="4">
        <f t="shared" si="5"/>
        <v>736.53750550625421</v>
      </c>
    </row>
    <row r="80" spans="1:6">
      <c r="A80" s="7">
        <v>43707</v>
      </c>
      <c r="B80" s="1">
        <v>0.33333333333333331</v>
      </c>
      <c r="C80">
        <v>7019.7</v>
      </c>
      <c r="D80">
        <v>8.1</v>
      </c>
      <c r="E80" s="3">
        <f t="shared" si="4"/>
        <v>0.12088769599521773</v>
      </c>
      <c r="F80" s="4">
        <f t="shared" si="5"/>
        <v>736.63054499151212</v>
      </c>
    </row>
  </sheetData>
  <phoneticPr fontId="4" type="noConversion"/>
  <pageMargins left="0.69930555555555596" right="0.69930555555555596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2"/>
  <sheetViews>
    <sheetView topLeftCell="A46" workbookViewId="0">
      <selection activeCell="A66" sqref="A66:B72"/>
    </sheetView>
  </sheetViews>
  <sheetFormatPr defaultColWidth="9" defaultRowHeight="13.5"/>
  <cols>
    <col min="1" max="1" width="11.75" customWidth="1"/>
    <col min="2" max="2" width="13.875" customWidth="1"/>
  </cols>
  <sheetData>
    <row r="1" spans="1:7">
      <c r="A1" t="s">
        <v>0</v>
      </c>
      <c r="B1">
        <v>11255</v>
      </c>
      <c r="C1" t="s">
        <v>1</v>
      </c>
      <c r="D1">
        <v>725</v>
      </c>
    </row>
    <row r="2" spans="1:7">
      <c r="A2" t="s">
        <v>2</v>
      </c>
      <c r="B2">
        <f>8.66527*10^-11</f>
        <v>8.6652699999999988E-11</v>
      </c>
    </row>
    <row r="3" spans="1:7">
      <c r="A3" t="s">
        <v>3</v>
      </c>
      <c r="B3">
        <v>-1.52058E-4</v>
      </c>
    </row>
    <row r="4" spans="1:7">
      <c r="A4" t="s">
        <v>4</v>
      </c>
      <c r="B4">
        <v>1.50152949</v>
      </c>
    </row>
    <row r="5" spans="1:7">
      <c r="A5" t="s">
        <v>5</v>
      </c>
      <c r="B5">
        <v>-2.9224530000000002E-3</v>
      </c>
    </row>
    <row r="6" spans="1:7">
      <c r="A6" t="s">
        <v>6</v>
      </c>
      <c r="B6" t="s">
        <v>7</v>
      </c>
      <c r="C6" t="s">
        <v>8</v>
      </c>
      <c r="D6" t="s">
        <v>9</v>
      </c>
      <c r="E6" t="s">
        <v>10</v>
      </c>
      <c r="F6" t="s">
        <v>11</v>
      </c>
      <c r="G6" t="s">
        <v>12</v>
      </c>
    </row>
    <row r="7" spans="1:7">
      <c r="A7" s="7">
        <v>42519</v>
      </c>
      <c r="B7" s="1">
        <v>0.47916666666666702</v>
      </c>
      <c r="C7" s="2">
        <v>9679.7999999999993</v>
      </c>
      <c r="D7" s="2">
        <v>8.9</v>
      </c>
      <c r="E7" s="3">
        <f>($B$2*C7^2+$B$3*C7+$B$4)-$B$5*D7</f>
        <v>6.3767523740691681E-2</v>
      </c>
      <c r="G7" t="s">
        <v>13</v>
      </c>
    </row>
    <row r="8" spans="1:7">
      <c r="A8" s="7">
        <v>42525</v>
      </c>
      <c r="B8" s="1">
        <v>0.5</v>
      </c>
      <c r="C8" s="2">
        <v>8605.7000000000007</v>
      </c>
      <c r="D8" s="2">
        <v>13</v>
      </c>
      <c r="E8" s="3">
        <f>($B$2*C8^2+$B$3*C8+$B$4)-$B$5*D8-$E$7</f>
        <v>0.17360565659736249</v>
      </c>
      <c r="F8" s="4">
        <f>$D$1+102*E8</f>
        <v>742.70777697293101</v>
      </c>
      <c r="G8" t="s">
        <v>17</v>
      </c>
    </row>
    <row r="9" spans="1:7">
      <c r="A9" s="7">
        <v>42525</v>
      </c>
      <c r="B9" s="1">
        <v>0.65972222222222199</v>
      </c>
      <c r="C9" s="2">
        <v>8866.7000000000007</v>
      </c>
      <c r="D9" s="2">
        <v>10.6</v>
      </c>
      <c r="E9" s="3">
        <f t="shared" ref="E9:E17" si="0">($B$2*C9^2+$B$3*C9+$B$4)-$B$5*D9-$E$7</f>
        <v>0.12729979339322278</v>
      </c>
      <c r="F9" s="4">
        <f t="shared" ref="F9:F54" si="1">$D$1+102*E9</f>
        <v>737.98457892610872</v>
      </c>
      <c r="G9" t="s">
        <v>14</v>
      </c>
    </row>
    <row r="10" spans="1:7">
      <c r="A10" s="7">
        <v>42526</v>
      </c>
      <c r="B10" s="1">
        <v>0.33333333333333298</v>
      </c>
      <c r="C10" s="2">
        <v>8880.4</v>
      </c>
      <c r="D10" s="2">
        <v>9</v>
      </c>
      <c r="E10" s="3">
        <f t="shared" si="0"/>
        <v>0.12056174232083357</v>
      </c>
      <c r="F10" s="4">
        <f t="shared" si="1"/>
        <v>737.29729771672498</v>
      </c>
    </row>
    <row r="11" spans="1:7">
      <c r="A11" s="7">
        <v>42527</v>
      </c>
      <c r="B11" s="1">
        <v>0.33333333333333298</v>
      </c>
      <c r="C11" s="2">
        <v>8884.2000000000007</v>
      </c>
      <c r="D11" s="2">
        <v>8.6</v>
      </c>
      <c r="E11" s="3">
        <f t="shared" si="0"/>
        <v>0.11882079025294028</v>
      </c>
      <c r="F11" s="4">
        <f t="shared" si="1"/>
        <v>737.1197206057999</v>
      </c>
    </row>
    <row r="12" spans="1:7">
      <c r="A12" s="7">
        <v>42528</v>
      </c>
      <c r="B12" s="1">
        <v>0.33333333333333298</v>
      </c>
      <c r="C12" s="2">
        <v>8886.9</v>
      </c>
      <c r="D12" s="2">
        <v>8.1999999999999993</v>
      </c>
      <c r="E12" s="3">
        <f t="shared" si="0"/>
        <v>0.11724541022019243</v>
      </c>
      <c r="F12" s="4">
        <f t="shared" si="1"/>
        <v>736.95903184245958</v>
      </c>
    </row>
    <row r="13" spans="1:7">
      <c r="A13" s="7">
        <v>42529</v>
      </c>
      <c r="B13" s="1">
        <v>0.33333333333333298</v>
      </c>
      <c r="C13" s="2">
        <v>8957</v>
      </c>
      <c r="D13" s="2">
        <v>8.1</v>
      </c>
      <c r="E13" s="3">
        <f t="shared" si="0"/>
        <v>0.10640228929035063</v>
      </c>
      <c r="F13" s="4">
        <f t="shared" si="1"/>
        <v>735.85303350761581</v>
      </c>
    </row>
    <row r="14" spans="1:7">
      <c r="A14" s="7">
        <v>42530</v>
      </c>
      <c r="B14" s="1">
        <v>0.33333333333333298</v>
      </c>
      <c r="C14" s="2">
        <v>8962.2999999999993</v>
      </c>
      <c r="D14" s="2">
        <v>8.6</v>
      </c>
      <c r="E14" s="3">
        <f t="shared" si="0"/>
        <v>0.1070658379957045</v>
      </c>
      <c r="F14" s="4">
        <f t="shared" si="1"/>
        <v>735.92071547556191</v>
      </c>
    </row>
    <row r="15" spans="1:7">
      <c r="A15" s="7">
        <v>42531</v>
      </c>
      <c r="B15" s="1">
        <v>0.33333333333333298</v>
      </c>
      <c r="C15" s="2">
        <v>8974.5</v>
      </c>
      <c r="D15" s="2">
        <v>7.9</v>
      </c>
      <c r="E15" s="3">
        <f t="shared" si="0"/>
        <v>0.10318397541592654</v>
      </c>
      <c r="F15" s="4">
        <f t="shared" si="1"/>
        <v>735.52476549242454</v>
      </c>
    </row>
    <row r="16" spans="1:7">
      <c r="A16" s="7">
        <v>42541</v>
      </c>
      <c r="B16" s="1">
        <v>0.33333333333333298</v>
      </c>
      <c r="C16" s="2">
        <v>8882</v>
      </c>
      <c r="D16" s="2">
        <v>7.5</v>
      </c>
      <c r="E16" s="3">
        <f t="shared" si="0"/>
        <v>0.11593723267670321</v>
      </c>
      <c r="F16" s="4">
        <f t="shared" si="1"/>
        <v>736.82559773302376</v>
      </c>
    </row>
    <row r="17" spans="1:7">
      <c r="A17" s="7">
        <v>42551</v>
      </c>
      <c r="B17" s="9">
        <v>0.33333333333333298</v>
      </c>
      <c r="C17" s="2">
        <v>8947.5</v>
      </c>
      <c r="D17" s="2">
        <v>7.4</v>
      </c>
      <c r="E17" s="3">
        <f t="shared" si="0"/>
        <v>0.10578638419431281</v>
      </c>
      <c r="F17" s="4">
        <f t="shared" si="1"/>
        <v>735.79021118781986</v>
      </c>
    </row>
    <row r="18" spans="1:7">
      <c r="A18" s="7">
        <v>42561</v>
      </c>
      <c r="B18" s="9">
        <v>0.33333333333333298</v>
      </c>
      <c r="C18" s="2">
        <v>8949.5</v>
      </c>
      <c r="D18" s="2">
        <v>7.3</v>
      </c>
      <c r="E18" s="3">
        <f>($B$2*C18^2+$B$3*C18+$B$4)-$B$5*D18-$E$7</f>
        <v>0.10519312454105657</v>
      </c>
      <c r="F18" s="4">
        <f t="shared" si="1"/>
        <v>735.72969870318775</v>
      </c>
    </row>
    <row r="19" spans="1:7">
      <c r="A19" s="7">
        <v>42571</v>
      </c>
      <c r="B19" s="1">
        <v>0.33333333333333298</v>
      </c>
      <c r="C19" s="2">
        <v>8956.9</v>
      </c>
      <c r="D19" s="2">
        <v>7.4</v>
      </c>
      <c r="E19" s="3">
        <f>($B$2*C19^2+$B$3*C19+$B$4)-$B$5*D19-$E$7</f>
        <v>0.10437162276157037</v>
      </c>
      <c r="F19" s="4">
        <f t="shared" si="1"/>
        <v>735.64590552168022</v>
      </c>
      <c r="G19" s="2"/>
    </row>
    <row r="20" spans="1:7">
      <c r="A20" s="7">
        <v>42581</v>
      </c>
      <c r="B20" s="9">
        <v>0.33333333333333398</v>
      </c>
      <c r="C20" s="2">
        <v>8952</v>
      </c>
      <c r="D20" s="2">
        <v>7.5</v>
      </c>
      <c r="E20" s="3">
        <f>($B$2*C20^2+$B$3*C20+$B$4)-$B$5*D20-$E$7</f>
        <v>0.10540134817432924</v>
      </c>
      <c r="F20" s="4">
        <f t="shared" si="1"/>
        <v>735.75093751378154</v>
      </c>
      <c r="G20" s="2"/>
    </row>
    <row r="21" spans="1:7">
      <c r="A21" s="7">
        <v>42592</v>
      </c>
      <c r="B21" s="1">
        <v>0.33333333333333298</v>
      </c>
      <c r="C21" s="2">
        <v>8954.5</v>
      </c>
      <c r="D21" s="2">
        <v>7.6</v>
      </c>
      <c r="E21" s="3">
        <f t="shared" ref="E21:E45" si="2">($B$2*C21^2+$B$3*C21+$B$4)-$B$5*D21-$E$7</f>
        <v>0.10531732759076061</v>
      </c>
      <c r="F21" s="4">
        <f t="shared" si="1"/>
        <v>735.74236741425761</v>
      </c>
      <c r="G21" s="2"/>
    </row>
    <row r="22" spans="1:7">
      <c r="A22" s="7">
        <v>42602</v>
      </c>
      <c r="B22" s="1">
        <v>0.33333333333333298</v>
      </c>
      <c r="C22" s="2">
        <v>8965.4</v>
      </c>
      <c r="D22" s="2">
        <v>7.9</v>
      </c>
      <c r="E22" s="3">
        <f t="shared" si="2"/>
        <v>0.10455355689489458</v>
      </c>
      <c r="F22" s="4">
        <f t="shared" si="1"/>
        <v>735.66446280327921</v>
      </c>
      <c r="G22" s="2"/>
    </row>
    <row r="23" spans="1:7">
      <c r="A23" s="6">
        <v>42612</v>
      </c>
      <c r="B23" s="1">
        <v>0.33333333333333298</v>
      </c>
      <c r="C23" s="2">
        <v>8982.1</v>
      </c>
      <c r="D23" s="2">
        <v>8.3000000000000007</v>
      </c>
      <c r="E23" s="3">
        <f t="shared" si="2"/>
        <v>0.10320914132375998</v>
      </c>
      <c r="F23" s="4">
        <f t="shared" si="1"/>
        <v>735.52733241502347</v>
      </c>
    </row>
    <row r="24" spans="1:7">
      <c r="A24" s="7">
        <v>42623</v>
      </c>
      <c r="B24" s="1">
        <v>0.33333333333333298</v>
      </c>
      <c r="C24">
        <v>8955.6</v>
      </c>
      <c r="D24">
        <v>8.5</v>
      </c>
      <c r="E24" s="3">
        <f t="shared" si="2"/>
        <v>0.10778197864513482</v>
      </c>
      <c r="F24" s="4">
        <f t="shared" si="1"/>
        <v>735.99376182180379</v>
      </c>
    </row>
    <row r="25" spans="1:7">
      <c r="A25" s="7">
        <v>42633</v>
      </c>
      <c r="B25" s="1">
        <v>0.33333333333333331</v>
      </c>
      <c r="C25" s="2">
        <v>8943.6</v>
      </c>
      <c r="D25" s="2">
        <v>8.8000000000000007</v>
      </c>
      <c r="E25" s="3">
        <f t="shared" si="2"/>
        <v>0.11046479837704086</v>
      </c>
      <c r="F25" s="4">
        <f t="shared" si="1"/>
        <v>736.26740943445816</v>
      </c>
    </row>
    <row r="26" spans="1:7">
      <c r="A26" s="7">
        <v>42643</v>
      </c>
      <c r="B26" s="1">
        <v>0.33333333333333331</v>
      </c>
      <c r="C26" s="2">
        <v>8824.6</v>
      </c>
      <c r="D26" s="2">
        <v>9.1999999999999993</v>
      </c>
      <c r="E26" s="3">
        <f t="shared" si="2"/>
        <v>0.12954546173904818</v>
      </c>
      <c r="F26" s="4">
        <f t="shared" si="1"/>
        <v>738.21363709738296</v>
      </c>
    </row>
    <row r="27" spans="1:7">
      <c r="A27" s="7">
        <v>42653</v>
      </c>
      <c r="B27" s="1">
        <v>0.33333333333333331</v>
      </c>
      <c r="C27" s="2">
        <v>8893.4</v>
      </c>
      <c r="D27" s="2">
        <v>9.4</v>
      </c>
      <c r="E27" s="3">
        <f t="shared" si="2"/>
        <v>0.11977399144170396</v>
      </c>
      <c r="F27" s="4">
        <f t="shared" si="1"/>
        <v>737.2169471270538</v>
      </c>
    </row>
    <row r="28" spans="1:7">
      <c r="A28" s="7">
        <v>42855</v>
      </c>
      <c r="B28" s="1">
        <v>0.33333333333333331</v>
      </c>
      <c r="C28" s="2">
        <v>8843.5</v>
      </c>
      <c r="D28" s="2">
        <v>8.6999999999999993</v>
      </c>
      <c r="E28" s="3">
        <f t="shared" si="2"/>
        <v>0.12523927472299989</v>
      </c>
      <c r="F28" s="4">
        <f t="shared" si="1"/>
        <v>737.77440602174602</v>
      </c>
    </row>
    <row r="29" spans="1:7">
      <c r="A29" s="7">
        <v>42865</v>
      </c>
      <c r="B29" s="1">
        <v>0.33333333333333331</v>
      </c>
      <c r="C29" s="2">
        <v>8802.7999999999993</v>
      </c>
      <c r="D29" s="2">
        <v>8.6999999999999993</v>
      </c>
      <c r="E29" s="3">
        <f t="shared" si="2"/>
        <v>0.13136580097172168</v>
      </c>
      <c r="F29" s="4">
        <f t="shared" si="1"/>
        <v>738.39931169911563</v>
      </c>
    </row>
    <row r="30" spans="1:7">
      <c r="A30" s="7">
        <v>42875</v>
      </c>
      <c r="B30" s="1">
        <v>0.33333333333333331</v>
      </c>
      <c r="C30" s="2">
        <v>8841.7999999999993</v>
      </c>
      <c r="D30" s="2">
        <v>8.6</v>
      </c>
      <c r="E30" s="3">
        <f t="shared" si="2"/>
        <v>0.12520292280870787</v>
      </c>
      <c r="F30" s="4">
        <f t="shared" si="1"/>
        <v>737.77069812648824</v>
      </c>
    </row>
    <row r="31" spans="1:7">
      <c r="A31" s="7">
        <v>42885</v>
      </c>
      <c r="B31" s="1">
        <v>0.33333333333333331</v>
      </c>
      <c r="C31" s="2">
        <v>8859.2000000000007</v>
      </c>
      <c r="D31" s="2">
        <v>8.5</v>
      </c>
      <c r="E31" s="3">
        <f t="shared" si="2"/>
        <v>0.1222915571150107</v>
      </c>
      <c r="F31" s="4">
        <f t="shared" si="1"/>
        <v>737.47373882573106</v>
      </c>
    </row>
    <row r="32" spans="1:7">
      <c r="A32" s="7">
        <v>42896</v>
      </c>
      <c r="B32" s="1">
        <v>0.33333333333333331</v>
      </c>
      <c r="C32" s="2">
        <v>8855.1</v>
      </c>
      <c r="D32" s="2">
        <v>8.4</v>
      </c>
      <c r="E32" s="3">
        <f t="shared" si="2"/>
        <v>0.12261645614812404</v>
      </c>
      <c r="F32" s="4">
        <f t="shared" si="1"/>
        <v>737.5068785271086</v>
      </c>
    </row>
    <row r="33" spans="1:6">
      <c r="A33" s="7">
        <v>42906</v>
      </c>
      <c r="B33" s="1">
        <v>0.33333333333333331</v>
      </c>
      <c r="C33" s="2">
        <v>8844.2000000000007</v>
      </c>
      <c r="D33" s="2">
        <v>8.3000000000000007</v>
      </c>
      <c r="E33" s="3">
        <f t="shared" si="2"/>
        <v>0.12396492580387293</v>
      </c>
      <c r="F33" s="4">
        <f t="shared" si="1"/>
        <v>737.64442243199505</v>
      </c>
    </row>
    <row r="34" spans="1:6">
      <c r="A34" s="7">
        <v>42916</v>
      </c>
      <c r="B34" s="1">
        <v>0.33333333333333331</v>
      </c>
      <c r="C34" s="2">
        <v>8845.9</v>
      </c>
      <c r="D34" s="2">
        <v>8.1999999999999993</v>
      </c>
      <c r="E34" s="3">
        <f t="shared" si="2"/>
        <v>0.12341678782525113</v>
      </c>
      <c r="F34" s="4">
        <f t="shared" si="1"/>
        <v>737.58851235817565</v>
      </c>
    </row>
    <row r="35" spans="1:6">
      <c r="A35" s="7">
        <v>42926</v>
      </c>
      <c r="B35" s="1">
        <v>0.33333333333333331</v>
      </c>
      <c r="C35" s="2">
        <v>8855.1</v>
      </c>
      <c r="D35" s="2">
        <v>8.1</v>
      </c>
      <c r="E35" s="3">
        <f t="shared" si="2"/>
        <v>0.12173972024812403</v>
      </c>
      <c r="F35" s="4">
        <f t="shared" si="1"/>
        <v>737.41745146530866</v>
      </c>
    </row>
    <row r="36" spans="1:6">
      <c r="A36" s="7">
        <v>42936</v>
      </c>
      <c r="B36" s="1">
        <v>0.33333333333333331</v>
      </c>
      <c r="C36" s="2">
        <v>8853.2999999999993</v>
      </c>
      <c r="D36" s="2">
        <v>8</v>
      </c>
      <c r="E36" s="3">
        <f t="shared" si="2"/>
        <v>0.12171841728291331</v>
      </c>
      <c r="F36" s="4">
        <f t="shared" si="1"/>
        <v>737.41527856285711</v>
      </c>
    </row>
    <row r="37" spans="1:6">
      <c r="A37" s="7">
        <v>42946</v>
      </c>
      <c r="B37" s="1">
        <v>0.33333333333333331</v>
      </c>
      <c r="C37" s="2">
        <v>8856.7000000000007</v>
      </c>
      <c r="D37" s="2">
        <v>8</v>
      </c>
      <c r="E37" s="3">
        <f t="shared" si="2"/>
        <v>0.12120663778859096</v>
      </c>
      <c r="F37" s="4">
        <f t="shared" si="1"/>
        <v>737.3630770544363</v>
      </c>
    </row>
    <row r="38" spans="1:6">
      <c r="A38" s="7">
        <v>42957</v>
      </c>
      <c r="B38" s="1">
        <v>0.33333333333333331</v>
      </c>
      <c r="C38" s="2">
        <v>8849.2999999999993</v>
      </c>
      <c r="D38" s="2">
        <v>7.9</v>
      </c>
      <c r="E38" s="3">
        <f t="shared" si="2"/>
        <v>0.12202826807056515</v>
      </c>
      <c r="F38" s="4">
        <f t="shared" si="1"/>
        <v>737.44688334319767</v>
      </c>
    </row>
    <row r="39" spans="1:6">
      <c r="A39" s="7">
        <v>42967</v>
      </c>
      <c r="B39" s="1">
        <v>0.33333333333333331</v>
      </c>
      <c r="C39" s="2">
        <v>8844.9</v>
      </c>
      <c r="D39" s="2">
        <v>7.8</v>
      </c>
      <c r="E39" s="3">
        <f t="shared" si="2"/>
        <v>0.12239833166966606</v>
      </c>
      <c r="F39" s="4">
        <f t="shared" si="1"/>
        <v>737.48462983030595</v>
      </c>
    </row>
    <row r="40" spans="1:6">
      <c r="A40" s="7">
        <v>42977</v>
      </c>
      <c r="B40" s="1">
        <v>0.33333333333333331</v>
      </c>
      <c r="C40" s="2">
        <v>8848.7000000000007</v>
      </c>
      <c r="D40" s="2">
        <v>8.1</v>
      </c>
      <c r="E40" s="3">
        <f t="shared" si="2"/>
        <v>0.12270307332287418</v>
      </c>
      <c r="F40" s="4">
        <f t="shared" si="1"/>
        <v>737.51571347893321</v>
      </c>
    </row>
    <row r="41" spans="1:6">
      <c r="A41" s="7">
        <v>42988</v>
      </c>
      <c r="B41" s="1">
        <v>0.33333333333333331</v>
      </c>
      <c r="C41" s="2">
        <v>8842.6</v>
      </c>
      <c r="D41" s="2">
        <v>8.5</v>
      </c>
      <c r="E41" s="3">
        <f t="shared" si="2"/>
        <v>0.12479025702951428</v>
      </c>
      <c r="F41" s="4">
        <f t="shared" si="1"/>
        <v>737.72860621701045</v>
      </c>
    </row>
    <row r="42" spans="1:6">
      <c r="A42" s="7">
        <v>42998</v>
      </c>
      <c r="B42" s="1">
        <v>0.33333333333333331</v>
      </c>
      <c r="C42" s="2">
        <v>8850.7000000000007</v>
      </c>
      <c r="D42" s="2">
        <v>7.9</v>
      </c>
      <c r="E42" s="3">
        <f t="shared" si="2"/>
        <v>0.12181753412447098</v>
      </c>
      <c r="F42" s="4">
        <f t="shared" si="1"/>
        <v>737.42538848069603</v>
      </c>
    </row>
    <row r="43" spans="1:6">
      <c r="A43" s="7">
        <v>43008</v>
      </c>
      <c r="B43" s="1">
        <v>0.33333333333333331</v>
      </c>
      <c r="C43" s="2">
        <v>8849.5</v>
      </c>
      <c r="D43" s="2">
        <v>7.6</v>
      </c>
      <c r="E43" s="3">
        <f t="shared" si="2"/>
        <v>0.12112142730032648</v>
      </c>
      <c r="F43" s="4">
        <f t="shared" si="1"/>
        <v>737.35438558463329</v>
      </c>
    </row>
    <row r="44" spans="1:6">
      <c r="A44" s="7">
        <v>43018</v>
      </c>
      <c r="B44" s="1">
        <v>0.33333333333333331</v>
      </c>
      <c r="C44" s="2">
        <v>8846.9</v>
      </c>
      <c r="D44" s="2">
        <v>7.6</v>
      </c>
      <c r="E44" s="3">
        <f t="shared" si="2"/>
        <v>0.12151279115414181</v>
      </c>
      <c r="F44" s="4">
        <f t="shared" si="1"/>
        <v>737.39430469772242</v>
      </c>
    </row>
    <row r="45" spans="1:6">
      <c r="A45" s="7">
        <v>43230</v>
      </c>
      <c r="B45" s="1">
        <v>0.33333333333333331</v>
      </c>
      <c r="C45" s="2">
        <v>8857.4</v>
      </c>
      <c r="D45" s="2">
        <v>8</v>
      </c>
      <c r="E45" s="3">
        <f t="shared" si="2"/>
        <v>0.12110127167080618</v>
      </c>
      <c r="F45" s="4">
        <f t="shared" si="1"/>
        <v>737.35232971042228</v>
      </c>
    </row>
    <row r="46" spans="1:6">
      <c r="A46" s="7">
        <v>43240</v>
      </c>
      <c r="B46" s="1">
        <v>0.33333333333333331</v>
      </c>
      <c r="C46" s="2">
        <v>8857.6</v>
      </c>
      <c r="D46" s="2">
        <v>8.6</v>
      </c>
      <c r="E46" s="3">
        <f>($B$2*C46^2+$B$3*C46+$B$4)-$B$5*D46-$E$7</f>
        <v>0.12282463888132227</v>
      </c>
      <c r="F46" s="4">
        <f t="shared" si="1"/>
        <v>737.52811316589487</v>
      </c>
    </row>
    <row r="47" spans="1:6">
      <c r="A47" s="7">
        <v>43250</v>
      </c>
      <c r="B47" s="1">
        <v>0.33333333333333331</v>
      </c>
      <c r="C47" s="2">
        <v>8852.2999999999993</v>
      </c>
      <c r="D47" s="2">
        <v>7.9</v>
      </c>
      <c r="E47" s="3">
        <f>($B$2*C47^2+$B$3*C47+$B$4)-$B$5*D47-$E$7</f>
        <v>0.12157669574486833</v>
      </c>
      <c r="F47" s="4">
        <f t="shared" si="1"/>
        <v>737.40082296597654</v>
      </c>
    </row>
    <row r="48" spans="1:6">
      <c r="A48" s="7">
        <v>43261</v>
      </c>
      <c r="B48" s="1">
        <v>0.33333333333333331</v>
      </c>
      <c r="C48" s="2">
        <v>8828.2000000000007</v>
      </c>
      <c r="D48" s="2">
        <v>8</v>
      </c>
      <c r="E48" s="3">
        <f t="shared" ref="E48:E54" si="3">($B$2*C48^2+$B$3*C48+$B$4)-$B$5*D48-$E$7</f>
        <v>0.12549661612506546</v>
      </c>
      <c r="F48" s="4">
        <f t="shared" si="1"/>
        <v>737.80065484475665</v>
      </c>
    </row>
    <row r="49" spans="1:6">
      <c r="A49" s="7">
        <v>43271</v>
      </c>
      <c r="B49" s="1">
        <v>0.33333333333333331</v>
      </c>
      <c r="C49" s="2">
        <v>8769.7000000000007</v>
      </c>
      <c r="D49" s="2">
        <v>7.9</v>
      </c>
      <c r="E49" s="3">
        <f t="shared" si="3"/>
        <v>0.13401055685042956</v>
      </c>
      <c r="F49" s="4">
        <f t="shared" si="1"/>
        <v>738.66907679874384</v>
      </c>
    </row>
    <row r="50" spans="1:6">
      <c r="A50" s="7">
        <v>43281</v>
      </c>
      <c r="B50" s="1">
        <v>0.33333333333333331</v>
      </c>
      <c r="C50" s="2">
        <v>8780.7000000000007</v>
      </c>
      <c r="D50" s="2">
        <v>8.3000000000000007</v>
      </c>
      <c r="E50" s="3">
        <f t="shared" si="3"/>
        <v>0.13352362873543649</v>
      </c>
      <c r="F50" s="4">
        <f t="shared" si="1"/>
        <v>738.61941013101455</v>
      </c>
    </row>
    <row r="51" spans="1:6">
      <c r="A51" s="7">
        <v>43291</v>
      </c>
      <c r="B51" s="1">
        <v>0.33333333333333331</v>
      </c>
      <c r="C51" s="2">
        <v>8811</v>
      </c>
      <c r="D51" s="2">
        <v>7.9</v>
      </c>
      <c r="E51" s="3">
        <f t="shared" si="3"/>
        <v>0.12779347849500505</v>
      </c>
      <c r="F51" s="4">
        <f t="shared" si="1"/>
        <v>738.03493480649047</v>
      </c>
    </row>
    <row r="52" spans="1:6">
      <c r="A52" s="7">
        <v>43301</v>
      </c>
      <c r="B52" s="1">
        <v>0.33333333333333331</v>
      </c>
      <c r="C52" s="2">
        <v>8827.7000000000007</v>
      </c>
      <c r="D52" s="2">
        <v>8.1</v>
      </c>
      <c r="E52" s="3">
        <f t="shared" si="3"/>
        <v>0.12586412545936237</v>
      </c>
      <c r="F52" s="4">
        <f t="shared" si="1"/>
        <v>737.83814079685499</v>
      </c>
    </row>
    <row r="53" spans="1:6">
      <c r="A53" s="7">
        <v>43311</v>
      </c>
      <c r="B53" s="1">
        <v>0.33333333333333331</v>
      </c>
      <c r="C53" s="2">
        <v>8828.6</v>
      </c>
      <c r="D53" s="2">
        <v>8.1</v>
      </c>
      <c r="E53" s="3">
        <f t="shared" si="3"/>
        <v>0.12572865022882257</v>
      </c>
      <c r="F53" s="4">
        <f t="shared" si="1"/>
        <v>737.82432232333986</v>
      </c>
    </row>
    <row r="54" spans="1:6">
      <c r="A54" s="7">
        <v>43322</v>
      </c>
      <c r="B54" s="1">
        <v>0.33333333333333331</v>
      </c>
      <c r="C54" s="2">
        <v>8810.6</v>
      </c>
      <c r="D54" s="2">
        <v>8</v>
      </c>
      <c r="E54" s="3">
        <f t="shared" si="3"/>
        <v>0.12814593621131753</v>
      </c>
      <c r="F54" s="4">
        <f t="shared" si="1"/>
        <v>738.07088549355444</v>
      </c>
    </row>
    <row r="55" spans="1:6">
      <c r="A55" s="7">
        <v>43332</v>
      </c>
      <c r="B55" s="1">
        <v>0.33333333333333331</v>
      </c>
      <c r="C55" s="2">
        <v>8825.2000000000007</v>
      </c>
      <c r="D55" s="2">
        <v>8</v>
      </c>
      <c r="E55" s="3">
        <f t="shared" ref="E55:E72" si="4">($B$2*C55^2+$B$3*C55+$B$4)-$B$5*D55-$E$7</f>
        <v>0.12594820098074289</v>
      </c>
      <c r="F55" s="4">
        <f t="shared" ref="F55:F72" si="5">$D$1+102*E55</f>
        <v>737.84671650003577</v>
      </c>
    </row>
    <row r="56" spans="1:6">
      <c r="A56" s="7">
        <v>43342</v>
      </c>
      <c r="B56" s="1">
        <v>0.33333333333333331</v>
      </c>
      <c r="C56" s="2">
        <v>8800.2999999999993</v>
      </c>
      <c r="D56" s="2">
        <v>8</v>
      </c>
      <c r="E56" s="3">
        <f t="shared" si="4"/>
        <v>0.12969641548136335</v>
      </c>
      <c r="F56" s="4">
        <f t="shared" si="5"/>
        <v>738.22903437909906</v>
      </c>
    </row>
    <row r="57" spans="1:6">
      <c r="A57" s="7">
        <v>43353</v>
      </c>
      <c r="B57" s="1">
        <v>0.33333333333333331</v>
      </c>
      <c r="C57" s="2">
        <v>8754.7999999999993</v>
      </c>
      <c r="D57" s="2">
        <v>8.6999999999999993</v>
      </c>
      <c r="E57" s="3">
        <f t="shared" si="4"/>
        <v>0.13859155712633686</v>
      </c>
      <c r="F57" s="4">
        <f t="shared" si="5"/>
        <v>739.13633882688634</v>
      </c>
    </row>
    <row r="58" spans="1:6">
      <c r="A58" s="7">
        <v>43363</v>
      </c>
      <c r="B58" s="1">
        <v>0.33333333333333331</v>
      </c>
      <c r="C58" s="2">
        <v>8798.2999999999993</v>
      </c>
      <c r="D58" s="2">
        <v>7.9</v>
      </c>
      <c r="E58" s="3">
        <f t="shared" si="4"/>
        <v>0.12970523624895086</v>
      </c>
      <c r="F58" s="4">
        <f t="shared" si="5"/>
        <v>738.22993409739297</v>
      </c>
    </row>
    <row r="59" spans="1:6">
      <c r="A59" s="7">
        <v>43373</v>
      </c>
      <c r="B59" s="1">
        <v>0.33333333333333331</v>
      </c>
      <c r="C59" s="2">
        <v>8807.6</v>
      </c>
      <c r="D59" s="2">
        <v>7.4</v>
      </c>
      <c r="E59" s="3">
        <f t="shared" si="4"/>
        <v>0.12684405841752017</v>
      </c>
      <c r="F59" s="4">
        <f t="shared" si="5"/>
        <v>737.93809395858705</v>
      </c>
    </row>
    <row r="60" spans="1:6">
      <c r="A60" s="7">
        <v>43383</v>
      </c>
      <c r="B60" s="1">
        <v>0.33333333333333331</v>
      </c>
      <c r="C60" s="2">
        <v>8812.4</v>
      </c>
      <c r="D60" s="2">
        <v>7.4</v>
      </c>
      <c r="E60" s="3">
        <f t="shared" si="4"/>
        <v>0.12612150875627554</v>
      </c>
      <c r="F60" s="4">
        <f t="shared" si="5"/>
        <v>737.86439389314012</v>
      </c>
    </row>
    <row r="61" spans="1:6">
      <c r="A61" s="7">
        <v>43393</v>
      </c>
      <c r="B61" s="1">
        <v>0.33333333333333331</v>
      </c>
      <c r="C61" s="2">
        <v>8824.7000000000007</v>
      </c>
      <c r="D61" s="2">
        <v>7.2</v>
      </c>
      <c r="E61" s="3">
        <f t="shared" si="4"/>
        <v>0.12368550287499787</v>
      </c>
      <c r="F61" s="4">
        <f t="shared" si="5"/>
        <v>737.61592129324981</v>
      </c>
    </row>
    <row r="62" spans="1:6">
      <c r="A62" s="32">
        <v>43605</v>
      </c>
      <c r="B62" s="1">
        <v>0.33333333333333331</v>
      </c>
      <c r="C62" s="2">
        <v>8856.2000000000007</v>
      </c>
      <c r="D62" s="2">
        <v>6.8</v>
      </c>
      <c r="E62" s="3">
        <f t="shared" si="4"/>
        <v>0.11777495575328605</v>
      </c>
      <c r="F62" s="4">
        <f t="shared" si="5"/>
        <v>737.01304548683515</v>
      </c>
    </row>
    <row r="63" spans="1:6">
      <c r="A63" s="32">
        <v>43615</v>
      </c>
      <c r="B63" s="1">
        <v>0.33333333333333331</v>
      </c>
      <c r="C63" s="2">
        <v>8860.1</v>
      </c>
      <c r="D63" s="2">
        <v>6.8</v>
      </c>
      <c r="E63" s="3">
        <f t="shared" si="4"/>
        <v>0.11718791669767918</v>
      </c>
      <c r="F63" s="4">
        <f t="shared" si="5"/>
        <v>736.95316750316329</v>
      </c>
    </row>
    <row r="64" spans="1:6">
      <c r="A64" s="32">
        <v>43626</v>
      </c>
      <c r="B64" s="1">
        <v>0.33333333333333331</v>
      </c>
      <c r="C64" s="2">
        <v>8863.6</v>
      </c>
      <c r="D64" s="2">
        <v>7</v>
      </c>
      <c r="E64" s="3">
        <f t="shared" si="4"/>
        <v>0.11724557962028563</v>
      </c>
      <c r="F64" s="4">
        <f t="shared" si="5"/>
        <v>736.95904912126912</v>
      </c>
    </row>
    <row r="65" spans="1:6">
      <c r="A65" s="32">
        <v>43636</v>
      </c>
      <c r="B65" s="1">
        <v>0.33333333333333331</v>
      </c>
      <c r="C65" s="2">
        <v>8867.2999999999993</v>
      </c>
      <c r="D65" s="2">
        <v>7.1</v>
      </c>
      <c r="E65" s="3">
        <f t="shared" si="4"/>
        <v>0.11698089511261188</v>
      </c>
      <c r="F65" s="4">
        <f t="shared" si="5"/>
        <v>736.93205130148647</v>
      </c>
    </row>
    <row r="66" spans="1:6">
      <c r="A66" s="7">
        <v>43646</v>
      </c>
      <c r="B66" s="1">
        <v>0.33333333333333331</v>
      </c>
      <c r="C66" s="2">
        <v>8858.1</v>
      </c>
      <c r="D66" s="2">
        <v>7.3</v>
      </c>
      <c r="E66" s="3">
        <f t="shared" si="4"/>
        <v>0.11895018853794105</v>
      </c>
      <c r="F66" s="4">
        <f t="shared" si="5"/>
        <v>737.13291923087002</v>
      </c>
    </row>
    <row r="67" spans="1:6">
      <c r="A67" s="7">
        <v>43656</v>
      </c>
      <c r="B67" s="1">
        <v>0.33333333333333331</v>
      </c>
      <c r="C67" s="2">
        <v>8849.2000000000007</v>
      </c>
      <c r="D67" s="2">
        <v>7.4</v>
      </c>
      <c r="E67" s="3">
        <f t="shared" si="4"/>
        <v>0.12058209400828386</v>
      </c>
      <c r="F67" s="4">
        <f t="shared" si="5"/>
        <v>737.2993735888449</v>
      </c>
    </row>
    <row r="68" spans="1:6">
      <c r="A68" s="7">
        <v>43666</v>
      </c>
      <c r="B68" s="1">
        <v>0.33333333333333331</v>
      </c>
      <c r="C68" s="2">
        <v>8829.6</v>
      </c>
      <c r="D68" s="2">
        <v>7.6</v>
      </c>
      <c r="E68" s="3">
        <f t="shared" si="4"/>
        <v>0.12411689585952999</v>
      </c>
      <c r="F68" s="4">
        <f t="shared" si="5"/>
        <v>737.65992337767204</v>
      </c>
    </row>
    <row r="69" spans="1:6">
      <c r="A69" s="7">
        <v>43676</v>
      </c>
      <c r="B69" s="1">
        <v>0.33333333333333331</v>
      </c>
      <c r="C69" s="2">
        <v>8812.2999999999993</v>
      </c>
      <c r="D69" s="2">
        <v>7.9</v>
      </c>
      <c r="E69" s="3">
        <f t="shared" si="4"/>
        <v>0.12759778833349139</v>
      </c>
      <c r="F69" s="4">
        <f t="shared" si="5"/>
        <v>738.01497441001607</v>
      </c>
    </row>
    <row r="70" spans="1:6">
      <c r="A70" s="7">
        <v>43687</v>
      </c>
      <c r="B70" s="1">
        <v>0.33333333333333331</v>
      </c>
      <c r="C70" s="2">
        <v>8790.5</v>
      </c>
      <c r="D70" s="2">
        <v>8</v>
      </c>
      <c r="E70" s="3">
        <f t="shared" si="4"/>
        <v>0.13117164583627439</v>
      </c>
      <c r="F70" s="4">
        <f t="shared" si="5"/>
        <v>738.37950787529996</v>
      </c>
    </row>
    <row r="71" spans="1:6">
      <c r="A71" s="7">
        <v>43697</v>
      </c>
      <c r="B71" s="1">
        <v>0.33333333333333331</v>
      </c>
      <c r="C71" s="2">
        <v>8779.2999999999993</v>
      </c>
      <c r="D71" s="2">
        <v>8</v>
      </c>
      <c r="E71" s="3">
        <f t="shared" si="4"/>
        <v>0.13285764376545983</v>
      </c>
      <c r="F71" s="4">
        <f t="shared" si="5"/>
        <v>738.55147966407685</v>
      </c>
    </row>
    <row r="72" spans="1:6">
      <c r="A72" s="7">
        <v>43707</v>
      </c>
      <c r="B72" s="1">
        <v>0.33333333333333331</v>
      </c>
      <c r="C72" s="2">
        <v>8760.4</v>
      </c>
      <c r="D72" s="2">
        <v>8</v>
      </c>
      <c r="E72" s="3">
        <f t="shared" si="4"/>
        <v>0.13570281456681443</v>
      </c>
      <c r="F72" s="4">
        <f t="shared" si="5"/>
        <v>738.84168708581512</v>
      </c>
    </row>
  </sheetData>
  <phoneticPr fontId="4" type="noConversion"/>
  <pageMargins left="0.69930555555555596" right="0.69930555555555596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2"/>
  <sheetViews>
    <sheetView topLeftCell="A47" workbookViewId="0">
      <selection activeCell="A66" sqref="A66:B72"/>
    </sheetView>
  </sheetViews>
  <sheetFormatPr defaultColWidth="9" defaultRowHeight="13.5"/>
  <cols>
    <col min="1" max="1" width="11.5" customWidth="1"/>
    <col min="2" max="2" width="13.875" customWidth="1"/>
  </cols>
  <sheetData>
    <row r="1" spans="1:7">
      <c r="A1" t="s">
        <v>0</v>
      </c>
      <c r="B1">
        <v>11242</v>
      </c>
      <c r="C1" t="s">
        <v>1</v>
      </c>
      <c r="D1">
        <v>720</v>
      </c>
    </row>
    <row r="2" spans="1:7">
      <c r="A2" t="s">
        <v>2</v>
      </c>
      <c r="B2">
        <f>-1.32769*10^-10</f>
        <v>-1.3276900000000001E-10</v>
      </c>
    </row>
    <row r="3" spans="1:7">
      <c r="A3" t="s">
        <v>3</v>
      </c>
      <c r="B3">
        <v>-1.62535E-4</v>
      </c>
    </row>
    <row r="4" spans="1:7">
      <c r="A4" t="s">
        <v>4</v>
      </c>
      <c r="B4">
        <v>1.57983224</v>
      </c>
    </row>
    <row r="5" spans="1:7">
      <c r="A5" t="s">
        <v>5</v>
      </c>
      <c r="B5">
        <v>-3.0111970000000002E-3</v>
      </c>
    </row>
    <row r="6" spans="1:7">
      <c r="A6" t="s">
        <v>6</v>
      </c>
      <c r="B6" t="s">
        <v>7</v>
      </c>
      <c r="C6" t="s">
        <v>8</v>
      </c>
      <c r="D6" t="s">
        <v>9</v>
      </c>
      <c r="E6" t="s">
        <v>10</v>
      </c>
      <c r="F6" t="s">
        <v>11</v>
      </c>
      <c r="G6" t="s">
        <v>12</v>
      </c>
    </row>
    <row r="7" spans="1:7">
      <c r="A7" s="7">
        <v>42519</v>
      </c>
      <c r="B7" s="1">
        <v>0.47916666666666702</v>
      </c>
      <c r="C7" s="2">
        <v>9378.5</v>
      </c>
      <c r="D7" s="2">
        <v>9.8000000000000007</v>
      </c>
      <c r="E7" s="3">
        <f>($B$2*C7^2+$B$3*C7+$B$4)-$B$5*D7</f>
        <v>7.3329608117329748E-2</v>
      </c>
      <c r="G7" t="s">
        <v>13</v>
      </c>
    </row>
    <row r="8" spans="1:7">
      <c r="A8" s="7">
        <v>42525</v>
      </c>
      <c r="B8" s="1">
        <v>0.5</v>
      </c>
      <c r="C8" s="2">
        <v>8096.3</v>
      </c>
      <c r="D8" s="2">
        <v>13.4</v>
      </c>
      <c r="E8" s="3">
        <f>($B$2*C8^2+$B$3*C8+$B$4)-$B$5*D8-$E$7</f>
        <v>0.22221753344892248</v>
      </c>
      <c r="F8" s="4">
        <f>$D$1+102*E8</f>
        <v>742.66618841179013</v>
      </c>
      <c r="G8" t="s">
        <v>17</v>
      </c>
    </row>
    <row r="9" spans="1:7">
      <c r="A9" s="7">
        <v>42525</v>
      </c>
      <c r="B9" s="1">
        <v>0.65972222222222199</v>
      </c>
      <c r="C9" s="2">
        <v>8310.6</v>
      </c>
      <c r="D9" s="2">
        <v>9.9</v>
      </c>
      <c r="E9" s="3">
        <f t="shared" ref="E9:E17" si="0">($B$2*C9^2+$B$3*C9+$B$4)-$B$5*D9-$E$7</f>
        <v>0.17638027782150531</v>
      </c>
      <c r="F9" s="4">
        <f t="shared" ref="F9:F54" si="1">$D$1+102*E9</f>
        <v>737.99078833779356</v>
      </c>
      <c r="G9" t="s">
        <v>14</v>
      </c>
    </row>
    <row r="10" spans="1:7">
      <c r="A10" s="7">
        <v>42526</v>
      </c>
      <c r="B10" s="1">
        <v>0.33333333333333298</v>
      </c>
      <c r="C10" s="2">
        <v>8386.2000000000007</v>
      </c>
      <c r="D10" s="2">
        <v>8.1999999999999993</v>
      </c>
      <c r="E10" s="3">
        <f t="shared" si="0"/>
        <v>0.15880600552310184</v>
      </c>
      <c r="F10" s="4">
        <f t="shared" si="1"/>
        <v>736.19821256335638</v>
      </c>
    </row>
    <row r="11" spans="1:7">
      <c r="A11" s="7">
        <v>42527</v>
      </c>
      <c r="B11" s="1">
        <v>0.33333333333333298</v>
      </c>
      <c r="C11" s="2">
        <v>8401.5</v>
      </c>
      <c r="D11" s="2">
        <v>8</v>
      </c>
      <c r="E11" s="3">
        <f t="shared" si="0"/>
        <v>0.15568287866513997</v>
      </c>
      <c r="F11" s="4">
        <f t="shared" si="1"/>
        <v>735.87965362384432</v>
      </c>
    </row>
    <row r="12" spans="1:7">
      <c r="A12" s="7">
        <v>42528</v>
      </c>
      <c r="B12" s="1">
        <v>0.33333333333333298</v>
      </c>
      <c r="C12" s="2">
        <v>8434.7000000000007</v>
      </c>
      <c r="D12" s="2">
        <v>7.8</v>
      </c>
      <c r="E12" s="3">
        <f t="shared" si="0"/>
        <v>0.14961026446060491</v>
      </c>
      <c r="F12" s="4">
        <f t="shared" si="1"/>
        <v>735.26024697498167</v>
      </c>
    </row>
    <row r="13" spans="1:7">
      <c r="A13" s="7">
        <v>42529</v>
      </c>
      <c r="B13" s="1">
        <v>0.33333333333333298</v>
      </c>
      <c r="C13" s="2">
        <v>8442.4</v>
      </c>
      <c r="D13" s="2">
        <v>6.6</v>
      </c>
      <c r="E13" s="3">
        <f t="shared" si="0"/>
        <v>0.14472805474179298</v>
      </c>
      <c r="F13" s="4">
        <f t="shared" si="1"/>
        <v>734.76226158366285</v>
      </c>
    </row>
    <row r="14" spans="1:7">
      <c r="A14" s="7">
        <v>42530</v>
      </c>
      <c r="B14" s="1">
        <v>0.33333333333333298</v>
      </c>
      <c r="C14" s="2">
        <v>8442.2000000000007</v>
      </c>
      <c r="D14" s="2">
        <v>7.1</v>
      </c>
      <c r="E14" s="3">
        <f t="shared" si="0"/>
        <v>0.14626660859208435</v>
      </c>
      <c r="F14" s="4">
        <f t="shared" si="1"/>
        <v>734.91919407639261</v>
      </c>
    </row>
    <row r="15" spans="1:7">
      <c r="A15" s="7">
        <v>42531</v>
      </c>
      <c r="B15" s="1">
        <v>0.33333333333333298</v>
      </c>
      <c r="C15" s="2">
        <v>8441</v>
      </c>
      <c r="D15" s="2">
        <v>7.7</v>
      </c>
      <c r="E15" s="3">
        <f t="shared" si="0"/>
        <v>0.14827105867078133</v>
      </c>
      <c r="F15" s="4">
        <f t="shared" si="1"/>
        <v>735.12364798441968</v>
      </c>
    </row>
    <row r="16" spans="1:7">
      <c r="A16" s="7">
        <v>42541</v>
      </c>
      <c r="B16" s="1">
        <v>0.33333333333333298</v>
      </c>
      <c r="C16" s="2">
        <v>8362.5</v>
      </c>
      <c r="D16" s="2">
        <v>7.5</v>
      </c>
      <c r="E16" s="3">
        <f t="shared" si="0"/>
        <v>0.1606029490062639</v>
      </c>
      <c r="F16" s="4">
        <f t="shared" si="1"/>
        <v>736.38150079863897</v>
      </c>
    </row>
    <row r="17" spans="1:7">
      <c r="A17" s="7">
        <v>42551</v>
      </c>
      <c r="B17" s="9">
        <v>0.33333333333333298</v>
      </c>
      <c r="C17" s="2">
        <v>8421.6</v>
      </c>
      <c r="D17" s="2">
        <v>7.5</v>
      </c>
      <c r="E17" s="3">
        <f t="shared" si="0"/>
        <v>0.15086543158324559</v>
      </c>
      <c r="F17" s="4">
        <f t="shared" si="1"/>
        <v>735.38827402149104</v>
      </c>
    </row>
    <row r="18" spans="1:7">
      <c r="A18" s="7">
        <v>42561</v>
      </c>
      <c r="B18" s="9">
        <v>0.33333333333333298</v>
      </c>
      <c r="C18" s="2">
        <v>8424.7000000000007</v>
      </c>
      <c r="D18" s="2">
        <v>7.4</v>
      </c>
      <c r="E18" s="3">
        <f>($B$2*C18^2+$B$3*C18+$B$4)-$B$5*D18-$E$7</f>
        <v>0.15005351971739089</v>
      </c>
      <c r="F18" s="4">
        <f t="shared" si="1"/>
        <v>735.30545901117387</v>
      </c>
    </row>
    <row r="19" spans="1:7">
      <c r="A19" s="7">
        <v>42571</v>
      </c>
      <c r="B19" s="1">
        <v>0.33333333333333298</v>
      </c>
      <c r="C19" s="2">
        <v>8429.7999999999993</v>
      </c>
      <c r="D19" s="2">
        <v>7.4</v>
      </c>
      <c r="E19" s="3">
        <f>($B$2*C19^2+$B$3*C19+$B$4)-$B$5*D19-$E$7</f>
        <v>0.14921317866632777</v>
      </c>
      <c r="F19" s="4">
        <f t="shared" si="1"/>
        <v>735.21974422396545</v>
      </c>
      <c r="G19" s="2"/>
    </row>
    <row r="20" spans="1:7">
      <c r="A20" s="7">
        <v>42581</v>
      </c>
      <c r="B20" s="9">
        <v>0.33333333333333398</v>
      </c>
      <c r="C20" s="2">
        <v>8422.2000000000007</v>
      </c>
      <c r="D20" s="2">
        <v>7.3</v>
      </c>
      <c r="E20" s="3">
        <f>($B$2*C20^2+$B$3*C20+$B$4)-$B$5*D20-$E$7</f>
        <v>0.15016432938255611</v>
      </c>
      <c r="F20" s="4">
        <f t="shared" si="1"/>
        <v>735.31676159702067</v>
      </c>
      <c r="G20" s="2"/>
    </row>
    <row r="21" spans="1:7">
      <c r="A21" s="7">
        <v>42592</v>
      </c>
      <c r="B21" s="1">
        <v>0.33333333333333298</v>
      </c>
      <c r="C21" s="2">
        <v>8421.1</v>
      </c>
      <c r="D21" s="2">
        <v>7.3</v>
      </c>
      <c r="E21" s="3">
        <f t="shared" ref="E21:E54" si="2">($B$2*C21^2+$B$3*C21+$B$4)-$B$5*D21-$E$7</f>
        <v>0.15034557777746363</v>
      </c>
      <c r="F21" s="4">
        <f t="shared" si="1"/>
        <v>735.33524893330127</v>
      </c>
      <c r="G21" s="2"/>
    </row>
    <row r="22" spans="1:7">
      <c r="A22" s="7">
        <v>42602</v>
      </c>
      <c r="B22" s="1">
        <v>0.33333333333333298</v>
      </c>
      <c r="C22" s="2">
        <v>8426.4</v>
      </c>
      <c r="D22" s="2">
        <v>7.4</v>
      </c>
      <c r="E22" s="3">
        <f t="shared" si="2"/>
        <v>0.14977340680110807</v>
      </c>
      <c r="F22" s="4">
        <f t="shared" si="1"/>
        <v>735.27688749371305</v>
      </c>
      <c r="G22" s="2"/>
    </row>
    <row r="23" spans="1:7">
      <c r="A23" s="6">
        <v>42612</v>
      </c>
      <c r="B23" s="1">
        <v>0.33333333333333298</v>
      </c>
      <c r="C23" s="2">
        <v>8436.2999999999993</v>
      </c>
      <c r="D23" s="2">
        <v>7.3</v>
      </c>
      <c r="E23" s="3">
        <f t="shared" si="2"/>
        <v>0.14784102604732666</v>
      </c>
      <c r="F23" s="4">
        <f t="shared" si="1"/>
        <v>735.07978465682731</v>
      </c>
    </row>
    <row r="24" spans="1:7">
      <c r="A24" s="7">
        <v>42623</v>
      </c>
      <c r="B24" s="1">
        <v>0.33333333333333298</v>
      </c>
      <c r="C24">
        <v>8409.7999999999993</v>
      </c>
      <c r="D24">
        <v>7.3</v>
      </c>
      <c r="E24" s="3">
        <f t="shared" si="2"/>
        <v>0.15220747450337571</v>
      </c>
      <c r="F24" s="4">
        <f t="shared" si="1"/>
        <v>735.52516239934437</v>
      </c>
    </row>
    <row r="25" spans="1:7">
      <c r="A25" s="7">
        <v>42633</v>
      </c>
      <c r="B25" s="1">
        <v>0.33333333333333331</v>
      </c>
      <c r="C25" s="2">
        <v>8402.6</v>
      </c>
      <c r="D25" s="2">
        <v>7.4</v>
      </c>
      <c r="E25" s="3">
        <f t="shared" si="2"/>
        <v>0.15369491779523181</v>
      </c>
      <c r="F25" s="4">
        <f t="shared" si="1"/>
        <v>735.67688161511364</v>
      </c>
    </row>
    <row r="26" spans="1:7">
      <c r="A26" s="7">
        <v>42643</v>
      </c>
      <c r="B26" s="1">
        <v>0.33333333333333331</v>
      </c>
      <c r="C26" s="2">
        <v>8283.2999999999993</v>
      </c>
      <c r="D26" s="2">
        <v>7.5</v>
      </c>
      <c r="E26" s="3">
        <f t="shared" si="2"/>
        <v>0.17365075666690408</v>
      </c>
      <c r="F26" s="4">
        <f t="shared" si="1"/>
        <v>737.71237718002419</v>
      </c>
    </row>
    <row r="27" spans="1:7">
      <c r="A27" s="7">
        <v>42653</v>
      </c>
      <c r="B27" s="1">
        <v>0.33333333333333331</v>
      </c>
      <c r="C27" s="2">
        <v>8336.5</v>
      </c>
      <c r="D27" s="2">
        <v>7.6</v>
      </c>
      <c r="E27" s="3">
        <f t="shared" si="2"/>
        <v>0.16518762355406988</v>
      </c>
      <c r="F27" s="4">
        <f t="shared" si="1"/>
        <v>736.84913760251516</v>
      </c>
    </row>
    <row r="28" spans="1:7">
      <c r="A28" s="7">
        <v>42855</v>
      </c>
      <c r="B28" s="1">
        <v>0.33333333333333331</v>
      </c>
      <c r="C28" s="2">
        <v>8321.5</v>
      </c>
      <c r="D28" s="2">
        <v>8.3000000000000007</v>
      </c>
      <c r="E28" s="3">
        <f t="shared" si="2"/>
        <v>0.16976666144410008</v>
      </c>
      <c r="F28" s="4">
        <f t="shared" si="1"/>
        <v>737.31619946729825</v>
      </c>
    </row>
    <row r="29" spans="1:7">
      <c r="A29" s="7">
        <v>42865</v>
      </c>
      <c r="B29" s="1">
        <v>0.33333333333333331</v>
      </c>
      <c r="C29" s="2">
        <v>8285.1</v>
      </c>
      <c r="D29" s="2">
        <v>8.3000000000000007</v>
      </c>
      <c r="E29" s="3">
        <f t="shared" si="2"/>
        <v>0.17576319168108451</v>
      </c>
      <c r="F29" s="4">
        <f t="shared" si="1"/>
        <v>737.92784555147057</v>
      </c>
    </row>
    <row r="30" spans="1:7">
      <c r="A30" s="7">
        <v>42875</v>
      </c>
      <c r="B30" s="1">
        <v>0.33333333333333331</v>
      </c>
      <c r="C30" s="2">
        <v>8323.1</v>
      </c>
      <c r="D30" s="2">
        <v>8.1999999999999993</v>
      </c>
      <c r="E30" s="3">
        <f t="shared" si="2"/>
        <v>0.16920194992506396</v>
      </c>
      <c r="F30" s="4">
        <f t="shared" si="1"/>
        <v>737.25859889235653</v>
      </c>
    </row>
    <row r="31" spans="1:7">
      <c r="A31" s="7">
        <v>42885</v>
      </c>
      <c r="B31" s="1">
        <v>0.33333333333333331</v>
      </c>
      <c r="C31" s="2">
        <v>8340.2000000000007</v>
      </c>
      <c r="D31" s="2">
        <v>8.1999999999999993</v>
      </c>
      <c r="E31" s="3">
        <f t="shared" si="2"/>
        <v>0.16638476990357529</v>
      </c>
      <c r="F31" s="4">
        <f t="shared" si="1"/>
        <v>736.97124653016465</v>
      </c>
    </row>
    <row r="32" spans="1:7">
      <c r="A32" s="7">
        <v>42896</v>
      </c>
      <c r="B32" s="1">
        <v>0.33333333333333331</v>
      </c>
      <c r="C32" s="2">
        <v>8337.5</v>
      </c>
      <c r="D32" s="2">
        <v>8.1999999999999993</v>
      </c>
      <c r="E32" s="3">
        <f t="shared" si="2"/>
        <v>0.16682959296376385</v>
      </c>
      <c r="F32" s="4">
        <f t="shared" si="1"/>
        <v>737.0166184823039</v>
      </c>
    </row>
    <row r="33" spans="1:6">
      <c r="A33" s="7">
        <v>42906</v>
      </c>
      <c r="B33" s="1">
        <v>0.33333333333333331</v>
      </c>
      <c r="C33" s="2">
        <v>8328.2999999999993</v>
      </c>
      <c r="D33" s="2">
        <v>8.1999999999999993</v>
      </c>
      <c r="E33" s="3">
        <f t="shared" si="2"/>
        <v>0.16834527181848599</v>
      </c>
      <c r="F33" s="4">
        <f t="shared" si="1"/>
        <v>737.17121772548558</v>
      </c>
    </row>
    <row r="34" spans="1:6">
      <c r="A34" s="7">
        <v>42916</v>
      </c>
      <c r="B34" s="1">
        <v>0.33333333333333331</v>
      </c>
      <c r="C34" s="2">
        <v>8330.9</v>
      </c>
      <c r="D34" s="2">
        <v>8.1</v>
      </c>
      <c r="E34" s="3">
        <f t="shared" si="2"/>
        <v>0.16761581037264137</v>
      </c>
      <c r="F34" s="4">
        <f t="shared" si="1"/>
        <v>737.09681265800941</v>
      </c>
    </row>
    <row r="35" spans="1:6">
      <c r="A35" s="7">
        <v>42926</v>
      </c>
      <c r="B35" s="1">
        <v>0.33333333333333331</v>
      </c>
      <c r="C35" s="2">
        <v>8339.7999999999993</v>
      </c>
      <c r="D35" s="2">
        <v>8.1</v>
      </c>
      <c r="E35" s="3">
        <f t="shared" si="2"/>
        <v>0.1661495500383435</v>
      </c>
      <c r="F35" s="4">
        <f t="shared" si="1"/>
        <v>736.94725410391106</v>
      </c>
    </row>
    <row r="36" spans="1:6">
      <c r="A36" s="7">
        <v>42936</v>
      </c>
      <c r="B36" s="1">
        <v>0.33333333333333331</v>
      </c>
      <c r="C36" s="2">
        <v>8339</v>
      </c>
      <c r="D36" s="2">
        <v>8</v>
      </c>
      <c r="E36" s="3">
        <f t="shared" si="2"/>
        <v>0.16598022988042105</v>
      </c>
      <c r="F36" s="4">
        <f t="shared" si="1"/>
        <v>736.9299834478029</v>
      </c>
    </row>
    <row r="37" spans="1:6">
      <c r="A37" s="7">
        <v>42946</v>
      </c>
      <c r="B37" s="1">
        <v>0.33333333333333331</v>
      </c>
      <c r="C37" s="2">
        <v>8342.2999999999993</v>
      </c>
      <c r="D37" s="2">
        <v>8</v>
      </c>
      <c r="E37" s="3">
        <f t="shared" si="2"/>
        <v>0.16543655567400639</v>
      </c>
      <c r="F37" s="4">
        <f t="shared" si="1"/>
        <v>736.87452867874867</v>
      </c>
    </row>
    <row r="38" spans="1:6">
      <c r="A38" s="7">
        <v>42957</v>
      </c>
      <c r="B38" s="1">
        <v>0.33333333333333331</v>
      </c>
      <c r="C38" s="2">
        <v>8336.4</v>
      </c>
      <c r="D38" s="2">
        <v>7.9</v>
      </c>
      <c r="E38" s="3">
        <f t="shared" si="2"/>
        <v>0.16610745751849612</v>
      </c>
      <c r="F38" s="4">
        <f t="shared" si="1"/>
        <v>736.94296066688662</v>
      </c>
    </row>
    <row r="39" spans="1:6">
      <c r="A39" s="7">
        <v>42967</v>
      </c>
      <c r="B39" s="1">
        <v>0.33333333333333331</v>
      </c>
      <c r="C39" s="2">
        <v>8332.5</v>
      </c>
      <c r="D39" s="2">
        <v>7.9</v>
      </c>
      <c r="E39" s="3">
        <f t="shared" si="2"/>
        <v>0.1667499751599141</v>
      </c>
      <c r="F39" s="4">
        <f t="shared" si="1"/>
        <v>737.00849746631127</v>
      </c>
    </row>
    <row r="40" spans="1:6">
      <c r="A40" s="7">
        <v>42977</v>
      </c>
      <c r="B40" s="1">
        <v>0.33333333333333331</v>
      </c>
      <c r="C40" s="2">
        <v>8336.2000000000007</v>
      </c>
      <c r="D40" s="2">
        <v>7.9</v>
      </c>
      <c r="E40" s="3">
        <f t="shared" si="2"/>
        <v>0.16614040723938187</v>
      </c>
      <c r="F40" s="4">
        <f t="shared" si="1"/>
        <v>736.9463215384169</v>
      </c>
    </row>
    <row r="41" spans="1:6">
      <c r="A41" s="7">
        <v>42988</v>
      </c>
      <c r="B41" s="1">
        <v>0.33333333333333331</v>
      </c>
      <c r="C41" s="2">
        <v>8330.7000000000007</v>
      </c>
      <c r="D41" s="2">
        <v>8.4</v>
      </c>
      <c r="E41" s="3">
        <f t="shared" si="2"/>
        <v>0.16855211890143543</v>
      </c>
      <c r="F41" s="4">
        <f t="shared" si="1"/>
        <v>737.19231612794647</v>
      </c>
    </row>
    <row r="42" spans="1:6">
      <c r="A42" s="7">
        <v>42998</v>
      </c>
      <c r="B42" s="1">
        <v>0.33333333333333331</v>
      </c>
      <c r="C42" s="2">
        <v>8338.7000000000007</v>
      </c>
      <c r="D42" s="2">
        <v>8.1</v>
      </c>
      <c r="E42" s="3">
        <f t="shared" si="2"/>
        <v>0.16633077436488639</v>
      </c>
      <c r="F42" s="4">
        <f t="shared" si="1"/>
        <v>736.96573898521842</v>
      </c>
    </row>
    <row r="43" spans="1:6">
      <c r="A43" s="7">
        <v>43008</v>
      </c>
      <c r="B43" s="1">
        <v>0.33333333333333331</v>
      </c>
      <c r="C43" s="2">
        <v>8337.6</v>
      </c>
      <c r="D43" s="2">
        <v>7.8</v>
      </c>
      <c r="E43" s="3">
        <f t="shared" si="2"/>
        <v>0.16560863927012873</v>
      </c>
      <c r="F43" s="4">
        <f t="shared" si="1"/>
        <v>736.89208120555315</v>
      </c>
    </row>
    <row r="44" spans="1:6">
      <c r="A44" s="7">
        <v>43018</v>
      </c>
      <c r="B44" s="1">
        <v>0.33333333333333331</v>
      </c>
      <c r="C44" s="2">
        <v>8335.2000000000007</v>
      </c>
      <c r="D44" s="2">
        <v>7.8</v>
      </c>
      <c r="E44" s="3">
        <f t="shared" si="2"/>
        <v>0.16600403598448846</v>
      </c>
      <c r="F44" s="4">
        <f t="shared" si="1"/>
        <v>736.93241167041788</v>
      </c>
    </row>
    <row r="45" spans="1:6">
      <c r="A45" s="7">
        <v>43230</v>
      </c>
      <c r="B45" s="1">
        <v>0.33333333333333331</v>
      </c>
      <c r="C45" s="2">
        <v>8338.7999999999993</v>
      </c>
      <c r="D45" s="2">
        <v>7.7</v>
      </c>
      <c r="E45" s="3">
        <f t="shared" si="2"/>
        <v>0.16510982063938701</v>
      </c>
      <c r="F45" s="4">
        <f t="shared" si="1"/>
        <v>736.84120170521749</v>
      </c>
    </row>
    <row r="46" spans="1:6">
      <c r="A46" s="7">
        <v>43240</v>
      </c>
      <c r="B46" s="1">
        <v>0.33333333333333331</v>
      </c>
      <c r="C46" s="2">
        <v>8338.2999999999993</v>
      </c>
      <c r="D46" s="2">
        <v>8.1</v>
      </c>
      <c r="E46" s="3">
        <f t="shared" si="2"/>
        <v>0.16639667404033184</v>
      </c>
      <c r="F46" s="4">
        <f t="shared" si="1"/>
        <v>736.97246075211388</v>
      </c>
    </row>
    <row r="47" spans="1:6">
      <c r="A47" s="7">
        <v>43250</v>
      </c>
      <c r="B47" s="1">
        <v>0.33333333333333331</v>
      </c>
      <c r="C47" s="2">
        <v>8333.2999999999993</v>
      </c>
      <c r="D47" s="2">
        <v>7.6</v>
      </c>
      <c r="E47" s="3">
        <f t="shared" si="2"/>
        <v>0.16571481789863404</v>
      </c>
      <c r="F47" s="4">
        <f t="shared" si="1"/>
        <v>736.9029114256607</v>
      </c>
    </row>
    <row r="48" spans="1:6">
      <c r="A48" s="7">
        <v>43261</v>
      </c>
      <c r="B48" s="1">
        <v>0.33333333333333331</v>
      </c>
      <c r="C48" s="2">
        <v>8310.2000000000007</v>
      </c>
      <c r="D48" s="2">
        <v>7.7</v>
      </c>
      <c r="E48" s="3">
        <f t="shared" si="2"/>
        <v>0.16982154111230335</v>
      </c>
      <c r="F48" s="4">
        <f t="shared" si="1"/>
        <v>737.32179719345493</v>
      </c>
    </row>
    <row r="49" spans="1:6">
      <c r="A49" s="7">
        <v>43271</v>
      </c>
      <c r="B49" s="1">
        <v>0.33333333333333331</v>
      </c>
      <c r="C49" s="2">
        <v>8256.2000000000007</v>
      </c>
      <c r="D49" s="2">
        <v>7.7</v>
      </c>
      <c r="E49" s="3">
        <f t="shared" si="2"/>
        <v>0.17871720434782973</v>
      </c>
      <c r="F49" s="4">
        <f t="shared" si="1"/>
        <v>738.22915484347868</v>
      </c>
    </row>
    <row r="50" spans="1:6">
      <c r="A50" s="7">
        <v>43281</v>
      </c>
      <c r="B50" s="1">
        <v>0.33333333333333331</v>
      </c>
      <c r="C50" s="2">
        <v>8266.5</v>
      </c>
      <c r="D50" s="2">
        <v>7.9</v>
      </c>
      <c r="E50" s="3">
        <f t="shared" si="2"/>
        <v>0.17762273811356011</v>
      </c>
      <c r="F50" s="4">
        <f t="shared" si="1"/>
        <v>738.11751928758315</v>
      </c>
    </row>
    <row r="51" spans="1:6">
      <c r="A51" s="7">
        <v>43291</v>
      </c>
      <c r="B51" s="1">
        <v>0.33333333333333331</v>
      </c>
      <c r="C51" s="2">
        <v>8293.7999999999993</v>
      </c>
      <c r="D51" s="2">
        <v>7.6</v>
      </c>
      <c r="E51" s="3">
        <f t="shared" si="2"/>
        <v>0.17222214915451015</v>
      </c>
      <c r="F51" s="4">
        <f t="shared" si="1"/>
        <v>737.56665921375998</v>
      </c>
    </row>
    <row r="52" spans="1:6">
      <c r="A52" s="7">
        <v>43301</v>
      </c>
      <c r="B52" s="1">
        <v>0.33333333333333331</v>
      </c>
      <c r="C52" s="2">
        <v>8310.2000000000007</v>
      </c>
      <c r="D52" s="2">
        <v>7.9</v>
      </c>
      <c r="E52" s="3">
        <f t="shared" si="2"/>
        <v>0.17042378051230336</v>
      </c>
      <c r="F52" s="4">
        <f t="shared" si="1"/>
        <v>737.38322561225493</v>
      </c>
    </row>
    <row r="53" spans="1:6">
      <c r="A53" s="7">
        <v>43311</v>
      </c>
      <c r="B53" s="1">
        <v>0.33333333333333331</v>
      </c>
      <c r="C53" s="2">
        <v>8311.2999999999993</v>
      </c>
      <c r="D53" s="2">
        <v>7.7</v>
      </c>
      <c r="E53" s="3">
        <f t="shared" si="2"/>
        <v>0.1696403251103768</v>
      </c>
      <c r="F53" s="4">
        <f t="shared" si="1"/>
        <v>737.30331316125842</v>
      </c>
    </row>
    <row r="54" spans="1:6">
      <c r="A54" s="7">
        <v>43322</v>
      </c>
      <c r="B54" s="1">
        <v>0.33333333333333331</v>
      </c>
      <c r="C54" s="2">
        <v>8294.2999999999993</v>
      </c>
      <c r="D54" s="2">
        <v>7.4</v>
      </c>
      <c r="E54" s="3">
        <f t="shared" si="2"/>
        <v>0.17153754106178543</v>
      </c>
      <c r="F54" s="4">
        <f t="shared" si="1"/>
        <v>737.49682918830217</v>
      </c>
    </row>
    <row r="55" spans="1:6">
      <c r="A55" s="7">
        <v>43332</v>
      </c>
      <c r="B55" s="1">
        <v>0.33333333333333331</v>
      </c>
      <c r="C55" s="2">
        <v>8307.9</v>
      </c>
      <c r="D55" s="2">
        <v>7.7</v>
      </c>
      <c r="E55" s="3">
        <f t="shared" ref="E55:E72" si="3">($B$2*C55^2+$B$3*C55+$B$4)-$B$5*D55-$E$7</f>
        <v>0.17020044625989711</v>
      </c>
      <c r="F55" s="4">
        <f t="shared" ref="F55:F72" si="4">$D$1+102*E55</f>
        <v>737.36044551850955</v>
      </c>
    </row>
    <row r="56" spans="1:6">
      <c r="A56" s="7">
        <v>43342</v>
      </c>
      <c r="B56" s="1">
        <v>0.33333333333333331</v>
      </c>
      <c r="C56" s="2">
        <v>8276.5</v>
      </c>
      <c r="D56" s="2">
        <v>7.6</v>
      </c>
      <c r="E56" s="3">
        <f t="shared" si="3"/>
        <v>0.17507206503789005</v>
      </c>
      <c r="F56" s="4">
        <f t="shared" si="4"/>
        <v>737.85735063386483</v>
      </c>
    </row>
    <row r="57" spans="1:6">
      <c r="A57" s="7">
        <v>43353</v>
      </c>
      <c r="B57" s="1">
        <v>0.33333333333333331</v>
      </c>
      <c r="C57" s="2">
        <v>8241.9</v>
      </c>
      <c r="D57" s="2">
        <v>8.3000000000000007</v>
      </c>
      <c r="E57" s="3">
        <f t="shared" si="3"/>
        <v>0.18287949628604633</v>
      </c>
      <c r="F57" s="4">
        <f t="shared" si="4"/>
        <v>738.65370862117675</v>
      </c>
    </row>
    <row r="58" spans="1:6">
      <c r="A58" s="7">
        <v>43363</v>
      </c>
      <c r="B58" s="1">
        <v>0.33333333333333331</v>
      </c>
      <c r="C58" s="2">
        <v>8283.7000000000007</v>
      </c>
      <c r="D58" s="2">
        <v>7.6</v>
      </c>
      <c r="E58" s="3">
        <f t="shared" si="3"/>
        <v>0.17388598253329454</v>
      </c>
      <c r="F58" s="4">
        <f t="shared" si="4"/>
        <v>737.73637021839602</v>
      </c>
    </row>
    <row r="59" spans="1:6">
      <c r="A59" s="7">
        <v>43373</v>
      </c>
      <c r="B59" s="1">
        <v>0.33333333333333331</v>
      </c>
      <c r="C59" s="2">
        <v>8296.2000000000007</v>
      </c>
      <c r="D59" s="2">
        <v>7.4</v>
      </c>
      <c r="E59" s="3">
        <f t="shared" si="3"/>
        <v>0.17122453942400595</v>
      </c>
      <c r="F59" s="4">
        <f t="shared" si="4"/>
        <v>737.46490302124857</v>
      </c>
    </row>
    <row r="60" spans="1:6">
      <c r="A60" s="7">
        <v>43383</v>
      </c>
      <c r="B60" s="1">
        <v>0.33333333333333331</v>
      </c>
      <c r="C60" s="2">
        <v>8298.2999999999993</v>
      </c>
      <c r="D60" s="2">
        <v>7.4</v>
      </c>
      <c r="E60" s="3">
        <f t="shared" si="3"/>
        <v>0.17087858913014808</v>
      </c>
      <c r="F60" s="4">
        <f t="shared" si="4"/>
        <v>737.42961609127508</v>
      </c>
    </row>
    <row r="61" spans="1:6">
      <c r="A61" s="7">
        <v>43393</v>
      </c>
      <c r="B61" s="1">
        <v>0.33333333333333331</v>
      </c>
      <c r="C61" s="2">
        <v>8300.7000000000007</v>
      </c>
      <c r="D61" s="2">
        <v>7.3</v>
      </c>
      <c r="E61" s="3">
        <f t="shared" si="3"/>
        <v>0.17018209623183347</v>
      </c>
      <c r="F61" s="4">
        <f t="shared" si="4"/>
        <v>737.35857381564699</v>
      </c>
    </row>
    <row r="62" spans="1:6">
      <c r="A62" s="32">
        <v>43605</v>
      </c>
      <c r="B62" s="1">
        <v>0.33333333333333331</v>
      </c>
      <c r="C62" s="2">
        <v>8326.5</v>
      </c>
      <c r="D62" s="2">
        <v>7</v>
      </c>
      <c r="E62" s="3">
        <f t="shared" si="3"/>
        <v>0.16502837865254003</v>
      </c>
      <c r="F62" s="4">
        <f t="shared" si="4"/>
        <v>736.83289462255902</v>
      </c>
    </row>
    <row r="63" spans="1:6">
      <c r="A63" s="32">
        <v>43615</v>
      </c>
      <c r="B63" s="1">
        <v>0.33333333333333331</v>
      </c>
      <c r="C63" s="2">
        <v>8330.4</v>
      </c>
      <c r="D63" s="2">
        <v>7</v>
      </c>
      <c r="E63" s="3">
        <f t="shared" si="3"/>
        <v>0.16438586722471124</v>
      </c>
      <c r="F63" s="4">
        <f t="shared" si="4"/>
        <v>736.76735845692053</v>
      </c>
    </row>
    <row r="64" spans="1:6">
      <c r="A64" s="32">
        <v>43626</v>
      </c>
      <c r="B64" s="1">
        <v>0.33333333333333331</v>
      </c>
      <c r="C64" s="2">
        <v>8334.1</v>
      </c>
      <c r="D64" s="2">
        <v>7.2</v>
      </c>
      <c r="E64" s="3">
        <f t="shared" si="3"/>
        <v>0.16437854076740924</v>
      </c>
      <c r="F64" s="4">
        <f t="shared" si="4"/>
        <v>736.76661115827574</v>
      </c>
    </row>
    <row r="65" spans="1:6">
      <c r="A65" s="32">
        <v>43636</v>
      </c>
      <c r="B65" s="1">
        <v>0.33333333333333331</v>
      </c>
      <c r="C65" s="2">
        <v>8336.7000000000007</v>
      </c>
      <c r="D65" s="2">
        <v>7.2</v>
      </c>
      <c r="E65" s="3">
        <f t="shared" si="3"/>
        <v>0.16395019501725175</v>
      </c>
      <c r="F65" s="4">
        <f t="shared" si="4"/>
        <v>736.72291989175972</v>
      </c>
    </row>
    <row r="66" spans="1:6">
      <c r="A66" s="7">
        <v>43646</v>
      </c>
      <c r="B66" s="1">
        <v>0.33333333333333331</v>
      </c>
      <c r="C66" s="2">
        <v>8317.1</v>
      </c>
      <c r="D66" s="2">
        <v>7.2</v>
      </c>
      <c r="E66" s="3">
        <f t="shared" si="3"/>
        <v>0.16717921874134681</v>
      </c>
      <c r="F66" s="4">
        <f t="shared" si="4"/>
        <v>737.05228031161732</v>
      </c>
    </row>
    <row r="67" spans="1:6">
      <c r="A67" s="7">
        <v>43656</v>
      </c>
      <c r="B67" s="1">
        <v>0.33333333333333331</v>
      </c>
      <c r="C67" s="2">
        <v>8305.7000000000007</v>
      </c>
      <c r="D67" s="2">
        <v>7.4</v>
      </c>
      <c r="E67" s="3">
        <f t="shared" si="3"/>
        <v>0.16965951685622516</v>
      </c>
      <c r="F67" s="4">
        <f t="shared" si="4"/>
        <v>737.305270719335</v>
      </c>
    </row>
    <row r="68" spans="1:6">
      <c r="A68" s="7">
        <v>43666</v>
      </c>
      <c r="B68" s="1">
        <v>0.33333333333333331</v>
      </c>
      <c r="C68" s="2">
        <v>8296.1</v>
      </c>
      <c r="D68" s="2">
        <v>7.4</v>
      </c>
      <c r="E68" s="3">
        <f t="shared" si="3"/>
        <v>0.17124101321831353</v>
      </c>
      <c r="F68" s="4">
        <f t="shared" si="4"/>
        <v>737.46658334826793</v>
      </c>
    </row>
    <row r="69" spans="1:6">
      <c r="A69" s="7">
        <v>43676</v>
      </c>
      <c r="B69" s="1">
        <v>0.33333333333333331</v>
      </c>
      <c r="C69" s="2">
        <v>8287.2999999999993</v>
      </c>
      <c r="D69" s="2">
        <v>7.6</v>
      </c>
      <c r="E69" s="3">
        <f t="shared" si="3"/>
        <v>0.17329293611893834</v>
      </c>
      <c r="F69" s="4">
        <f t="shared" si="4"/>
        <v>737.67587948413166</v>
      </c>
    </row>
    <row r="70" spans="1:6">
      <c r="A70" s="7">
        <v>43687</v>
      </c>
      <c r="B70" s="1">
        <v>0.33333333333333331</v>
      </c>
      <c r="C70" s="2">
        <v>8279.6</v>
      </c>
      <c r="D70" s="2">
        <v>7.5</v>
      </c>
      <c r="E70" s="3">
        <f t="shared" si="3"/>
        <v>0.17426027261368301</v>
      </c>
      <c r="F70" s="4">
        <f t="shared" si="4"/>
        <v>737.77454780659571</v>
      </c>
    </row>
    <row r="71" spans="1:6">
      <c r="A71" s="7">
        <v>43697</v>
      </c>
      <c r="B71" s="1">
        <v>0.33333333333333331</v>
      </c>
      <c r="C71" s="2">
        <v>8265.1</v>
      </c>
      <c r="D71" s="2">
        <v>7.5</v>
      </c>
      <c r="E71" s="3">
        <f t="shared" si="3"/>
        <v>0.17664888115116059</v>
      </c>
      <c r="F71" s="4">
        <f t="shared" si="4"/>
        <v>738.01818587741843</v>
      </c>
    </row>
    <row r="72" spans="1:6">
      <c r="A72" s="7">
        <v>43707</v>
      </c>
      <c r="B72" s="1">
        <v>0.33333333333333331</v>
      </c>
      <c r="C72" s="2">
        <v>8250.6</v>
      </c>
      <c r="D72" s="2">
        <v>7.7</v>
      </c>
      <c r="E72" s="3">
        <f t="shared" si="3"/>
        <v>0.17963967325927327</v>
      </c>
      <c r="F72" s="4">
        <f t="shared" si="4"/>
        <v>738.32324667244586</v>
      </c>
    </row>
  </sheetData>
  <phoneticPr fontId="4" type="noConversion"/>
  <pageMargins left="0.69930555555555596" right="0.69930555555555596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3"/>
  <sheetViews>
    <sheetView topLeftCell="A37" workbookViewId="0">
      <selection activeCell="A57" sqref="A57:B63"/>
    </sheetView>
  </sheetViews>
  <sheetFormatPr defaultColWidth="9" defaultRowHeight="13.5"/>
  <cols>
    <col min="1" max="1" width="11.75" customWidth="1"/>
    <col min="2" max="2" width="13.875" customWidth="1"/>
  </cols>
  <sheetData>
    <row r="1" spans="1:7">
      <c r="A1" t="s">
        <v>0</v>
      </c>
      <c r="B1">
        <v>11392</v>
      </c>
      <c r="C1" t="s">
        <v>1</v>
      </c>
      <c r="D1">
        <v>735</v>
      </c>
    </row>
    <row r="2" spans="1:7">
      <c r="A2" t="s">
        <v>2</v>
      </c>
      <c r="B2" s="10">
        <v>7.5528200000000002E-10</v>
      </c>
    </row>
    <row r="3" spans="1:7">
      <c r="A3" t="s">
        <v>3</v>
      </c>
      <c r="B3">
        <v>-3.2227200000000002E-4</v>
      </c>
    </row>
    <row r="4" spans="1:7">
      <c r="A4" t="s">
        <v>4</v>
      </c>
      <c r="B4">
        <v>2.69992192</v>
      </c>
    </row>
    <row r="5" spans="1:7">
      <c r="A5" t="s">
        <v>5</v>
      </c>
      <c r="B5">
        <v>-5.4457890000000004E-3</v>
      </c>
    </row>
    <row r="6" spans="1:7">
      <c r="A6" t="s">
        <v>6</v>
      </c>
      <c r="B6" t="s">
        <v>7</v>
      </c>
      <c r="C6" t="s">
        <v>8</v>
      </c>
      <c r="D6" t="s">
        <v>9</v>
      </c>
      <c r="E6" t="s">
        <v>10</v>
      </c>
      <c r="F6" t="s">
        <v>11</v>
      </c>
      <c r="G6" t="s">
        <v>12</v>
      </c>
    </row>
    <row r="7" spans="1:7">
      <c r="A7" s="7">
        <v>42615</v>
      </c>
      <c r="B7" s="1">
        <v>0.70833333333333304</v>
      </c>
      <c r="C7" s="2">
        <v>8477.2999999999993</v>
      </c>
      <c r="D7" s="2">
        <v>15.7</v>
      </c>
      <c r="E7" s="3">
        <f>($B$2*C7^2+$B$3*C7+$B$4)-$B$5*D7</f>
        <v>0.10770243206546183</v>
      </c>
      <c r="G7" t="s">
        <v>13</v>
      </c>
    </row>
    <row r="8" spans="1:7">
      <c r="A8" s="7">
        <v>42616</v>
      </c>
      <c r="B8" s="1">
        <v>0.33333333333333298</v>
      </c>
      <c r="C8" s="2">
        <v>8246.2000000000007</v>
      </c>
      <c r="D8" s="2">
        <v>16.2</v>
      </c>
      <c r="E8" s="3">
        <f t="shared" ref="E8:E45" si="0">($B$2*C8^2+$B$3*C8+$B$4)-$B$5*D8-$E$7</f>
        <v>7.4280939184409964E-2</v>
      </c>
      <c r="F8" s="4">
        <f>$D$1+102*E8</f>
        <v>742.57665579680986</v>
      </c>
      <c r="G8" t="s">
        <v>14</v>
      </c>
    </row>
    <row r="9" spans="1:7">
      <c r="A9" s="7">
        <v>42617</v>
      </c>
      <c r="B9" s="1">
        <v>0.33333333333333298</v>
      </c>
      <c r="C9" s="2">
        <v>8411</v>
      </c>
      <c r="D9" s="2">
        <v>15.3</v>
      </c>
      <c r="E9" s="3">
        <f t="shared" si="0"/>
        <v>1.8342633057259736E-2</v>
      </c>
      <c r="F9" s="4">
        <f t="shared" ref="F9:F45" si="1">$D$1+102*E9</f>
        <v>736.87094857184047</v>
      </c>
    </row>
    <row r="10" spans="1:7">
      <c r="A10" s="7">
        <v>42618</v>
      </c>
      <c r="B10" s="1">
        <v>0.33333333333333298</v>
      </c>
      <c r="C10" s="2">
        <v>8434.5</v>
      </c>
      <c r="D10" s="2">
        <v>15</v>
      </c>
      <c r="E10" s="3">
        <f t="shared" si="0"/>
        <v>9.4344972761384593E-3</v>
      </c>
      <c r="F10" s="4">
        <f t="shared" si="1"/>
        <v>735.96231872216617</v>
      </c>
    </row>
    <row r="11" spans="1:7">
      <c r="A11" s="7">
        <v>42619</v>
      </c>
      <c r="B11" s="1">
        <v>0.33333333333333298</v>
      </c>
      <c r="C11" s="2">
        <v>8436.9</v>
      </c>
      <c r="D11" s="2">
        <v>14.8</v>
      </c>
      <c r="E11" s="3">
        <f t="shared" si="0"/>
        <v>7.6024690715023047E-3</v>
      </c>
      <c r="F11" s="4">
        <f t="shared" si="1"/>
        <v>735.77545184529322</v>
      </c>
    </row>
    <row r="12" spans="1:7">
      <c r="A12" s="7">
        <v>42620</v>
      </c>
      <c r="B12" s="1">
        <v>0.33333333333333298</v>
      </c>
      <c r="C12" s="2">
        <v>8437.1</v>
      </c>
      <c r="D12" s="2">
        <v>14.7</v>
      </c>
      <c r="E12" s="3">
        <f t="shared" si="0"/>
        <v>6.9959846971955619E-3</v>
      </c>
      <c r="F12" s="4">
        <f t="shared" si="1"/>
        <v>735.713590439114</v>
      </c>
    </row>
    <row r="13" spans="1:7">
      <c r="A13" s="7">
        <v>42621</v>
      </c>
      <c r="B13" s="1">
        <v>0.33333333333333298</v>
      </c>
      <c r="C13" s="2">
        <v>8435.1</v>
      </c>
      <c r="D13" s="2">
        <v>14.7</v>
      </c>
      <c r="E13" s="3">
        <f t="shared" si="0"/>
        <v>7.6150421592745821E-3</v>
      </c>
      <c r="F13" s="4">
        <f t="shared" si="1"/>
        <v>735.77673430024606</v>
      </c>
    </row>
    <row r="14" spans="1:7">
      <c r="A14" s="7">
        <v>42622</v>
      </c>
      <c r="B14" s="1">
        <v>0.33333333333333298</v>
      </c>
      <c r="C14" s="2">
        <v>8434.2000000000007</v>
      </c>
      <c r="D14" s="2">
        <v>14.7</v>
      </c>
      <c r="E14" s="3">
        <f t="shared" si="0"/>
        <v>7.8936199884961644E-3</v>
      </c>
      <c r="F14" s="4">
        <f t="shared" si="1"/>
        <v>735.80514923882663</v>
      </c>
    </row>
    <row r="15" spans="1:7">
      <c r="A15" s="7">
        <v>42623</v>
      </c>
      <c r="B15" s="1">
        <v>0.33333333333333331</v>
      </c>
      <c r="C15" s="2">
        <v>8432.2999999999993</v>
      </c>
      <c r="D15" s="2">
        <v>14.6</v>
      </c>
      <c r="E15" s="3">
        <f t="shared" si="0"/>
        <v>7.9371538571759298E-3</v>
      </c>
      <c r="F15" s="4">
        <f t="shared" si="1"/>
        <v>735.80958969343192</v>
      </c>
    </row>
    <row r="16" spans="1:7">
      <c r="A16" s="7">
        <v>42633</v>
      </c>
      <c r="B16" s="1">
        <v>0.33333333333333331</v>
      </c>
      <c r="C16" s="2">
        <v>8426.5</v>
      </c>
      <c r="D16" s="2">
        <v>14.5</v>
      </c>
      <c r="E16" s="3">
        <f t="shared" si="0"/>
        <v>9.1879002977224289E-3</v>
      </c>
      <c r="F16" s="4">
        <f t="shared" si="1"/>
        <v>735.93716583036769</v>
      </c>
    </row>
    <row r="17" spans="1:7">
      <c r="A17" s="7">
        <v>42643</v>
      </c>
      <c r="B17" s="1">
        <v>0.33333333333333331</v>
      </c>
      <c r="C17" s="2">
        <v>8325.6</v>
      </c>
      <c r="D17" s="2">
        <v>12.4</v>
      </c>
      <c r="E17" s="3">
        <f t="shared" si="0"/>
        <v>2.899234493486956E-2</v>
      </c>
      <c r="F17" s="4">
        <f t="shared" si="1"/>
        <v>737.95721918335664</v>
      </c>
    </row>
    <row r="18" spans="1:7">
      <c r="A18" s="7">
        <v>42653</v>
      </c>
      <c r="B18" s="1">
        <v>0.33333333333333331</v>
      </c>
      <c r="C18" s="2">
        <v>8382.1</v>
      </c>
      <c r="D18" s="2">
        <v>12.4</v>
      </c>
      <c r="E18" s="3">
        <f t="shared" si="0"/>
        <v>1.1496951851403522E-2</v>
      </c>
      <c r="F18" s="4">
        <f t="shared" si="1"/>
        <v>736.17268908884319</v>
      </c>
    </row>
    <row r="19" spans="1:7">
      <c r="A19" s="7">
        <v>42855</v>
      </c>
      <c r="B19" s="1">
        <v>0.33333333333333331</v>
      </c>
      <c r="C19" s="2">
        <v>8195.1</v>
      </c>
      <c r="D19" s="2">
        <v>3.1</v>
      </c>
      <c r="E19" s="3">
        <f t="shared" si="0"/>
        <v>1.8774651987338589E-2</v>
      </c>
      <c r="F19" s="4">
        <f t="shared" si="1"/>
        <v>736.91501450270857</v>
      </c>
      <c r="G19" s="2"/>
    </row>
    <row r="20" spans="1:7">
      <c r="A20" s="7">
        <v>42865</v>
      </c>
      <c r="B20" s="1">
        <v>0.33333333333333331</v>
      </c>
      <c r="C20" s="2">
        <v>8171.9</v>
      </c>
      <c r="D20" s="2">
        <v>3.1</v>
      </c>
      <c r="E20" s="3">
        <f t="shared" si="0"/>
        <v>2.5964570935877965E-2</v>
      </c>
      <c r="F20" s="4">
        <f t="shared" si="1"/>
        <v>737.6483862354595</v>
      </c>
      <c r="G20" s="2"/>
    </row>
    <row r="21" spans="1:7">
      <c r="A21" s="7">
        <v>42875</v>
      </c>
      <c r="B21" s="1">
        <v>0.33333333333333331</v>
      </c>
      <c r="C21" s="2">
        <v>8189.2</v>
      </c>
      <c r="D21" s="2">
        <v>3.1</v>
      </c>
      <c r="E21" s="3">
        <f t="shared" si="0"/>
        <v>2.0603045662790545E-2</v>
      </c>
      <c r="F21" s="4">
        <f t="shared" si="1"/>
        <v>737.10151065760465</v>
      </c>
      <c r="G21" s="2"/>
    </row>
    <row r="22" spans="1:7">
      <c r="A22" s="7">
        <v>42885</v>
      </c>
      <c r="B22" s="1">
        <v>0.33333333333333331</v>
      </c>
      <c r="C22" s="14">
        <v>8198.1</v>
      </c>
      <c r="D22" s="15">
        <v>3.1</v>
      </c>
      <c r="E22" s="3">
        <f t="shared" si="0"/>
        <v>1.7844980453985929E-2</v>
      </c>
      <c r="F22" s="4">
        <f t="shared" si="1"/>
        <v>736.82018800630658</v>
      </c>
    </row>
    <row r="23" spans="1:7">
      <c r="A23" s="6">
        <v>42896</v>
      </c>
      <c r="B23" s="1">
        <v>0.33333333333333331</v>
      </c>
      <c r="C23" s="14">
        <v>8197.4</v>
      </c>
      <c r="D23" s="14">
        <v>3.1</v>
      </c>
      <c r="E23" s="3">
        <f t="shared" si="0"/>
        <v>1.8061902595764415E-2</v>
      </c>
      <c r="F23" s="4">
        <f t="shared" si="1"/>
        <v>736.84231406476795</v>
      </c>
    </row>
    <row r="24" spans="1:7">
      <c r="A24" s="6">
        <v>42906</v>
      </c>
      <c r="B24" s="1">
        <v>0.33333333333333331</v>
      </c>
      <c r="C24" s="14">
        <v>8193.9</v>
      </c>
      <c r="D24" s="14">
        <v>3.1</v>
      </c>
      <c r="E24" s="3">
        <f t="shared" si="0"/>
        <v>1.9146524407301427E-2</v>
      </c>
      <c r="F24" s="4">
        <f t="shared" si="1"/>
        <v>736.95294548954473</v>
      </c>
    </row>
    <row r="25" spans="1:7">
      <c r="A25" s="7">
        <v>42916</v>
      </c>
      <c r="B25" s="9">
        <v>0.33333333333333331</v>
      </c>
      <c r="C25" s="14">
        <v>8195.2000000000007</v>
      </c>
      <c r="D25" s="14">
        <v>3.1</v>
      </c>
      <c r="E25" s="3">
        <f t="shared" si="0"/>
        <v>1.8743662717194812E-2</v>
      </c>
      <c r="F25" s="4">
        <f t="shared" si="1"/>
        <v>736.91185359715382</v>
      </c>
    </row>
    <row r="26" spans="1:7">
      <c r="A26" s="7">
        <v>42926</v>
      </c>
      <c r="B26" s="9">
        <v>0.33333333333333331</v>
      </c>
      <c r="C26" s="14">
        <v>8199.2999999999993</v>
      </c>
      <c r="D26" s="14">
        <v>3</v>
      </c>
      <c r="E26" s="3">
        <f t="shared" si="0"/>
        <v>1.6928536747266465E-2</v>
      </c>
      <c r="F26" s="4">
        <f t="shared" si="1"/>
        <v>736.72671074822119</v>
      </c>
    </row>
    <row r="27" spans="1:7">
      <c r="A27" s="7">
        <v>42936</v>
      </c>
      <c r="B27" s="9">
        <v>0.33333333333333331</v>
      </c>
      <c r="C27" s="14">
        <v>8199</v>
      </c>
      <c r="D27" s="14">
        <v>3</v>
      </c>
      <c r="E27" s="3">
        <f t="shared" si="0"/>
        <v>1.702150274501979E-2</v>
      </c>
      <c r="F27" s="4">
        <f t="shared" si="1"/>
        <v>736.73619327999199</v>
      </c>
    </row>
    <row r="28" spans="1:7">
      <c r="A28" s="7">
        <v>42946</v>
      </c>
      <c r="B28" s="9">
        <v>0.33333333333333331</v>
      </c>
      <c r="C28" s="14">
        <v>8201.7000000000007</v>
      </c>
      <c r="D28" s="14">
        <v>3</v>
      </c>
      <c r="E28" s="3">
        <f t="shared" si="0"/>
        <v>1.6184813659463115E-2</v>
      </c>
      <c r="F28" s="4">
        <f t="shared" si="1"/>
        <v>736.65085099326529</v>
      </c>
    </row>
    <row r="29" spans="1:7">
      <c r="A29" s="7">
        <v>42957</v>
      </c>
      <c r="B29" s="1">
        <v>0.33333333333333331</v>
      </c>
      <c r="C29" s="14">
        <v>8199.1</v>
      </c>
      <c r="D29" s="14">
        <v>3.1</v>
      </c>
      <c r="E29" s="3">
        <f t="shared" si="0"/>
        <v>1.7535092963996315E-2</v>
      </c>
      <c r="F29" s="4">
        <f t="shared" si="1"/>
        <v>736.78857948232758</v>
      </c>
    </row>
    <row r="30" spans="1:7">
      <c r="A30" s="7">
        <v>42967</v>
      </c>
      <c r="B30" s="1">
        <v>0.33333333333333331</v>
      </c>
      <c r="C30" s="14">
        <v>8198</v>
      </c>
      <c r="D30" s="14">
        <v>3.1</v>
      </c>
      <c r="E30" s="3">
        <f t="shared" si="0"/>
        <v>1.7875969286065899E-2</v>
      </c>
      <c r="F30" s="4">
        <f t="shared" si="1"/>
        <v>736.82334886717877</v>
      </c>
    </row>
    <row r="31" spans="1:7">
      <c r="A31" s="7">
        <v>42977</v>
      </c>
      <c r="B31" s="1">
        <v>0.33333333333333331</v>
      </c>
      <c r="C31" s="14">
        <v>8203</v>
      </c>
      <c r="D31" s="14">
        <v>3.2</v>
      </c>
      <c r="E31" s="3">
        <f t="shared" si="0"/>
        <v>1.6871125086475633E-2</v>
      </c>
      <c r="F31" s="4">
        <f t="shared" si="1"/>
        <v>736.72085475882056</v>
      </c>
    </row>
    <row r="32" spans="1:7">
      <c r="A32" s="7">
        <v>42988</v>
      </c>
      <c r="B32" s="1">
        <v>0.33333333333333331</v>
      </c>
      <c r="C32" s="14">
        <v>8205.1</v>
      </c>
      <c r="D32" s="14">
        <v>4.3</v>
      </c>
      <c r="E32" s="3">
        <f t="shared" si="0"/>
        <v>2.2210746545902452E-2</v>
      </c>
      <c r="F32" s="4">
        <f t="shared" si="1"/>
        <v>737.26549614768203</v>
      </c>
    </row>
    <row r="33" spans="1:6">
      <c r="A33" s="7">
        <v>42998</v>
      </c>
      <c r="B33" s="1">
        <v>0.33333333333333331</v>
      </c>
      <c r="C33" s="14">
        <v>8211.2000000000007</v>
      </c>
      <c r="D33" s="14">
        <v>3.7</v>
      </c>
      <c r="E33" s="3">
        <f t="shared" si="0"/>
        <v>1.7053047454871753E-2</v>
      </c>
      <c r="F33" s="4">
        <f t="shared" si="1"/>
        <v>736.73941084039689</v>
      </c>
    </row>
    <row r="34" spans="1:6">
      <c r="A34" s="7">
        <v>43008</v>
      </c>
      <c r="B34" s="1">
        <v>0.33333333333333331</v>
      </c>
      <c r="C34" s="14">
        <v>8215.1</v>
      </c>
      <c r="D34" s="14">
        <v>3.8</v>
      </c>
      <c r="E34" s="3">
        <f t="shared" si="0"/>
        <v>1.6389150860866605E-2</v>
      </c>
      <c r="F34" s="4">
        <f t="shared" si="1"/>
        <v>736.67169338780843</v>
      </c>
    </row>
    <row r="35" spans="1:6">
      <c r="A35" s="7">
        <v>43018</v>
      </c>
      <c r="B35" s="1">
        <v>0.33333333333333331</v>
      </c>
      <c r="C35" s="14">
        <v>8217.2000000000007</v>
      </c>
      <c r="D35" s="14">
        <v>4</v>
      </c>
      <c r="E35" s="3">
        <f t="shared" si="0"/>
        <v>1.6827600603724527E-2</v>
      </c>
      <c r="F35" s="4">
        <f t="shared" si="1"/>
        <v>736.71641526157987</v>
      </c>
    </row>
    <row r="36" spans="1:6">
      <c r="A36" s="7">
        <v>43230</v>
      </c>
      <c r="B36" s="1">
        <v>0.33333333333333331</v>
      </c>
      <c r="C36" s="14">
        <v>8303.4</v>
      </c>
      <c r="D36" s="14">
        <v>9</v>
      </c>
      <c r="E36" s="3">
        <f t="shared" si="0"/>
        <v>1.7352277961678167E-2</v>
      </c>
      <c r="F36" s="4">
        <f t="shared" si="1"/>
        <v>736.76993235209113</v>
      </c>
    </row>
    <row r="37" spans="1:6">
      <c r="A37" s="7">
        <v>43240</v>
      </c>
      <c r="B37" s="1">
        <v>0.33333333333333331</v>
      </c>
      <c r="C37" s="14">
        <v>8302.2999999999993</v>
      </c>
      <c r="D37" s="14">
        <v>9.6</v>
      </c>
      <c r="E37" s="3">
        <f t="shared" si="0"/>
        <v>2.0960454376739893E-2</v>
      </c>
      <c r="F37" s="4">
        <f t="shared" si="1"/>
        <v>737.13796634642745</v>
      </c>
    </row>
    <row r="38" spans="1:6">
      <c r="A38" s="7">
        <v>43250</v>
      </c>
      <c r="B38" s="1">
        <v>0.33333333333333331</v>
      </c>
      <c r="C38" s="14">
        <v>8299.7999999999993</v>
      </c>
      <c r="D38" s="14">
        <v>8.6999999999999993</v>
      </c>
      <c r="E38" s="3">
        <f t="shared" si="0"/>
        <v>1.6833576108509787E-2</v>
      </c>
      <c r="F38" s="4">
        <f t="shared" si="1"/>
        <v>736.71702476306803</v>
      </c>
    </row>
    <row r="39" spans="1:6">
      <c r="A39" s="7">
        <v>43261</v>
      </c>
      <c r="B39" s="1">
        <v>0.33333333333333331</v>
      </c>
      <c r="C39" s="14">
        <v>8288.7999999999993</v>
      </c>
      <c r="D39" s="14">
        <v>8.8000000000000007</v>
      </c>
      <c r="E39" s="3">
        <f t="shared" si="0"/>
        <v>2.0785327227671999E-2</v>
      </c>
      <c r="F39" s="4">
        <f t="shared" si="1"/>
        <v>737.12010337722256</v>
      </c>
    </row>
    <row r="40" spans="1:6">
      <c r="A40" s="7">
        <v>43271</v>
      </c>
      <c r="B40" s="1">
        <v>0.33333333333333331</v>
      </c>
      <c r="C40" s="14">
        <v>8259.7000000000007</v>
      </c>
      <c r="D40" s="14">
        <v>8.4</v>
      </c>
      <c r="E40" s="3">
        <f t="shared" si="0"/>
        <v>2.762141220812088E-2</v>
      </c>
      <c r="F40" s="4">
        <f t="shared" si="1"/>
        <v>737.81738404522832</v>
      </c>
    </row>
    <row r="41" spans="1:6">
      <c r="A41" s="7">
        <v>43281</v>
      </c>
      <c r="B41" s="1">
        <v>0.33333333333333331</v>
      </c>
      <c r="C41" s="14">
        <v>8262.4</v>
      </c>
      <c r="D41" s="14">
        <v>8.6</v>
      </c>
      <c r="E41" s="3">
        <f t="shared" si="0"/>
        <v>2.7874128488898295E-2</v>
      </c>
      <c r="F41" s="4">
        <f t="shared" si="1"/>
        <v>737.84316110586758</v>
      </c>
    </row>
    <row r="42" spans="1:6">
      <c r="A42" s="7">
        <v>43291</v>
      </c>
      <c r="B42" s="1">
        <v>0.33333333333333331</v>
      </c>
      <c r="C42" s="14">
        <v>8278.9</v>
      </c>
      <c r="D42" s="14">
        <v>8.5</v>
      </c>
      <c r="E42" s="3">
        <f t="shared" si="0"/>
        <v>2.2218201800317403E-2</v>
      </c>
      <c r="F42" s="4">
        <f t="shared" si="1"/>
        <v>737.26625658363241</v>
      </c>
    </row>
    <row r="43" spans="1:6">
      <c r="A43" s="7">
        <v>43301</v>
      </c>
      <c r="B43" s="1">
        <v>0.33333333333333331</v>
      </c>
      <c r="C43" s="14">
        <v>8282.7000000000007</v>
      </c>
      <c r="D43" s="14">
        <v>8.9</v>
      </c>
      <c r="E43" s="3">
        <f t="shared" si="0"/>
        <v>2.3219416778127486E-2</v>
      </c>
      <c r="F43" s="4">
        <f t="shared" si="1"/>
        <v>737.36838051136897</v>
      </c>
    </row>
    <row r="44" spans="1:6">
      <c r="A44" s="7">
        <v>43311</v>
      </c>
      <c r="B44" s="1">
        <v>0.33333333333333331</v>
      </c>
      <c r="C44" s="14">
        <v>8282.7000000000007</v>
      </c>
      <c r="D44" s="14">
        <v>8.5</v>
      </c>
      <c r="E44" s="3">
        <f t="shared" si="0"/>
        <v>2.1041101178127505E-2</v>
      </c>
      <c r="F44" s="4">
        <f t="shared" si="1"/>
        <v>737.14619232016901</v>
      </c>
    </row>
    <row r="45" spans="1:6">
      <c r="A45" s="7">
        <v>43322</v>
      </c>
      <c r="B45" s="1">
        <v>0.33333333333333331</v>
      </c>
      <c r="C45" s="14">
        <v>8271</v>
      </c>
      <c r="D45" s="14">
        <v>7.4</v>
      </c>
      <c r="E45" s="3">
        <f t="shared" si="0"/>
        <v>1.8675033951899886E-2</v>
      </c>
      <c r="F45" s="4">
        <f t="shared" si="1"/>
        <v>736.90485346309379</v>
      </c>
    </row>
    <row r="46" spans="1:6">
      <c r="A46" s="7">
        <v>43332</v>
      </c>
      <c r="B46" s="1">
        <v>0.33333333333333331</v>
      </c>
      <c r="C46" s="14">
        <v>8278.2000000000007</v>
      </c>
      <c r="D46">
        <v>8.4</v>
      </c>
      <c r="E46" s="3">
        <f t="shared" ref="E46:E63" si="2">($B$2*C46^2+$B$3*C46+$B$4)-$B$5*D46-$E$7</f>
        <v>2.1890459604595694E-2</v>
      </c>
      <c r="F46" s="4">
        <f t="shared" ref="F46:F63" si="3">$D$1+102*E46</f>
        <v>737.23282687966878</v>
      </c>
    </row>
    <row r="47" spans="1:6">
      <c r="A47" s="7">
        <v>43342</v>
      </c>
      <c r="B47" s="1">
        <v>0.33333333333333331</v>
      </c>
      <c r="C47" s="14">
        <v>8256.7000000000007</v>
      </c>
      <c r="D47" s="14">
        <v>8.4</v>
      </c>
      <c r="E47" s="3">
        <f t="shared" si="2"/>
        <v>2.8550804589246873E-2</v>
      </c>
      <c r="F47" s="4">
        <f t="shared" si="3"/>
        <v>737.91218206810322</v>
      </c>
    </row>
    <row r="48" spans="1:6">
      <c r="A48" s="7">
        <v>43353</v>
      </c>
      <c r="B48" s="1">
        <v>0.33333333333333331</v>
      </c>
      <c r="C48" s="14">
        <v>8249.6</v>
      </c>
      <c r="D48" s="14">
        <v>8.4</v>
      </c>
      <c r="E48" s="3">
        <f t="shared" si="2"/>
        <v>3.0750420719182894E-2</v>
      </c>
      <c r="F48" s="4">
        <f t="shared" si="3"/>
        <v>738.13654291335661</v>
      </c>
    </row>
    <row r="49" spans="1:6">
      <c r="A49" s="7">
        <v>43363</v>
      </c>
      <c r="B49" s="1">
        <v>0.33333333333333331</v>
      </c>
      <c r="C49" s="14">
        <v>8261.2999999999993</v>
      </c>
      <c r="D49" s="14">
        <v>8.1</v>
      </c>
      <c r="E49" s="3">
        <f t="shared" si="2"/>
        <v>2.5492005130396969E-2</v>
      </c>
      <c r="F49" s="4">
        <f t="shared" si="3"/>
        <v>737.60018452330053</v>
      </c>
    </row>
    <row r="50" spans="1:6">
      <c r="A50" s="7">
        <v>43373</v>
      </c>
      <c r="B50" s="1">
        <v>0.33333333333333331</v>
      </c>
      <c r="C50" s="14">
        <v>8283.1</v>
      </c>
      <c r="D50" s="14">
        <v>8</v>
      </c>
      <c r="E50" s="3">
        <f t="shared" si="2"/>
        <v>1.8194302618349908E-2</v>
      </c>
      <c r="F50" s="4">
        <f t="shared" si="3"/>
        <v>736.85581886707166</v>
      </c>
    </row>
    <row r="51" spans="1:6">
      <c r="A51" s="7">
        <v>43383</v>
      </c>
      <c r="B51" s="1">
        <v>0.33333333333333331</v>
      </c>
      <c r="C51" s="14">
        <v>8285.2999999999993</v>
      </c>
      <c r="D51" s="14">
        <v>8</v>
      </c>
      <c r="E51" s="3">
        <f t="shared" si="2"/>
        <v>1.7512834609785408E-2</v>
      </c>
      <c r="F51" s="4">
        <f t="shared" si="3"/>
        <v>736.78630913019811</v>
      </c>
    </row>
    <row r="52" spans="1:6">
      <c r="A52" s="7">
        <v>43393</v>
      </c>
      <c r="B52" s="1">
        <v>0.33333333333333331</v>
      </c>
      <c r="C52" s="14">
        <v>8289.4</v>
      </c>
      <c r="D52" s="14">
        <v>7.9</v>
      </c>
      <c r="E52" s="3">
        <f t="shared" si="2"/>
        <v>1.5698266657303991E-2</v>
      </c>
      <c r="F52" s="4">
        <f t="shared" si="3"/>
        <v>736.60122319904497</v>
      </c>
    </row>
    <row r="53" spans="1:6">
      <c r="A53" s="32">
        <v>43605</v>
      </c>
      <c r="B53" s="1">
        <v>0.33333333333333331</v>
      </c>
      <c r="C53" s="14">
        <v>8301.2000000000007</v>
      </c>
      <c r="D53" s="14">
        <v>7.5</v>
      </c>
      <c r="E53" s="3">
        <f t="shared" si="2"/>
        <v>9.8650023195835518E-3</v>
      </c>
      <c r="F53" s="4">
        <f t="shared" si="3"/>
        <v>736.0062302365975</v>
      </c>
    </row>
    <row r="54" spans="1:6">
      <c r="A54" s="32">
        <v>43615</v>
      </c>
      <c r="B54" s="1">
        <v>0.33333333333333331</v>
      </c>
      <c r="C54" s="14">
        <v>8303.7000000000007</v>
      </c>
      <c r="D54" s="14">
        <v>7.5</v>
      </c>
      <c r="E54" s="3">
        <f t="shared" si="2"/>
        <v>9.0906757747880734E-3</v>
      </c>
      <c r="F54" s="4">
        <f t="shared" si="3"/>
        <v>735.92724892902834</v>
      </c>
    </row>
    <row r="55" spans="1:6">
      <c r="A55" s="32">
        <v>43626</v>
      </c>
      <c r="B55" s="1">
        <v>0.33333333333333331</v>
      </c>
      <c r="C55" s="14">
        <v>8306.5</v>
      </c>
      <c r="D55" s="14">
        <v>7.6</v>
      </c>
      <c r="E55" s="3">
        <f t="shared" si="2"/>
        <v>8.7680201530025703E-3</v>
      </c>
      <c r="F55" s="4">
        <f t="shared" si="3"/>
        <v>735.89433805560623</v>
      </c>
    </row>
    <row r="56" spans="1:6">
      <c r="A56" s="32">
        <v>43636</v>
      </c>
      <c r="B56" s="1">
        <v>0.33333333333333331</v>
      </c>
      <c r="C56" s="14">
        <v>8309.1</v>
      </c>
      <c r="D56" s="14">
        <v>7.8</v>
      </c>
      <c r="E56" s="3">
        <f t="shared" si="2"/>
        <v>9.0518993583599411E-3</v>
      </c>
      <c r="F56" s="4">
        <f t="shared" si="3"/>
        <v>735.92329373455266</v>
      </c>
    </row>
    <row r="57" spans="1:6">
      <c r="A57" s="7">
        <v>43646</v>
      </c>
      <c r="B57" s="1">
        <v>0.33333333333333331</v>
      </c>
      <c r="C57" s="14">
        <v>8300.5</v>
      </c>
      <c r="D57" s="14">
        <v>7.6</v>
      </c>
      <c r="E57" s="3">
        <f t="shared" si="2"/>
        <v>1.0626394343958484E-2</v>
      </c>
      <c r="F57" s="4">
        <f t="shared" si="3"/>
        <v>736.08389222308381</v>
      </c>
    </row>
    <row r="58" spans="1:6">
      <c r="A58" s="7">
        <v>43656</v>
      </c>
      <c r="B58" s="1">
        <v>0.33333333333333331</v>
      </c>
      <c r="C58" s="14">
        <v>8291.6</v>
      </c>
      <c r="D58" s="14">
        <v>7.6</v>
      </c>
      <c r="E58" s="3">
        <f t="shared" si="2"/>
        <v>1.3383082885155634E-2</v>
      </c>
      <c r="F58" s="4">
        <f t="shared" si="3"/>
        <v>736.36507445428583</v>
      </c>
    </row>
    <row r="59" spans="1:6">
      <c r="A59" s="7">
        <v>43666</v>
      </c>
      <c r="B59" s="1">
        <v>0.33333333333333331</v>
      </c>
      <c r="C59" s="14">
        <v>8287.2999999999993</v>
      </c>
      <c r="D59" s="14">
        <v>7.4</v>
      </c>
      <c r="E59" s="3">
        <f t="shared" si="2"/>
        <v>1.3625851182732004E-2</v>
      </c>
      <c r="F59" s="4">
        <f t="shared" si="3"/>
        <v>736.38983682063872</v>
      </c>
    </row>
    <row r="60" spans="1:6">
      <c r="A60" s="7">
        <v>43676</v>
      </c>
      <c r="B60" s="1">
        <v>0.33333333333333331</v>
      </c>
      <c r="C60" s="14">
        <v>8271.4</v>
      </c>
      <c r="D60" s="14">
        <v>7.4</v>
      </c>
      <c r="E60" s="3">
        <f t="shared" si="2"/>
        <v>1.8551122822682606E-2</v>
      </c>
      <c r="F60" s="4">
        <f t="shared" si="3"/>
        <v>736.89221452791367</v>
      </c>
    </row>
    <row r="61" spans="1:6">
      <c r="A61" s="7">
        <v>43687</v>
      </c>
      <c r="B61" s="1">
        <v>0.33333333333333331</v>
      </c>
      <c r="C61" s="14">
        <v>8257.6</v>
      </c>
      <c r="D61" s="14">
        <v>7.5</v>
      </c>
      <c r="E61" s="3">
        <f t="shared" si="2"/>
        <v>2.3370775347426057E-2</v>
      </c>
      <c r="F61" s="4">
        <f t="shared" si="3"/>
        <v>737.38381908543749</v>
      </c>
    </row>
    <row r="62" spans="1:6">
      <c r="A62" s="7">
        <v>43697</v>
      </c>
      <c r="B62" s="1">
        <v>0.33333333333333331</v>
      </c>
      <c r="C62" s="14">
        <v>8245.2999999999993</v>
      </c>
      <c r="D62" s="14">
        <v>7.3</v>
      </c>
      <c r="E62" s="3">
        <f t="shared" si="2"/>
        <v>2.6092251724617363E-2</v>
      </c>
      <c r="F62" s="4">
        <f t="shared" si="3"/>
        <v>737.66140967591093</v>
      </c>
    </row>
    <row r="63" spans="1:6">
      <c r="A63" s="7">
        <v>43707</v>
      </c>
      <c r="B63" s="1">
        <v>0.33333333333333331</v>
      </c>
      <c r="C63" s="14">
        <v>8231.5</v>
      </c>
      <c r="D63" s="14">
        <v>7.3</v>
      </c>
      <c r="E63" s="3">
        <f t="shared" si="2"/>
        <v>3.0367869424302349E-2</v>
      </c>
      <c r="F63" s="4">
        <f t="shared" si="3"/>
        <v>738.09752268127886</v>
      </c>
    </row>
  </sheetData>
  <phoneticPr fontId="4" type="noConversion"/>
  <pageMargins left="0.69930555555555596" right="0.69930555555555596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3"/>
  <sheetViews>
    <sheetView workbookViewId="0">
      <selection activeCell="Q32" sqref="Q32"/>
    </sheetView>
  </sheetViews>
  <sheetFormatPr defaultColWidth="9" defaultRowHeight="13.5"/>
  <cols>
    <col min="1" max="1" width="12" customWidth="1"/>
    <col min="2" max="2" width="13.875" customWidth="1"/>
  </cols>
  <sheetData>
    <row r="1" spans="1:7">
      <c r="A1" t="s">
        <v>0</v>
      </c>
      <c r="B1">
        <v>11386</v>
      </c>
      <c r="C1" t="s">
        <v>1</v>
      </c>
      <c r="D1">
        <v>729</v>
      </c>
    </row>
    <row r="2" spans="1:7">
      <c r="A2" t="s">
        <v>2</v>
      </c>
      <c r="B2" s="10">
        <v>-3.5577E-10</v>
      </c>
    </row>
    <row r="3" spans="1:7">
      <c r="A3" t="s">
        <v>3</v>
      </c>
      <c r="B3">
        <v>-2.36784E-4</v>
      </c>
    </row>
    <row r="4" spans="1:7">
      <c r="A4" t="s">
        <v>4</v>
      </c>
      <c r="B4">
        <v>2.2035374000000001</v>
      </c>
    </row>
    <row r="5" spans="1:7">
      <c r="A5" t="s">
        <v>5</v>
      </c>
      <c r="B5">
        <v>-4.3638979999999997E-3</v>
      </c>
    </row>
    <row r="6" spans="1:7">
      <c r="A6" t="s">
        <v>6</v>
      </c>
      <c r="B6" t="s">
        <v>7</v>
      </c>
      <c r="C6" t="s">
        <v>8</v>
      </c>
      <c r="D6" t="s">
        <v>9</v>
      </c>
      <c r="E6" t="s">
        <v>10</v>
      </c>
      <c r="F6" t="s">
        <v>11</v>
      </c>
      <c r="G6" t="s">
        <v>12</v>
      </c>
    </row>
    <row r="7" spans="1:7">
      <c r="A7" s="7">
        <v>42615</v>
      </c>
      <c r="B7" s="1">
        <v>0.70833333333333304</v>
      </c>
      <c r="C7" s="2">
        <v>9051.2000000000007</v>
      </c>
      <c r="D7" s="2">
        <v>15</v>
      </c>
      <c r="E7" s="3">
        <f>($B$2*C7^2+$B$3*C7+$B$4)-$B$5*D7</f>
        <v>9.6670348938290906E-2</v>
      </c>
      <c r="G7" t="s">
        <v>13</v>
      </c>
    </row>
    <row r="8" spans="1:7">
      <c r="A8" s="7">
        <v>42616</v>
      </c>
      <c r="B8" s="1">
        <v>0.33333333333333298</v>
      </c>
      <c r="C8" s="2">
        <v>8700.2999999999993</v>
      </c>
      <c r="D8" s="2">
        <v>16.100000000000001</v>
      </c>
      <c r="E8" s="3">
        <f t="shared" ref="E8:E36" si="0">($B$2*C8^2+$B$3*C8+$B$4)-$B$5*D8-$E$7</f>
        <v>9.010388521029028E-2</v>
      </c>
      <c r="F8" s="4">
        <f>$D$1+102*E8</f>
        <v>738.19059629144965</v>
      </c>
      <c r="G8" t="s">
        <v>14</v>
      </c>
    </row>
    <row r="9" spans="1:7">
      <c r="A9" s="7">
        <v>42617</v>
      </c>
      <c r="B9" s="1">
        <v>0.33333333333333298</v>
      </c>
      <c r="C9" s="2">
        <v>8834.7000000000007</v>
      </c>
      <c r="D9" s="2">
        <v>15.7</v>
      </c>
      <c r="E9" s="3">
        <f t="shared" si="0"/>
        <v>5.5696111828209993E-2</v>
      </c>
      <c r="F9" s="4">
        <f t="shared" ref="F9:F45" si="1">$D$1+102*E9</f>
        <v>734.68100340647743</v>
      </c>
    </row>
    <row r="10" spans="1:7">
      <c r="A10" s="7">
        <v>42618</v>
      </c>
      <c r="B10" s="1">
        <v>0.33333333333333298</v>
      </c>
      <c r="C10" s="2">
        <v>8831.2999999999993</v>
      </c>
      <c r="D10" s="2">
        <v>15.3</v>
      </c>
      <c r="E10" s="3">
        <f t="shared" si="0"/>
        <v>5.477698733979805E-2</v>
      </c>
      <c r="F10" s="4">
        <f t="shared" si="1"/>
        <v>734.58725270865943</v>
      </c>
    </row>
    <row r="11" spans="1:7">
      <c r="A11" s="7">
        <v>42619</v>
      </c>
      <c r="B11" s="1">
        <v>0.33333333333333298</v>
      </c>
      <c r="C11" s="2">
        <v>8827.4</v>
      </c>
      <c r="D11" s="2">
        <v>15.2</v>
      </c>
      <c r="E11" s="3">
        <f t="shared" si="0"/>
        <v>5.5288556639023878E-2</v>
      </c>
      <c r="F11" s="4">
        <f t="shared" si="1"/>
        <v>734.63943277718045</v>
      </c>
    </row>
    <row r="12" spans="1:7">
      <c r="A12" s="7">
        <v>42620</v>
      </c>
      <c r="B12" s="1">
        <v>0.33333333333333298</v>
      </c>
      <c r="C12" s="2">
        <v>8825.6</v>
      </c>
      <c r="D12" s="2">
        <v>15</v>
      </c>
      <c r="E12" s="3">
        <f t="shared" si="0"/>
        <v>5.4853292973081835E-2</v>
      </c>
      <c r="F12" s="4">
        <f t="shared" si="1"/>
        <v>734.59503588325435</v>
      </c>
    </row>
    <row r="13" spans="1:7">
      <c r="A13" s="7">
        <v>42621</v>
      </c>
      <c r="B13" s="1">
        <v>0.33333333333333298</v>
      </c>
      <c r="C13" s="2">
        <v>8819</v>
      </c>
      <c r="D13" s="2">
        <v>14.8</v>
      </c>
      <c r="E13" s="3">
        <f t="shared" si="0"/>
        <v>5.5584718740738892E-2</v>
      </c>
      <c r="F13" s="4">
        <f t="shared" si="1"/>
        <v>734.66964131155532</v>
      </c>
    </row>
    <row r="14" spans="1:7">
      <c r="A14" s="7">
        <v>42622</v>
      </c>
      <c r="B14" s="1">
        <v>0.33333333333333298</v>
      </c>
      <c r="C14" s="2">
        <v>8815.7000000000007</v>
      </c>
      <c r="D14" s="2">
        <v>14.8</v>
      </c>
      <c r="E14" s="3">
        <f t="shared" si="0"/>
        <v>5.6386809801561522E-2</v>
      </c>
      <c r="F14" s="4">
        <f t="shared" si="1"/>
        <v>734.75145459975931</v>
      </c>
    </row>
    <row r="15" spans="1:7">
      <c r="A15" s="7">
        <v>42623</v>
      </c>
      <c r="B15" s="1">
        <v>0.33333333333333331</v>
      </c>
      <c r="C15" s="2">
        <v>8813.9</v>
      </c>
      <c r="D15" s="2">
        <v>14.7</v>
      </c>
      <c r="E15" s="3">
        <f t="shared" si="0"/>
        <v>5.6387920950587561E-2</v>
      </c>
      <c r="F15" s="4">
        <f t="shared" si="1"/>
        <v>734.75156793695999</v>
      </c>
    </row>
    <row r="16" spans="1:7">
      <c r="A16" s="7">
        <v>42633</v>
      </c>
      <c r="B16" s="1">
        <v>0.33333333333333331</v>
      </c>
      <c r="C16" s="2">
        <v>8792.5</v>
      </c>
      <c r="D16" s="2">
        <v>13.8</v>
      </c>
      <c r="E16" s="3">
        <f t="shared" si="0"/>
        <v>5.766163628964685E-2</v>
      </c>
      <c r="F16" s="4">
        <f t="shared" si="1"/>
        <v>734.88148690154401</v>
      </c>
    </row>
    <row r="17" spans="1:7">
      <c r="A17" s="7">
        <v>42643</v>
      </c>
      <c r="B17" s="1">
        <v>0.33333333333333331</v>
      </c>
      <c r="C17" s="2">
        <v>8675.9</v>
      </c>
      <c r="D17" s="2">
        <v>12.3</v>
      </c>
      <c r="E17" s="3">
        <f t="shared" si="0"/>
        <v>7.9449441518735758E-2</v>
      </c>
      <c r="F17" s="4">
        <f t="shared" si="1"/>
        <v>737.10384303491105</v>
      </c>
    </row>
    <row r="18" spans="1:7">
      <c r="A18" s="7">
        <v>42653</v>
      </c>
      <c r="B18" s="1">
        <v>0.33333333333333331</v>
      </c>
      <c r="C18" s="2">
        <v>8740.2999999999993</v>
      </c>
      <c r="D18" s="2">
        <v>11.8</v>
      </c>
      <c r="E18" s="3">
        <f t="shared" si="0"/>
        <v>6.1619570119810091E-2</v>
      </c>
      <c r="F18" s="4">
        <f t="shared" si="1"/>
        <v>735.28519615222058</v>
      </c>
    </row>
    <row r="19" spans="1:7">
      <c r="A19" s="7">
        <v>42855</v>
      </c>
      <c r="B19" s="1">
        <v>0.33333333333333331</v>
      </c>
      <c r="C19" s="2">
        <v>8588.6</v>
      </c>
      <c r="D19" s="2">
        <v>5.6</v>
      </c>
      <c r="E19" s="3">
        <f t="shared" si="0"/>
        <v>7.1418781407439902E-2</v>
      </c>
      <c r="F19" s="4">
        <f t="shared" si="1"/>
        <v>736.28471570355885</v>
      </c>
      <c r="G19" s="2"/>
    </row>
    <row r="20" spans="1:7">
      <c r="A20" s="7">
        <v>42865</v>
      </c>
      <c r="B20" s="1">
        <v>0.33333333333333331</v>
      </c>
      <c r="C20" s="2">
        <v>8557.5</v>
      </c>
      <c r="D20" s="2">
        <v>5.6</v>
      </c>
      <c r="E20" s="3">
        <f t="shared" si="0"/>
        <v>7.8972475922146679E-2</v>
      </c>
      <c r="F20" s="4">
        <f t="shared" si="1"/>
        <v>737.05519254405897</v>
      </c>
      <c r="G20" s="2"/>
    </row>
    <row r="21" spans="1:7">
      <c r="A21" s="7">
        <v>42875</v>
      </c>
      <c r="B21" s="1">
        <v>0.33333333333333331</v>
      </c>
      <c r="C21" s="2">
        <v>8578.2999999999993</v>
      </c>
      <c r="D21" s="2">
        <v>5.4</v>
      </c>
      <c r="E21" s="3">
        <f t="shared" si="0"/>
        <v>7.3047783927974091E-2</v>
      </c>
      <c r="F21" s="4">
        <f t="shared" si="1"/>
        <v>736.45087396065333</v>
      </c>
      <c r="G21" s="2"/>
    </row>
    <row r="22" spans="1:7">
      <c r="A22" s="7">
        <v>42885</v>
      </c>
      <c r="B22" s="1">
        <v>0.33333333333333331</v>
      </c>
      <c r="C22" s="14">
        <v>8588.4</v>
      </c>
      <c r="D22" s="15">
        <v>5.4</v>
      </c>
      <c r="E22" s="3">
        <f t="shared" si="0"/>
        <v>7.0594580819698077E-2</v>
      </c>
      <c r="F22" s="4">
        <f t="shared" si="1"/>
        <v>736.20064724360918</v>
      </c>
    </row>
    <row r="23" spans="1:7">
      <c r="A23" s="6">
        <v>42896</v>
      </c>
      <c r="B23" s="1">
        <v>0.33333333333333331</v>
      </c>
      <c r="C23" s="14">
        <v>8585.2999999999993</v>
      </c>
      <c r="D23" s="14">
        <v>5.3</v>
      </c>
      <c r="E23" s="3">
        <f t="shared" si="0"/>
        <v>7.0911162070169981E-2</v>
      </c>
      <c r="F23" s="4">
        <f t="shared" si="1"/>
        <v>736.23293853115729</v>
      </c>
    </row>
    <row r="24" spans="1:7">
      <c r="A24" s="6">
        <v>42906</v>
      </c>
      <c r="B24" s="1">
        <v>0.33333333333333331</v>
      </c>
      <c r="C24" s="14">
        <v>8579.2999999999993</v>
      </c>
      <c r="D24" s="14">
        <v>5.2</v>
      </c>
      <c r="E24" s="3">
        <f t="shared" si="0"/>
        <v>7.193211616862219E-2</v>
      </c>
      <c r="F24" s="4">
        <f t="shared" si="1"/>
        <v>736.33707584919944</v>
      </c>
    </row>
    <row r="25" spans="1:7">
      <c r="A25" s="7">
        <v>42916</v>
      </c>
      <c r="B25" s="9">
        <v>0.33333333333333331</v>
      </c>
      <c r="C25" s="14">
        <v>8580.1</v>
      </c>
      <c r="D25" s="14">
        <v>5.2</v>
      </c>
      <c r="E25" s="3">
        <f t="shared" si="0"/>
        <v>7.173780512883135E-2</v>
      </c>
      <c r="F25" s="4">
        <f t="shared" si="1"/>
        <v>736.31725612314085</v>
      </c>
    </row>
    <row r="26" spans="1:7">
      <c r="A26" s="7">
        <v>42926</v>
      </c>
      <c r="B26" s="9">
        <v>0.33333333333333331</v>
      </c>
      <c r="C26" s="14">
        <v>8585.6</v>
      </c>
      <c r="D26" s="14">
        <v>5.2</v>
      </c>
      <c r="E26" s="3">
        <f t="shared" si="0"/>
        <v>7.0401904402841914E-2</v>
      </c>
      <c r="F26" s="4">
        <f t="shared" si="1"/>
        <v>736.18099424908985</v>
      </c>
    </row>
    <row r="27" spans="1:7">
      <c r="A27" s="7">
        <v>42936</v>
      </c>
      <c r="B27" s="9">
        <v>0.33333333333333331</v>
      </c>
      <c r="C27" s="14">
        <v>8584.2000000000007</v>
      </c>
      <c r="D27" s="14">
        <v>5.0999999999999996</v>
      </c>
      <c r="E27" s="3">
        <f t="shared" si="0"/>
        <v>7.030556410248584E-2</v>
      </c>
      <c r="F27" s="4">
        <f t="shared" si="1"/>
        <v>736.17116753845357</v>
      </c>
    </row>
    <row r="28" spans="1:7">
      <c r="A28" s="7">
        <v>42946</v>
      </c>
      <c r="B28" s="9">
        <v>0.33333333333333331</v>
      </c>
      <c r="C28" s="14">
        <v>8586.7999999999993</v>
      </c>
      <c r="D28" s="14">
        <v>5.0999999999999996</v>
      </c>
      <c r="E28" s="3">
        <f t="shared" si="0"/>
        <v>6.9674042493144517E-2</v>
      </c>
      <c r="F28" s="4">
        <f t="shared" si="1"/>
        <v>736.10675233430072</v>
      </c>
    </row>
    <row r="29" spans="1:7">
      <c r="A29" s="7">
        <v>42957</v>
      </c>
      <c r="B29" s="1">
        <v>0.33333333333333331</v>
      </c>
      <c r="C29" s="14">
        <v>8581.5</v>
      </c>
      <c r="D29" s="14">
        <v>5</v>
      </c>
      <c r="E29" s="3">
        <f t="shared" si="0"/>
        <v>7.0524980113427005E-2</v>
      </c>
      <c r="F29" s="4">
        <f t="shared" si="1"/>
        <v>736.1935479715695</v>
      </c>
    </row>
    <row r="30" spans="1:7">
      <c r="A30" s="7">
        <v>42967</v>
      </c>
      <c r="B30" s="1">
        <v>0.33333333333333331</v>
      </c>
      <c r="C30" s="14">
        <v>8579.1</v>
      </c>
      <c r="D30" s="14">
        <v>5</v>
      </c>
      <c r="E30" s="3">
        <f t="shared" si="0"/>
        <v>7.1107914257415472E-2</v>
      </c>
      <c r="F30" s="4">
        <f t="shared" si="1"/>
        <v>736.25300725425643</v>
      </c>
    </row>
    <row r="31" spans="1:7">
      <c r="A31" s="7">
        <v>42977</v>
      </c>
      <c r="B31" s="1">
        <v>0.33333333333333331</v>
      </c>
      <c r="C31" s="14">
        <v>8582.7000000000007</v>
      </c>
      <c r="D31" s="14">
        <v>5</v>
      </c>
      <c r="E31" s="3">
        <f t="shared" si="0"/>
        <v>7.0233511504505741E-2</v>
      </c>
      <c r="F31" s="4">
        <f t="shared" si="1"/>
        <v>736.16381817345962</v>
      </c>
    </row>
    <row r="32" spans="1:7">
      <c r="A32" s="7">
        <v>42988</v>
      </c>
      <c r="B32" s="1">
        <v>0.33333333333333331</v>
      </c>
      <c r="C32" s="14">
        <v>8579.9</v>
      </c>
      <c r="D32" s="14">
        <v>5.6</v>
      </c>
      <c r="E32" s="3">
        <f t="shared" si="0"/>
        <v>7.3531942131471795E-2</v>
      </c>
      <c r="F32" s="4">
        <f t="shared" si="1"/>
        <v>736.5002580974101</v>
      </c>
    </row>
    <row r="33" spans="1:6">
      <c r="A33" s="7">
        <v>42998</v>
      </c>
      <c r="B33" s="1">
        <v>0.33333333333333331</v>
      </c>
      <c r="C33" s="14">
        <v>8586.1</v>
      </c>
      <c r="D33" s="14">
        <v>5.2</v>
      </c>
      <c r="E33" s="3">
        <f t="shared" si="0"/>
        <v>7.0280457814987624E-2</v>
      </c>
      <c r="F33" s="4">
        <f t="shared" si="1"/>
        <v>736.16860669712878</v>
      </c>
    </row>
    <row r="34" spans="1:6">
      <c r="A34" s="7">
        <v>43008</v>
      </c>
      <c r="B34" s="1">
        <v>0.33333333333333331</v>
      </c>
      <c r="C34" s="14">
        <v>8586.5</v>
      </c>
      <c r="D34" s="14">
        <v>5.0999999999999996</v>
      </c>
      <c r="E34" s="3">
        <f t="shared" si="0"/>
        <v>6.9746910616626356E-2</v>
      </c>
      <c r="F34" s="4">
        <f t="shared" si="1"/>
        <v>736.11418488289587</v>
      </c>
    </row>
    <row r="35" spans="1:6">
      <c r="A35" s="7">
        <v>43018</v>
      </c>
      <c r="B35" s="1">
        <v>0.33333333333333331</v>
      </c>
      <c r="C35" s="14">
        <v>8585.2999999999993</v>
      </c>
      <c r="D35" s="14">
        <v>5.0999999999999996</v>
      </c>
      <c r="E35" s="3">
        <f t="shared" si="0"/>
        <v>7.0038382470169969E-2</v>
      </c>
      <c r="F35" s="4">
        <f t="shared" si="1"/>
        <v>736.14391501195735</v>
      </c>
    </row>
    <row r="36" spans="1:6">
      <c r="A36" s="7">
        <v>43230</v>
      </c>
      <c r="B36" s="1">
        <v>0.33333333333333331</v>
      </c>
      <c r="C36" s="14">
        <v>8631.1</v>
      </c>
      <c r="D36" s="14">
        <v>7.6</v>
      </c>
      <c r="E36" s="3">
        <f t="shared" si="0"/>
        <v>6.9822891669007542E-2</v>
      </c>
      <c r="F36" s="4">
        <f t="shared" si="1"/>
        <v>736.12193495023882</v>
      </c>
    </row>
    <row r="37" spans="1:6">
      <c r="A37" s="7">
        <v>43240</v>
      </c>
      <c r="B37" s="1">
        <v>0.33333333333333331</v>
      </c>
      <c r="C37" s="14">
        <v>8630.1</v>
      </c>
      <c r="D37" s="14">
        <v>8.1999999999999993</v>
      </c>
      <c r="E37" s="3">
        <f>($B$2*C37^2+$B$3*C37+$B$4)-$B$5*D37-$E$7</f>
        <v>7.2684155486131413E-2</v>
      </c>
      <c r="F37" s="4">
        <f t="shared" si="1"/>
        <v>736.41378385958535</v>
      </c>
    </row>
    <row r="38" spans="1:6">
      <c r="A38" s="7">
        <v>43250</v>
      </c>
      <c r="B38" s="1">
        <v>0.33333333333333331</v>
      </c>
      <c r="C38" s="14">
        <v>8627.5</v>
      </c>
      <c r="D38" s="14">
        <v>7.5</v>
      </c>
      <c r="E38" s="3">
        <f>($B$2*C38^2+$B$3*C38+$B$4)-$B$5*D38-$E$7</f>
        <v>7.0261028600646785E-2</v>
      </c>
      <c r="F38" s="4">
        <f t="shared" si="1"/>
        <v>736.16662491726595</v>
      </c>
    </row>
    <row r="39" spans="1:6">
      <c r="A39" s="7">
        <v>43261</v>
      </c>
      <c r="B39" s="1">
        <v>0.33333333333333331</v>
      </c>
      <c r="C39" s="14">
        <v>8614.2999999999993</v>
      </c>
      <c r="D39" s="14">
        <v>7.7</v>
      </c>
      <c r="E39" s="3">
        <f>($B$2*C39^2+$B$3*C39+$B$4)-$B$5*D39-$E$7</f>
        <v>7.4340327321101907E-2</v>
      </c>
      <c r="F39" s="4">
        <f t="shared" si="1"/>
        <v>736.5827133867524</v>
      </c>
    </row>
    <row r="40" spans="1:6">
      <c r="A40" s="7">
        <v>43271</v>
      </c>
      <c r="B40" s="1">
        <v>0.33333333333333331</v>
      </c>
      <c r="C40" s="14">
        <v>8580.5</v>
      </c>
      <c r="D40" s="14">
        <v>7.3</v>
      </c>
      <c r="E40" s="3">
        <f>($B$2*C40^2+$B$3*C40+$B$4)-$B$5*D40-$E$7</f>
        <v>8.0804835238166284E-2</v>
      </c>
      <c r="F40" s="4">
        <f t="shared" si="1"/>
        <v>737.24209319429292</v>
      </c>
    </row>
    <row r="41" spans="1:6">
      <c r="A41" s="7">
        <v>43281</v>
      </c>
      <c r="B41" s="1">
        <v>0.33333333333333331</v>
      </c>
      <c r="C41" s="14">
        <v>8583.2999999999993</v>
      </c>
      <c r="D41" s="14">
        <v>7.5</v>
      </c>
      <c r="E41" s="3">
        <f>($B$2*C41^2+$B$3*C41+$B$4)-$B$5*D41-$E$7</f>
        <v>8.0997521815814238E-2</v>
      </c>
      <c r="F41" s="4">
        <f t="shared" si="1"/>
        <v>737.26174722521307</v>
      </c>
    </row>
    <row r="42" spans="1:6">
      <c r="A42" s="7">
        <v>43291</v>
      </c>
      <c r="B42" s="1">
        <v>0.33333333333333331</v>
      </c>
      <c r="C42" s="14">
        <v>8603.2000000000007</v>
      </c>
      <c r="D42" s="14">
        <v>7.3</v>
      </c>
      <c r="E42" s="3">
        <f t="shared" ref="E42:E45" si="2">($B$2*C42^2+$B$3*C42+$B$4)-$B$5*D42-$E$7</f>
        <v>7.5291063237824307E-2</v>
      </c>
      <c r="F42" s="4">
        <f t="shared" si="1"/>
        <v>736.67968845025803</v>
      </c>
    </row>
    <row r="43" spans="1:6">
      <c r="A43" s="7">
        <v>43301</v>
      </c>
      <c r="B43" s="1">
        <v>0.33333333333333331</v>
      </c>
      <c r="C43" s="14">
        <v>8606.4</v>
      </c>
      <c r="D43" s="14">
        <v>7.6</v>
      </c>
      <c r="E43" s="3">
        <f t="shared" si="2"/>
        <v>7.5822931327769821E-2</v>
      </c>
      <c r="F43" s="4">
        <f t="shared" si="1"/>
        <v>736.73393899543248</v>
      </c>
    </row>
    <row r="44" spans="1:6">
      <c r="A44" s="7">
        <v>43311</v>
      </c>
      <c r="B44" s="1">
        <v>0.33333333333333331</v>
      </c>
      <c r="C44" s="14">
        <v>8606.2999999999993</v>
      </c>
      <c r="D44" s="14">
        <v>7.2</v>
      </c>
      <c r="E44" s="3">
        <f t="shared" si="2"/>
        <v>7.4101662903998056E-2</v>
      </c>
      <c r="F44" s="4">
        <f t="shared" si="1"/>
        <v>736.55836961620776</v>
      </c>
    </row>
    <row r="45" spans="1:6">
      <c r="A45" s="7">
        <v>43322</v>
      </c>
      <c r="B45" s="1">
        <v>0.33333333333333331</v>
      </c>
      <c r="C45" s="14">
        <v>8593.4</v>
      </c>
      <c r="D45" s="14">
        <v>7.3</v>
      </c>
      <c r="E45" s="3">
        <f t="shared" si="2"/>
        <v>7.7671503174767675E-2</v>
      </c>
      <c r="F45" s="4">
        <f t="shared" si="1"/>
        <v>736.9224933238263</v>
      </c>
    </row>
    <row r="46" spans="1:6">
      <c r="A46" s="7">
        <v>43332</v>
      </c>
      <c r="B46" s="1">
        <v>0.33333333333333331</v>
      </c>
      <c r="C46" s="14">
        <v>8602.1</v>
      </c>
      <c r="D46" s="14">
        <v>7.2</v>
      </c>
      <c r="E46" s="3">
        <f t="shared" ref="E46:E63" si="3">($B$2*C46^2+$B$3*C46+$B$4)-$B$5*D46-$E$7</f>
        <v>7.512186908036339E-2</v>
      </c>
      <c r="F46" s="4">
        <f t="shared" ref="F46:F63" si="4">$D$1+102*E46</f>
        <v>736.66243064619709</v>
      </c>
    </row>
    <row r="47" spans="1:6">
      <c r="A47" s="7">
        <v>43342</v>
      </c>
      <c r="B47" s="1">
        <v>0.33333333333333331</v>
      </c>
      <c r="C47" s="14">
        <v>8583.2000000000007</v>
      </c>
      <c r="D47" s="14">
        <v>7.4</v>
      </c>
      <c r="E47" s="3">
        <f t="shared" si="3"/>
        <v>8.0585421148383934E-2</v>
      </c>
      <c r="F47" s="4">
        <f t="shared" si="4"/>
        <v>737.21971295713513</v>
      </c>
    </row>
    <row r="48" spans="1:6">
      <c r="A48" s="7">
        <v>43353</v>
      </c>
      <c r="B48" s="1">
        <v>0.33333333333333331</v>
      </c>
      <c r="C48" s="14">
        <v>8566.7999999999993</v>
      </c>
      <c r="D48" s="14">
        <v>7.8</v>
      </c>
      <c r="E48" s="3">
        <f t="shared" si="3"/>
        <v>8.631430181858446E-2</v>
      </c>
      <c r="F48" s="4">
        <f t="shared" si="4"/>
        <v>737.80405878549561</v>
      </c>
    </row>
    <row r="49" spans="1:6">
      <c r="A49" s="7">
        <v>43363</v>
      </c>
      <c r="B49" s="1">
        <v>0.33333333333333331</v>
      </c>
      <c r="C49" s="14">
        <v>8583.2000000000007</v>
      </c>
      <c r="D49" s="14">
        <v>7.1</v>
      </c>
      <c r="E49" s="3">
        <f t="shared" si="3"/>
        <v>7.927625174838393E-2</v>
      </c>
      <c r="F49" s="4">
        <f t="shared" si="4"/>
        <v>737.08617767833516</v>
      </c>
    </row>
    <row r="50" spans="1:6">
      <c r="A50" s="7">
        <v>43373</v>
      </c>
      <c r="B50" s="1">
        <v>0.33333333333333331</v>
      </c>
      <c r="C50" s="14">
        <v>8593</v>
      </c>
      <c r="D50" s="14">
        <v>7.3</v>
      </c>
      <c r="E50" s="3">
        <f t="shared" si="3"/>
        <v>7.7768662536979338E-2</v>
      </c>
      <c r="F50" s="4">
        <f t="shared" si="4"/>
        <v>736.93240357877187</v>
      </c>
    </row>
    <row r="51" spans="1:6">
      <c r="A51" s="7">
        <v>43383</v>
      </c>
      <c r="B51" s="1">
        <v>0.33333333333333331</v>
      </c>
      <c r="C51" s="14">
        <v>8594.7999999999993</v>
      </c>
      <c r="D51" s="14">
        <v>7.2</v>
      </c>
      <c r="E51" s="3">
        <f t="shared" si="3"/>
        <v>7.6895054710488908E-2</v>
      </c>
      <c r="F51" s="4">
        <f t="shared" si="4"/>
        <v>736.84329558046988</v>
      </c>
    </row>
    <row r="52" spans="1:6">
      <c r="A52" s="7">
        <v>43393</v>
      </c>
      <c r="B52" s="1">
        <v>0.33333333333333331</v>
      </c>
      <c r="C52" s="14">
        <v>8596.2999999999993</v>
      </c>
      <c r="D52" s="14">
        <v>7</v>
      </c>
      <c r="E52" s="3">
        <f t="shared" si="3"/>
        <v>7.5657924994018189E-2</v>
      </c>
      <c r="F52" s="4">
        <f t="shared" si="4"/>
        <v>736.71710834938983</v>
      </c>
    </row>
    <row r="53" spans="1:6">
      <c r="A53" s="32">
        <v>43605</v>
      </c>
      <c r="B53" s="1">
        <v>0.33333333333333331</v>
      </c>
      <c r="C53" s="14">
        <v>8610.2999999999993</v>
      </c>
      <c r="D53" s="14">
        <v>6.8</v>
      </c>
      <c r="E53" s="3">
        <f t="shared" si="3"/>
        <v>7.1384467104870147E-2</v>
      </c>
      <c r="F53" s="4">
        <f t="shared" si="4"/>
        <v>736.28121564469677</v>
      </c>
    </row>
    <row r="54" spans="1:6">
      <c r="A54" s="32">
        <v>43615</v>
      </c>
      <c r="B54" s="1">
        <v>0.33333333333333331</v>
      </c>
      <c r="C54" s="14">
        <v>8612.7000000000007</v>
      </c>
      <c r="D54" s="14">
        <v>6.9</v>
      </c>
      <c r="E54" s="3">
        <f t="shared" si="3"/>
        <v>7.1237869480765381E-2</v>
      </c>
      <c r="F54" s="4">
        <f t="shared" si="4"/>
        <v>736.26626268703808</v>
      </c>
    </row>
    <row r="55" spans="1:6">
      <c r="A55" s="32">
        <v>43626</v>
      </c>
      <c r="B55" s="1">
        <v>0.33333333333333331</v>
      </c>
      <c r="C55" s="14">
        <v>8614.5</v>
      </c>
      <c r="D55" s="14">
        <v>7</v>
      </c>
      <c r="E55" s="3">
        <f t="shared" si="3"/>
        <v>7.1237016023066702E-2</v>
      </c>
      <c r="F55" s="4">
        <f t="shared" si="4"/>
        <v>736.26617563435275</v>
      </c>
    </row>
    <row r="56" spans="1:6">
      <c r="A56" s="32">
        <v>43636</v>
      </c>
      <c r="B56" s="1">
        <v>0.33333333333333331</v>
      </c>
      <c r="C56" s="14">
        <v>8615.2000000000007</v>
      </c>
      <c r="D56" s="14">
        <v>7</v>
      </c>
      <c r="E56" s="3">
        <f t="shared" si="3"/>
        <v>7.1066976355808109E-2</v>
      </c>
      <c r="F56" s="4">
        <f t="shared" si="4"/>
        <v>736.24883158829243</v>
      </c>
    </row>
    <row r="57" spans="1:6">
      <c r="A57" s="7">
        <v>43646</v>
      </c>
      <c r="B57" s="1">
        <v>0.33333333333333331</v>
      </c>
      <c r="C57" s="14">
        <v>8607.2999999999993</v>
      </c>
      <c r="D57" s="14">
        <v>7</v>
      </c>
      <c r="E57" s="3">
        <f t="shared" si="3"/>
        <v>7.2985975221526112E-2</v>
      </c>
      <c r="F57" s="4">
        <f t="shared" si="4"/>
        <v>736.44456947259562</v>
      </c>
    </row>
    <row r="58" spans="1:6">
      <c r="A58" s="7">
        <v>43656</v>
      </c>
      <c r="B58" s="1">
        <v>0.33333333333333331</v>
      </c>
      <c r="C58" s="14">
        <v>8601.1</v>
      </c>
      <c r="D58" s="14">
        <v>7</v>
      </c>
      <c r="E58" s="3">
        <f t="shared" si="3"/>
        <v>7.449199386282751E-2</v>
      </c>
      <c r="F58" s="4">
        <f t="shared" si="4"/>
        <v>736.59818337400839</v>
      </c>
    </row>
    <row r="59" spans="1:6">
      <c r="A59" s="7">
        <v>43666</v>
      </c>
      <c r="B59" s="1">
        <v>0.33333333333333331</v>
      </c>
      <c r="C59" s="14">
        <v>8592.2999999999993</v>
      </c>
      <c r="D59" s="14">
        <v>6.8</v>
      </c>
      <c r="E59" s="3">
        <f t="shared" si="3"/>
        <v>7.5756742146906003E-2</v>
      </c>
      <c r="F59" s="4">
        <f t="shared" si="4"/>
        <v>736.72718769898438</v>
      </c>
    </row>
    <row r="60" spans="1:6">
      <c r="A60" s="7">
        <v>43676</v>
      </c>
      <c r="B60" s="1">
        <v>0.33333333333333331</v>
      </c>
      <c r="C60" s="14">
        <v>8587.6</v>
      </c>
      <c r="D60" s="14">
        <v>6.8</v>
      </c>
      <c r="E60" s="3">
        <f t="shared" si="3"/>
        <v>7.689835378411361E-2</v>
      </c>
      <c r="F60" s="4">
        <f t="shared" si="4"/>
        <v>736.84363208597961</v>
      </c>
    </row>
    <row r="61" spans="1:6">
      <c r="A61" s="7">
        <v>43687</v>
      </c>
      <c r="B61" s="1">
        <v>0.33333333333333331</v>
      </c>
      <c r="C61" s="14">
        <v>8580.2999999999993</v>
      </c>
      <c r="D61" s="14">
        <v>6.9</v>
      </c>
      <c r="E61" s="3">
        <f t="shared" si="3"/>
        <v>7.9107853897729674E-2</v>
      </c>
      <c r="F61" s="4">
        <f t="shared" si="4"/>
        <v>737.06900109756839</v>
      </c>
    </row>
    <row r="62" spans="1:6">
      <c r="A62" s="7">
        <v>43697</v>
      </c>
      <c r="B62" s="1">
        <v>0.33333333333333331</v>
      </c>
      <c r="C62" s="14">
        <v>8569.2999999999993</v>
      </c>
      <c r="D62" s="14">
        <v>6.8</v>
      </c>
      <c r="E62" s="3">
        <f t="shared" si="3"/>
        <v>8.1343202542842136E-2</v>
      </c>
      <c r="F62" s="4">
        <f t="shared" si="4"/>
        <v>737.29700665936991</v>
      </c>
    </row>
    <row r="63" spans="1:6">
      <c r="A63" s="7">
        <v>43707</v>
      </c>
      <c r="B63" s="1">
        <v>0.33333333333333331</v>
      </c>
      <c r="C63" s="14">
        <v>8557.6</v>
      </c>
      <c r="D63" s="14">
        <v>6.8</v>
      </c>
      <c r="E63" s="3">
        <f t="shared" si="3"/>
        <v>8.4184866218234206E-2</v>
      </c>
      <c r="F63" s="4">
        <f t="shared" si="4"/>
        <v>737.58685635425991</v>
      </c>
    </row>
  </sheetData>
  <phoneticPr fontId="4" type="noConversion"/>
  <pageMargins left="0.69930555555555596" right="0.69930555555555596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3"/>
  <sheetViews>
    <sheetView topLeftCell="A37" workbookViewId="0">
      <selection activeCell="A57" sqref="A57:B63"/>
    </sheetView>
  </sheetViews>
  <sheetFormatPr defaultColWidth="9" defaultRowHeight="13.5"/>
  <cols>
    <col min="1" max="1" width="12" customWidth="1"/>
    <col min="2" max="2" width="13.875" customWidth="1"/>
  </cols>
  <sheetData>
    <row r="1" spans="1:7">
      <c r="A1" t="s">
        <v>0</v>
      </c>
      <c r="B1">
        <v>11391</v>
      </c>
      <c r="C1" t="s">
        <v>1</v>
      </c>
      <c r="D1">
        <v>725.2</v>
      </c>
    </row>
    <row r="2" spans="1:7">
      <c r="A2" t="s">
        <v>2</v>
      </c>
      <c r="B2" s="10">
        <v>3.5231499999999999E-10</v>
      </c>
    </row>
    <row r="3" spans="1:7">
      <c r="A3" t="s">
        <v>3</v>
      </c>
      <c r="B3" s="13">
        <v>-1.7594400000000001E-4</v>
      </c>
    </row>
    <row r="4" spans="1:7">
      <c r="A4" t="s">
        <v>4</v>
      </c>
      <c r="B4" s="13">
        <v>1.47340092</v>
      </c>
    </row>
    <row r="5" spans="1:7">
      <c r="A5" t="s">
        <v>5</v>
      </c>
      <c r="B5" s="13">
        <v>-3.1538809999999999E-3</v>
      </c>
    </row>
    <row r="6" spans="1:7">
      <c r="A6" t="s">
        <v>6</v>
      </c>
      <c r="B6" t="s">
        <v>7</v>
      </c>
      <c r="C6" t="s">
        <v>8</v>
      </c>
      <c r="D6" t="s">
        <v>9</v>
      </c>
      <c r="E6" t="s">
        <v>10</v>
      </c>
      <c r="F6" t="s">
        <v>11</v>
      </c>
      <c r="G6" t="s">
        <v>12</v>
      </c>
    </row>
    <row r="7" spans="1:7">
      <c r="A7" s="7">
        <v>42615</v>
      </c>
      <c r="B7" s="1">
        <v>0.70833333333333304</v>
      </c>
      <c r="C7" s="2">
        <v>8451.2000000000007</v>
      </c>
      <c r="D7" s="2">
        <v>16.399999999999999</v>
      </c>
      <c r="E7" s="3">
        <f>($B$2*C7^2+$B$3*C7+$B$4)-$B$5*D7</f>
        <v>6.3349952843033353E-2</v>
      </c>
      <c r="G7" t="s">
        <v>13</v>
      </c>
    </row>
    <row r="8" spans="1:7">
      <c r="A8" s="7">
        <v>42616</v>
      </c>
      <c r="B8" s="1">
        <v>0.33333333333333298</v>
      </c>
      <c r="C8" s="2">
        <v>7708</v>
      </c>
      <c r="D8" s="2">
        <v>13.8</v>
      </c>
      <c r="E8" s="3">
        <f t="shared" ref="E8:E45" si="0">($B$2*C8^2+$B$3*C8+$B$4)-$B$5*D8-$E$7</f>
        <v>0.11833035706312661</v>
      </c>
      <c r="F8" s="4">
        <f>$D$1+102*E8</f>
        <v>737.269696420439</v>
      </c>
      <c r="G8" t="s">
        <v>14</v>
      </c>
    </row>
    <row r="9" spans="1:7">
      <c r="A9" s="7">
        <v>42617</v>
      </c>
      <c r="B9" s="1">
        <v>0.33333333333333298</v>
      </c>
      <c r="C9" s="2">
        <v>7819</v>
      </c>
      <c r="D9" s="2">
        <v>10.6</v>
      </c>
      <c r="E9" s="3">
        <f t="shared" si="0"/>
        <v>8.9315367708681731E-2</v>
      </c>
      <c r="F9" s="4">
        <f t="shared" ref="F9:F45" si="1">$D$1+102*E9</f>
        <v>734.31016750628555</v>
      </c>
    </row>
    <row r="10" spans="1:7">
      <c r="A10" s="7">
        <v>42618</v>
      </c>
      <c r="B10" s="1">
        <v>0.33333333333333298</v>
      </c>
      <c r="C10" s="2">
        <v>7820.4</v>
      </c>
      <c r="D10" s="2">
        <v>10.5</v>
      </c>
      <c r="E10" s="3">
        <f t="shared" si="0"/>
        <v>8.8761372001977035E-2</v>
      </c>
      <c r="F10" s="4">
        <f t="shared" si="1"/>
        <v>734.25365994420167</v>
      </c>
    </row>
    <row r="11" spans="1:7">
      <c r="A11" s="7">
        <v>42619</v>
      </c>
      <c r="B11" s="1">
        <v>0.33333333333333298</v>
      </c>
      <c r="C11" s="2">
        <v>7820.5</v>
      </c>
      <c r="D11" s="2">
        <v>10.5</v>
      </c>
      <c r="E11" s="3">
        <f t="shared" si="0"/>
        <v>8.8744328654345395E-2</v>
      </c>
      <c r="F11" s="4">
        <f t="shared" si="1"/>
        <v>734.25192152274326</v>
      </c>
    </row>
    <row r="12" spans="1:7">
      <c r="A12" s="7">
        <v>42620</v>
      </c>
      <c r="B12" s="1">
        <v>0.33333333333333298</v>
      </c>
      <c r="C12" s="2">
        <v>7822.9</v>
      </c>
      <c r="D12" s="2">
        <v>10.5</v>
      </c>
      <c r="E12" s="3">
        <f t="shared" si="0"/>
        <v>8.8335290425075763E-2</v>
      </c>
      <c r="F12" s="4">
        <f t="shared" si="1"/>
        <v>734.21019962335777</v>
      </c>
    </row>
    <row r="13" spans="1:7">
      <c r="A13" s="7">
        <v>42621</v>
      </c>
      <c r="B13" s="1">
        <v>0.33333333333333298</v>
      </c>
      <c r="C13" s="2">
        <v>7818.1</v>
      </c>
      <c r="D13" s="2">
        <v>10.6</v>
      </c>
      <c r="E13" s="3">
        <f t="shared" si="0"/>
        <v>8.9468759042283769E-2</v>
      </c>
      <c r="F13" s="4">
        <f t="shared" si="1"/>
        <v>734.32581342231299</v>
      </c>
    </row>
    <row r="14" spans="1:7">
      <c r="A14" s="7">
        <v>42622</v>
      </c>
      <c r="B14" s="1">
        <v>0.33333333333333298</v>
      </c>
      <c r="C14" s="2">
        <v>7814.4</v>
      </c>
      <c r="D14" s="2">
        <v>10.6</v>
      </c>
      <c r="E14" s="3">
        <f t="shared" si="0"/>
        <v>9.0099373854604953E-2</v>
      </c>
      <c r="F14" s="4">
        <f t="shared" si="1"/>
        <v>734.39013613316979</v>
      </c>
    </row>
    <row r="15" spans="1:7">
      <c r="A15" s="7">
        <v>42623</v>
      </c>
      <c r="B15" s="1">
        <v>0.33333333333333331</v>
      </c>
      <c r="C15" s="2">
        <v>7812.2</v>
      </c>
      <c r="D15" s="2">
        <v>10.5</v>
      </c>
      <c r="E15" s="3">
        <f t="shared" si="0"/>
        <v>9.0158950486331324E-2</v>
      </c>
      <c r="F15" s="4">
        <f t="shared" si="1"/>
        <v>734.3962129496058</v>
      </c>
    </row>
    <row r="16" spans="1:7">
      <c r="A16" s="7">
        <v>42633</v>
      </c>
      <c r="B16" s="1">
        <v>0.33333333333333331</v>
      </c>
      <c r="C16" s="2">
        <v>7807.3</v>
      </c>
      <c r="D16" s="2">
        <v>10.7</v>
      </c>
      <c r="E16" s="3">
        <f t="shared" si="0"/>
        <v>9.1624887664032872E-2</v>
      </c>
      <c r="F16" s="4">
        <f t="shared" si="1"/>
        <v>734.54573854173145</v>
      </c>
    </row>
    <row r="17" spans="1:7">
      <c r="A17" s="7">
        <v>42643</v>
      </c>
      <c r="B17" s="1">
        <v>0.33333333333333331</v>
      </c>
      <c r="C17" s="2">
        <v>7688</v>
      </c>
      <c r="D17" s="2">
        <v>10.8</v>
      </c>
      <c r="E17" s="3">
        <f t="shared" si="0"/>
        <v>0.11227910922832665</v>
      </c>
      <c r="F17" s="4">
        <f t="shared" si="1"/>
        <v>736.65246914128932</v>
      </c>
    </row>
    <row r="18" spans="1:7">
      <c r="A18" s="7">
        <v>42653</v>
      </c>
      <c r="B18" s="1">
        <v>0.33333333333333331</v>
      </c>
      <c r="C18" s="2">
        <v>7777.1</v>
      </c>
      <c r="D18" s="2">
        <v>10.7</v>
      </c>
      <c r="E18" s="3">
        <f t="shared" si="0"/>
        <v>9.6772579803875658E-2</v>
      </c>
      <c r="F18" s="4">
        <f t="shared" si="1"/>
        <v>735.07080313999541</v>
      </c>
    </row>
    <row r="19" spans="1:7">
      <c r="A19" s="7">
        <v>42855</v>
      </c>
      <c r="B19" s="1">
        <v>0.33333333333333331</v>
      </c>
      <c r="C19" s="2">
        <v>7680.2</v>
      </c>
      <c r="D19" s="2">
        <v>8.1999999999999993</v>
      </c>
      <c r="E19" s="3">
        <f t="shared" si="0"/>
        <v>0.10540914913873917</v>
      </c>
      <c r="F19" s="4">
        <f t="shared" si="1"/>
        <v>735.95173321215145</v>
      </c>
      <c r="G19" s="2"/>
    </row>
    <row r="20" spans="1:7">
      <c r="A20" s="7">
        <v>42865</v>
      </c>
      <c r="B20" s="1">
        <v>0.33333333333333331</v>
      </c>
      <c r="C20" s="2">
        <v>7637.9</v>
      </c>
      <c r="D20" s="2">
        <v>8.1</v>
      </c>
      <c r="E20" s="3">
        <f t="shared" si="0"/>
        <v>0.11230790775095559</v>
      </c>
      <c r="F20" s="4">
        <f t="shared" si="1"/>
        <v>736.65540659059752</v>
      </c>
      <c r="G20" s="2"/>
    </row>
    <row r="21" spans="1:7">
      <c r="A21" s="7">
        <v>42875</v>
      </c>
      <c r="B21" s="1">
        <v>0.33333333333333331</v>
      </c>
      <c r="C21" s="2">
        <v>7668.4</v>
      </c>
      <c r="D21" s="2">
        <v>8</v>
      </c>
      <c r="E21" s="3">
        <f t="shared" si="0"/>
        <v>0.10679070314303299</v>
      </c>
      <c r="F21" s="4">
        <f t="shared" si="1"/>
        <v>736.0926517205894</v>
      </c>
      <c r="G21" s="2"/>
    </row>
    <row r="22" spans="1:7">
      <c r="A22" s="7">
        <v>42885</v>
      </c>
      <c r="B22" s="1">
        <v>0.33333333333333331</v>
      </c>
      <c r="C22" s="14">
        <v>7683.6</v>
      </c>
      <c r="D22" s="15">
        <v>7.9</v>
      </c>
      <c r="E22" s="3">
        <f t="shared" si="0"/>
        <v>0.10388317908920885</v>
      </c>
      <c r="F22" s="4">
        <f t="shared" si="1"/>
        <v>735.79608426709933</v>
      </c>
    </row>
    <row r="23" spans="1:7">
      <c r="A23" s="6">
        <v>42896</v>
      </c>
      <c r="B23" s="1">
        <v>0.33333333333333331</v>
      </c>
      <c r="C23" s="14">
        <v>7679.9</v>
      </c>
      <c r="D23" s="14">
        <v>7.8</v>
      </c>
      <c r="E23" s="3">
        <f t="shared" si="0"/>
        <v>0.10419875646064977</v>
      </c>
      <c r="F23" s="4">
        <f t="shared" si="1"/>
        <v>735.82827315898635</v>
      </c>
    </row>
    <row r="24" spans="1:7">
      <c r="A24" s="6">
        <v>42906</v>
      </c>
      <c r="B24" s="1">
        <v>0.33333333333333331</v>
      </c>
      <c r="C24" s="14">
        <v>7670.9</v>
      </c>
      <c r="D24" s="14">
        <v>7.7</v>
      </c>
      <c r="E24" s="3">
        <f t="shared" si="0"/>
        <v>0.10541818950673174</v>
      </c>
      <c r="F24" s="4">
        <f t="shared" si="1"/>
        <v>735.95265532968665</v>
      </c>
    </row>
    <row r="25" spans="1:7">
      <c r="A25" s="7">
        <v>42916</v>
      </c>
      <c r="B25" s="9">
        <v>0.33333333333333331</v>
      </c>
      <c r="C25" s="14">
        <v>7671.7</v>
      </c>
      <c r="D25" s="14">
        <v>7.6</v>
      </c>
      <c r="E25" s="3">
        <f t="shared" si="0"/>
        <v>0.10496637054922681</v>
      </c>
      <c r="F25" s="4">
        <f t="shared" si="1"/>
        <v>735.90656979602113</v>
      </c>
    </row>
    <row r="26" spans="1:7">
      <c r="A26" s="7">
        <v>42926</v>
      </c>
      <c r="B26" s="9">
        <v>0.33333333333333331</v>
      </c>
      <c r="C26" s="14">
        <v>7679.1</v>
      </c>
      <c r="D26" s="14">
        <v>7.5</v>
      </c>
      <c r="E26" s="3">
        <f t="shared" si="0"/>
        <v>0.10338901839578155</v>
      </c>
      <c r="F26" s="4">
        <f t="shared" si="1"/>
        <v>735.74567987636976</v>
      </c>
    </row>
    <row r="27" spans="1:7">
      <c r="A27" s="7">
        <v>42936</v>
      </c>
      <c r="B27" s="9">
        <v>0.33333333333333331</v>
      </c>
      <c r="C27" s="14">
        <v>7677.1</v>
      </c>
      <c r="D27" s="14">
        <v>7.5</v>
      </c>
      <c r="E27" s="3">
        <f t="shared" si="0"/>
        <v>0.10373008595657554</v>
      </c>
      <c r="F27" s="4">
        <f t="shared" si="1"/>
        <v>735.78046876757071</v>
      </c>
    </row>
    <row r="28" spans="1:7">
      <c r="A28" s="7">
        <v>42946</v>
      </c>
      <c r="B28" s="9">
        <v>0.33333333333333331</v>
      </c>
      <c r="C28" s="14">
        <v>7680.4</v>
      </c>
      <c r="D28" s="14">
        <v>7.4</v>
      </c>
      <c r="E28" s="3">
        <f t="shared" si="0"/>
        <v>0.10285193789269709</v>
      </c>
      <c r="F28" s="4">
        <f t="shared" si="1"/>
        <v>735.6908976650551</v>
      </c>
    </row>
    <row r="29" spans="1:7">
      <c r="A29" s="7">
        <v>42957</v>
      </c>
      <c r="B29" s="1">
        <v>0.33333333333333331</v>
      </c>
      <c r="C29" s="14">
        <v>7672.9</v>
      </c>
      <c r="D29" s="14">
        <v>7.3</v>
      </c>
      <c r="E29" s="3">
        <f t="shared" si="0"/>
        <v>0.10381556080852583</v>
      </c>
      <c r="F29" s="4">
        <f t="shared" si="1"/>
        <v>735.78918720246963</v>
      </c>
    </row>
    <row r="30" spans="1:7">
      <c r="A30" s="7">
        <v>42967</v>
      </c>
      <c r="B30" s="1">
        <v>0.33333333333333331</v>
      </c>
      <c r="C30" s="14">
        <v>7669.1</v>
      </c>
      <c r="D30" s="14">
        <v>7.3</v>
      </c>
      <c r="E30" s="3">
        <f t="shared" si="0"/>
        <v>0.10446360818495171</v>
      </c>
      <c r="F30" s="4">
        <f t="shared" si="1"/>
        <v>735.85528803486511</v>
      </c>
    </row>
    <row r="31" spans="1:7">
      <c r="A31" s="7">
        <v>42977</v>
      </c>
      <c r="B31" s="1">
        <v>0.33333333333333331</v>
      </c>
      <c r="C31" s="14">
        <v>7673.6</v>
      </c>
      <c r="D31" s="14">
        <v>7.2</v>
      </c>
      <c r="E31" s="3">
        <f t="shared" si="0"/>
        <v>0.10338079667002906</v>
      </c>
      <c r="F31" s="4">
        <f t="shared" si="1"/>
        <v>735.74484126034304</v>
      </c>
    </row>
    <row r="32" spans="1:7">
      <c r="A32" s="7">
        <v>42988</v>
      </c>
      <c r="B32" s="1">
        <v>0.33333333333333331</v>
      </c>
      <c r="C32" s="14">
        <v>7667.8</v>
      </c>
      <c r="D32" s="14">
        <v>8</v>
      </c>
      <c r="E32" s="3">
        <f t="shared" si="0"/>
        <v>0.10689302763905131</v>
      </c>
      <c r="F32" s="4">
        <f t="shared" si="1"/>
        <v>736.10308881918331</v>
      </c>
    </row>
    <row r="33" spans="1:6">
      <c r="A33" s="7">
        <v>42998</v>
      </c>
      <c r="B33" s="1">
        <v>0.33333333333333331</v>
      </c>
      <c r="C33" s="14">
        <v>7675.5</v>
      </c>
      <c r="D33" s="14">
        <v>7.2</v>
      </c>
      <c r="E33" s="3">
        <f t="shared" si="0"/>
        <v>0.10305677773454544</v>
      </c>
      <c r="F33" s="4">
        <f t="shared" si="1"/>
        <v>735.71179132892371</v>
      </c>
    </row>
    <row r="34" spans="1:6">
      <c r="A34" s="7">
        <v>43008</v>
      </c>
      <c r="B34" s="1">
        <v>0.33333333333333331</v>
      </c>
      <c r="C34" s="14">
        <v>7674.2</v>
      </c>
      <c r="D34" s="14">
        <v>7.1</v>
      </c>
      <c r="E34" s="3">
        <f t="shared" si="0"/>
        <v>0.10296308652612324</v>
      </c>
      <c r="F34" s="4">
        <f t="shared" si="1"/>
        <v>735.70223482566462</v>
      </c>
    </row>
    <row r="35" spans="1:6">
      <c r="A35" s="7">
        <v>43018</v>
      </c>
      <c r="B35" s="1">
        <v>0.33333333333333331</v>
      </c>
      <c r="C35" s="14">
        <v>7671.7</v>
      </c>
      <c r="D35" s="14">
        <v>7.1</v>
      </c>
      <c r="E35" s="3">
        <f t="shared" si="0"/>
        <v>0.10338943004922679</v>
      </c>
      <c r="F35" s="4">
        <f t="shared" si="1"/>
        <v>735.74572186502121</v>
      </c>
    </row>
    <row r="36" spans="1:6">
      <c r="A36" s="7">
        <v>43230</v>
      </c>
      <c r="B36" s="1">
        <v>0.33333333333333331</v>
      </c>
      <c r="C36" s="14">
        <v>7691.5</v>
      </c>
      <c r="D36" s="14">
        <v>7.9</v>
      </c>
      <c r="E36" s="3">
        <f t="shared" si="0"/>
        <v>0.10253601482822516</v>
      </c>
      <c r="F36" s="4">
        <f t="shared" si="1"/>
        <v>735.65867351247903</v>
      </c>
    </row>
    <row r="37" spans="1:6">
      <c r="A37" s="7">
        <v>43240</v>
      </c>
      <c r="B37" s="1">
        <v>0.33333333333333331</v>
      </c>
      <c r="C37" s="14">
        <v>7691</v>
      </c>
      <c r="D37" s="14">
        <v>8.4</v>
      </c>
      <c r="E37" s="3">
        <f t="shared" si="0"/>
        <v>0.10419821758548142</v>
      </c>
      <c r="F37" s="4">
        <f t="shared" si="1"/>
        <v>735.82821819371918</v>
      </c>
    </row>
    <row r="38" spans="1:6">
      <c r="A38" s="7">
        <v>43250</v>
      </c>
      <c r="B38" s="1">
        <v>0.33333333333333331</v>
      </c>
      <c r="C38" s="14">
        <v>7687.6</v>
      </c>
      <c r="D38" s="14">
        <v>7.8</v>
      </c>
      <c r="E38" s="3">
        <f t="shared" si="0"/>
        <v>0.10288567700652104</v>
      </c>
      <c r="F38" s="4">
        <f t="shared" si="1"/>
        <v>735.69433905466519</v>
      </c>
    </row>
    <row r="39" spans="1:6">
      <c r="A39" s="7">
        <v>43261</v>
      </c>
      <c r="B39" s="1">
        <v>0.33333333333333331</v>
      </c>
      <c r="C39" s="14">
        <v>7669.7</v>
      </c>
      <c r="D39" s="14">
        <v>8.1</v>
      </c>
      <c r="E39" s="3">
        <f t="shared" si="0"/>
        <v>0.10688438903854505</v>
      </c>
      <c r="F39" s="4">
        <f t="shared" si="1"/>
        <v>736.10220768193165</v>
      </c>
    </row>
    <row r="40" spans="1:6">
      <c r="A40" s="7">
        <v>43271</v>
      </c>
      <c r="B40" s="1">
        <v>0.33333333333333331</v>
      </c>
      <c r="C40" s="14">
        <v>7621.8</v>
      </c>
      <c r="D40" s="14">
        <v>7.9</v>
      </c>
      <c r="E40" s="3">
        <f t="shared" si="0"/>
        <v>0.11442327278954723</v>
      </c>
      <c r="F40" s="4">
        <f t="shared" si="1"/>
        <v>736.87117382453391</v>
      </c>
    </row>
    <row r="41" spans="1:6">
      <c r="A41" s="7">
        <v>43281</v>
      </c>
      <c r="B41" s="1">
        <v>0.33333333333333331</v>
      </c>
      <c r="C41" s="14">
        <v>7628</v>
      </c>
      <c r="D41" s="14">
        <v>8</v>
      </c>
      <c r="E41" s="3">
        <f t="shared" si="0"/>
        <v>0.11368111903592651</v>
      </c>
      <c r="F41" s="4">
        <f t="shared" si="1"/>
        <v>736.7954741416645</v>
      </c>
    </row>
    <row r="42" spans="1:6">
      <c r="A42" s="7">
        <v>43291</v>
      </c>
      <c r="B42" s="1">
        <v>0.33333333333333331</v>
      </c>
      <c r="C42" s="14">
        <v>7655.8</v>
      </c>
      <c r="D42" s="14">
        <v>7.8</v>
      </c>
      <c r="E42" s="3">
        <f t="shared" si="0"/>
        <v>0.10830879462944307</v>
      </c>
      <c r="F42" s="4">
        <f t="shared" si="1"/>
        <v>736.24749705220324</v>
      </c>
    </row>
    <row r="43" spans="1:6">
      <c r="A43" s="7">
        <v>43301</v>
      </c>
      <c r="B43" s="1">
        <v>0.33333333333333331</v>
      </c>
      <c r="C43" s="14">
        <v>7662.7</v>
      </c>
      <c r="D43" s="14">
        <v>8.1</v>
      </c>
      <c r="E43" s="3">
        <f t="shared" si="0"/>
        <v>0.10807818419700302</v>
      </c>
      <c r="F43" s="4">
        <f t="shared" si="1"/>
        <v>736.22397478809432</v>
      </c>
    </row>
    <row r="44" spans="1:6">
      <c r="A44" s="7">
        <v>43311</v>
      </c>
      <c r="B44" s="1">
        <v>0.33333333333333331</v>
      </c>
      <c r="C44" s="14">
        <v>7663.8</v>
      </c>
      <c r="D44" s="14">
        <v>7.8</v>
      </c>
      <c r="E44" s="3">
        <f t="shared" si="0"/>
        <v>0.10694442122843525</v>
      </c>
      <c r="F44" s="4">
        <f t="shared" si="1"/>
        <v>736.10833096530041</v>
      </c>
    </row>
    <row r="45" spans="1:6">
      <c r="A45" s="7">
        <v>43322</v>
      </c>
      <c r="B45" s="1">
        <v>0.33333333333333331</v>
      </c>
      <c r="C45" s="14">
        <v>7654.6</v>
      </c>
      <c r="D45" s="14">
        <v>7.8</v>
      </c>
      <c r="E45" s="3">
        <f t="shared" si="0"/>
        <v>0.10851345452915181</v>
      </c>
      <c r="F45" s="4">
        <f t="shared" si="1"/>
        <v>736.26837236197355</v>
      </c>
    </row>
    <row r="46" spans="1:6">
      <c r="A46" s="7">
        <v>43332</v>
      </c>
      <c r="B46" s="1">
        <v>0.33333333333333331</v>
      </c>
      <c r="C46" s="14">
        <v>7658.8</v>
      </c>
      <c r="D46" s="14">
        <v>7.8</v>
      </c>
      <c r="E46" s="3">
        <f t="shared" ref="E46:E63" si="2">($B$2*C46^2+$B$3*C46+$B$4)-$B$5*D46-$E$7</f>
        <v>0.10779714931934001</v>
      </c>
      <c r="F46" s="4">
        <f t="shared" ref="F46:F63" si="3">$D$1+102*E46</f>
        <v>736.19530923057278</v>
      </c>
    </row>
    <row r="47" spans="1:6">
      <c r="A47" s="7">
        <v>43342</v>
      </c>
      <c r="B47" s="1">
        <v>0.33333333333333331</v>
      </c>
      <c r="C47" s="14">
        <v>7632.1</v>
      </c>
      <c r="D47" s="14">
        <v>8</v>
      </c>
      <c r="E47" s="3">
        <f t="shared" si="2"/>
        <v>0.11298179172066583</v>
      </c>
      <c r="F47" s="4">
        <f t="shared" si="3"/>
        <v>736.72414275550796</v>
      </c>
    </row>
    <row r="48" spans="1:6">
      <c r="A48" s="7">
        <v>43353</v>
      </c>
      <c r="B48" s="1">
        <v>0.33333333333333331</v>
      </c>
      <c r="C48" s="14">
        <v>7607</v>
      </c>
      <c r="D48" s="14">
        <v>8.5</v>
      </c>
      <c r="E48" s="3">
        <f t="shared" si="2"/>
        <v>0.11884016563640176</v>
      </c>
      <c r="F48" s="4">
        <f t="shared" si="3"/>
        <v>737.32169689491298</v>
      </c>
    </row>
    <row r="49" spans="1:6">
      <c r="A49" s="7">
        <v>43363</v>
      </c>
      <c r="B49" s="1">
        <v>0.33333333333333331</v>
      </c>
      <c r="C49" s="14">
        <v>7633.9</v>
      </c>
      <c r="D49" s="14">
        <v>7.7</v>
      </c>
      <c r="E49" s="3">
        <f t="shared" si="2"/>
        <v>0.11172860941408777</v>
      </c>
      <c r="F49" s="4">
        <f t="shared" si="3"/>
        <v>736.59631816023705</v>
      </c>
    </row>
    <row r="50" spans="1:6">
      <c r="A50" s="7">
        <v>43373</v>
      </c>
      <c r="B50" s="1">
        <v>0.33333333333333331</v>
      </c>
      <c r="C50" s="14">
        <v>7651.2</v>
      </c>
      <c r="D50" s="14">
        <v>7.5</v>
      </c>
      <c r="E50" s="3">
        <f t="shared" si="2"/>
        <v>0.10814716545520023</v>
      </c>
      <c r="F50" s="4">
        <f t="shared" si="3"/>
        <v>736.23101087643045</v>
      </c>
    </row>
    <row r="51" spans="1:6">
      <c r="A51" s="7">
        <v>43383</v>
      </c>
      <c r="B51" s="1">
        <v>0.33333333333333331</v>
      </c>
      <c r="C51" s="14">
        <v>7653.7</v>
      </c>
      <c r="D51" s="14">
        <v>7.5</v>
      </c>
      <c r="E51" s="3">
        <f t="shared" si="2"/>
        <v>0.10772078581980907</v>
      </c>
      <c r="F51" s="4">
        <f t="shared" si="3"/>
        <v>736.18752015362054</v>
      </c>
    </row>
    <row r="52" spans="1:6">
      <c r="A52" s="7">
        <v>43393</v>
      </c>
      <c r="B52" s="1">
        <v>0.33333333333333331</v>
      </c>
      <c r="C52" s="14">
        <v>7656.8</v>
      </c>
      <c r="D52" s="14">
        <v>7.2</v>
      </c>
      <c r="E52" s="3">
        <f t="shared" si="2"/>
        <v>0.106245916888112</v>
      </c>
      <c r="F52" s="4">
        <f t="shared" si="3"/>
        <v>736.03708352258752</v>
      </c>
    </row>
    <row r="53" spans="1:6">
      <c r="A53" s="32">
        <v>43605</v>
      </c>
      <c r="B53" s="1">
        <v>0.33333333333333331</v>
      </c>
      <c r="C53" s="14">
        <v>7678.3</v>
      </c>
      <c r="D53" s="14">
        <v>7</v>
      </c>
      <c r="E53" s="3">
        <f t="shared" si="2"/>
        <v>0.10194850458187704</v>
      </c>
      <c r="F53" s="4">
        <f t="shared" si="3"/>
        <v>735.59874746735147</v>
      </c>
    </row>
    <row r="54" spans="1:6">
      <c r="A54" s="32">
        <v>43615</v>
      </c>
      <c r="B54" s="1">
        <v>0.33333333333333331</v>
      </c>
      <c r="C54" s="14">
        <v>7679.1</v>
      </c>
      <c r="D54" s="14">
        <v>7</v>
      </c>
      <c r="E54" s="3">
        <f t="shared" si="2"/>
        <v>0.10181207789578156</v>
      </c>
      <c r="F54" s="4">
        <f t="shared" si="3"/>
        <v>735.58483194536973</v>
      </c>
    </row>
    <row r="55" spans="1:6">
      <c r="A55" s="32">
        <v>43626</v>
      </c>
      <c r="B55" s="1">
        <v>0.33333333333333331</v>
      </c>
      <c r="C55" s="14">
        <v>7682.4</v>
      </c>
      <c r="D55" s="14">
        <v>7.2</v>
      </c>
      <c r="E55" s="3">
        <f t="shared" si="2"/>
        <v>0.10188009878246104</v>
      </c>
      <c r="F55" s="4">
        <f t="shared" si="3"/>
        <v>735.59177007581104</v>
      </c>
    </row>
    <row r="56" spans="1:6">
      <c r="A56" s="32">
        <v>43636</v>
      </c>
      <c r="B56" s="1">
        <v>0.33333333333333331</v>
      </c>
      <c r="C56" s="14">
        <v>7684.7</v>
      </c>
      <c r="D56" s="14">
        <v>7.3</v>
      </c>
      <c r="E56" s="3">
        <f t="shared" si="2"/>
        <v>0.10180326802008488</v>
      </c>
      <c r="F56" s="4">
        <f t="shared" si="3"/>
        <v>735.58393333804872</v>
      </c>
    </row>
    <row r="57" spans="1:6">
      <c r="A57" s="7">
        <v>43646</v>
      </c>
      <c r="B57" s="1">
        <v>0.33333333333333331</v>
      </c>
      <c r="C57" s="14">
        <v>7680.1</v>
      </c>
      <c r="D57" s="14">
        <v>7.3</v>
      </c>
      <c r="E57" s="3">
        <f t="shared" si="2"/>
        <v>0.10258770947232976</v>
      </c>
      <c r="F57" s="4">
        <f t="shared" si="3"/>
        <v>735.6639463661777</v>
      </c>
    </row>
    <row r="58" spans="1:6">
      <c r="A58" s="7">
        <v>43656</v>
      </c>
      <c r="B58" s="1">
        <v>0.33333333333333331</v>
      </c>
      <c r="C58" s="14">
        <v>7671.9</v>
      </c>
      <c r="D58" s="14">
        <v>7.4</v>
      </c>
      <c r="E58" s="3">
        <f t="shared" si="2"/>
        <v>0.10430148670531381</v>
      </c>
      <c r="F58" s="4">
        <f t="shared" si="3"/>
        <v>735.83875164394203</v>
      </c>
    </row>
    <row r="59" spans="1:6">
      <c r="A59" s="7">
        <v>43666</v>
      </c>
      <c r="B59" s="1">
        <v>0.33333333333333331</v>
      </c>
      <c r="C59" s="14">
        <v>7665.7</v>
      </c>
      <c r="D59" s="14">
        <v>7.4</v>
      </c>
      <c r="E59" s="3">
        <f t="shared" si="2"/>
        <v>0.10535883677274094</v>
      </c>
      <c r="F59" s="4">
        <f t="shared" si="3"/>
        <v>735.94660135081961</v>
      </c>
    </row>
    <row r="60" spans="1:6">
      <c r="A60" s="7">
        <v>43676</v>
      </c>
      <c r="B60" s="1">
        <v>0.33333333333333331</v>
      </c>
      <c r="C60" s="14">
        <v>7647.9</v>
      </c>
      <c r="D60" s="14">
        <v>7.6</v>
      </c>
      <c r="E60" s="3">
        <f t="shared" si="2"/>
        <v>0.10902538141722579</v>
      </c>
      <c r="F60" s="4">
        <f t="shared" si="3"/>
        <v>736.3205889045571</v>
      </c>
    </row>
    <row r="61" spans="1:6">
      <c r="A61" s="7">
        <v>43687</v>
      </c>
      <c r="B61" s="1">
        <v>0.33333333333333331</v>
      </c>
      <c r="C61" s="14">
        <v>7640.2</v>
      </c>
      <c r="D61" s="14">
        <v>7.6</v>
      </c>
      <c r="E61" s="3">
        <f t="shared" si="2"/>
        <v>0.11033867626969923</v>
      </c>
      <c r="F61" s="4">
        <f t="shared" si="3"/>
        <v>736.45454497950936</v>
      </c>
    </row>
    <row r="62" spans="1:6">
      <c r="A62" s="7">
        <v>43697</v>
      </c>
      <c r="B62" s="1">
        <v>0.33333333333333331</v>
      </c>
      <c r="C62" s="14">
        <v>7627.2</v>
      </c>
      <c r="D62" s="14">
        <v>7.6</v>
      </c>
      <c r="E62" s="3">
        <f t="shared" si="2"/>
        <v>0.11255602212729637</v>
      </c>
      <c r="F62" s="4">
        <f t="shared" si="3"/>
        <v>736.68071425698429</v>
      </c>
    </row>
    <row r="63" spans="1:6">
      <c r="A63" s="7">
        <v>43707</v>
      </c>
      <c r="B63" s="1">
        <v>0.33333333333333331</v>
      </c>
      <c r="C63" s="14">
        <v>7603.7</v>
      </c>
      <c r="D63" s="14">
        <v>7.7</v>
      </c>
      <c r="E63" s="3">
        <f t="shared" si="2"/>
        <v>0.11687999147575887</v>
      </c>
      <c r="F63" s="4">
        <f t="shared" si="3"/>
        <v>737.12175913052749</v>
      </c>
    </row>
  </sheetData>
  <phoneticPr fontId="4" type="noConversion"/>
  <pageMargins left="0.69930555555555596" right="0.69930555555555596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3"/>
  <sheetViews>
    <sheetView topLeftCell="A37" workbookViewId="0">
      <selection activeCell="A57" sqref="A57:B63"/>
    </sheetView>
  </sheetViews>
  <sheetFormatPr defaultColWidth="9" defaultRowHeight="13.5"/>
  <cols>
    <col min="1" max="1" width="11.375" customWidth="1"/>
    <col min="2" max="2" width="13.875" customWidth="1"/>
  </cols>
  <sheetData>
    <row r="1" spans="1:7">
      <c r="A1" t="s">
        <v>0</v>
      </c>
      <c r="B1">
        <v>11388</v>
      </c>
      <c r="C1" t="s">
        <v>1</v>
      </c>
      <c r="D1">
        <v>735</v>
      </c>
    </row>
    <row r="2" spans="1:7">
      <c r="A2" t="s">
        <v>2</v>
      </c>
      <c r="B2" s="10">
        <v>2.26546E-10</v>
      </c>
    </row>
    <row r="3" spans="1:7">
      <c r="A3" t="s">
        <v>3</v>
      </c>
      <c r="B3">
        <v>-2.5257200000000001E-4</v>
      </c>
    </row>
    <row r="4" spans="1:7">
      <c r="A4" t="s">
        <v>4</v>
      </c>
      <c r="B4">
        <v>2.32108816</v>
      </c>
    </row>
    <row r="5" spans="1:7">
      <c r="A5" t="s">
        <v>5</v>
      </c>
      <c r="B5">
        <v>-4.5390910000000003E-3</v>
      </c>
    </row>
    <row r="6" spans="1:7">
      <c r="A6" t="s">
        <v>6</v>
      </c>
      <c r="B6" t="s">
        <v>7</v>
      </c>
      <c r="C6" t="s">
        <v>8</v>
      </c>
      <c r="D6" t="s">
        <v>9</v>
      </c>
      <c r="E6" t="s">
        <v>10</v>
      </c>
      <c r="F6" t="s">
        <v>11</v>
      </c>
      <c r="G6" t="s">
        <v>12</v>
      </c>
    </row>
    <row r="7" spans="1:7">
      <c r="A7" s="7">
        <v>42612</v>
      </c>
      <c r="B7" s="1">
        <v>0.54166666666666696</v>
      </c>
      <c r="C7" s="2">
        <v>9109.2000000000007</v>
      </c>
      <c r="D7" s="2">
        <v>13.1</v>
      </c>
      <c r="E7" s="3">
        <f>($B$2*C7^2+$B$3*C7+$B$4)-$B$5*D7</f>
        <v>9.8619615997093152E-2</v>
      </c>
      <c r="G7" t="s">
        <v>13</v>
      </c>
    </row>
    <row r="8" spans="1:7">
      <c r="A8" s="7">
        <v>42614</v>
      </c>
      <c r="B8" s="1">
        <v>0.3125</v>
      </c>
      <c r="C8" s="2">
        <v>9162.7000000000007</v>
      </c>
      <c r="D8" s="2">
        <v>17.2</v>
      </c>
      <c r="E8" s="3">
        <f t="shared" ref="E8:E36" si="0">($B$2*C8^2+$B$3*C8+$B$4)-$B$5*D8-$E$7</f>
        <v>5.319130383371104E-3</v>
      </c>
      <c r="F8" s="4">
        <f>$D$1+102*E8</f>
        <v>735.54255129910382</v>
      </c>
      <c r="G8" t="s">
        <v>14</v>
      </c>
    </row>
    <row r="9" spans="1:7">
      <c r="A9" s="7">
        <v>42615</v>
      </c>
      <c r="B9" s="1">
        <v>0.33333333333333298</v>
      </c>
      <c r="C9" s="2">
        <v>9137.6</v>
      </c>
      <c r="D9" s="2">
        <v>16.2</v>
      </c>
      <c r="E9" s="3">
        <f t="shared" si="0"/>
        <v>7.0155355032995581E-3</v>
      </c>
      <c r="F9" s="4">
        <f t="shared" ref="F9:F45" si="1">$D$1+102*E9</f>
        <v>735.71558462133657</v>
      </c>
    </row>
    <row r="10" spans="1:7">
      <c r="A10" s="7">
        <v>42616</v>
      </c>
      <c r="B10" s="1">
        <v>0.33333333333333298</v>
      </c>
      <c r="C10" s="2">
        <v>9127.6</v>
      </c>
      <c r="D10" s="2">
        <v>15.9</v>
      </c>
      <c r="E10" s="3">
        <f t="shared" si="0"/>
        <v>8.1381491233077224E-3</v>
      </c>
      <c r="F10" s="4">
        <f t="shared" si="1"/>
        <v>735.83009121057739</v>
      </c>
    </row>
    <row r="11" spans="1:7">
      <c r="A11" s="7">
        <v>42617</v>
      </c>
      <c r="B11" s="1">
        <v>0.33333333333333298</v>
      </c>
      <c r="C11" s="2">
        <v>9114</v>
      </c>
      <c r="D11" s="2">
        <v>15.4</v>
      </c>
      <c r="E11" s="3">
        <f t="shared" si="0"/>
        <v>9.2473799867227174E-3</v>
      </c>
      <c r="F11" s="4">
        <f t="shared" si="1"/>
        <v>735.94323275864576</v>
      </c>
    </row>
    <row r="12" spans="1:7">
      <c r="A12" s="7">
        <v>42618</v>
      </c>
      <c r="B12" s="1">
        <v>0.33333333333333298</v>
      </c>
      <c r="C12" s="2">
        <v>9111.4</v>
      </c>
      <c r="D12" s="2">
        <v>15.1</v>
      </c>
      <c r="E12" s="3">
        <f t="shared" si="0"/>
        <v>8.5316047689051461E-3</v>
      </c>
      <c r="F12" s="4">
        <f t="shared" si="1"/>
        <v>735.87022368642829</v>
      </c>
    </row>
    <row r="13" spans="1:7">
      <c r="A13" s="7">
        <v>42619</v>
      </c>
      <c r="B13" s="1">
        <v>0.33333333333333298</v>
      </c>
      <c r="C13" s="2">
        <v>9112.7999999999993</v>
      </c>
      <c r="D13" s="2">
        <v>15.3</v>
      </c>
      <c r="E13" s="3">
        <f t="shared" si="0"/>
        <v>9.0916022363635718E-3</v>
      </c>
      <c r="F13" s="4">
        <f t="shared" si="1"/>
        <v>735.92734342810911</v>
      </c>
    </row>
    <row r="14" spans="1:7">
      <c r="A14" s="7">
        <v>42620</v>
      </c>
      <c r="B14" s="1">
        <v>0.33333333333333298</v>
      </c>
      <c r="C14" s="2">
        <v>9118.6</v>
      </c>
      <c r="D14" s="2">
        <v>15.5</v>
      </c>
      <c r="E14" s="3">
        <f t="shared" si="0"/>
        <v>8.558458290680776E-3</v>
      </c>
      <c r="F14" s="4">
        <f t="shared" si="1"/>
        <v>735.87296274564949</v>
      </c>
    </row>
    <row r="15" spans="1:7">
      <c r="A15" s="7">
        <v>42623</v>
      </c>
      <c r="B15" s="1">
        <v>0.33333333333333298</v>
      </c>
      <c r="C15" s="2">
        <v>9120.4</v>
      </c>
      <c r="D15" s="2">
        <v>16</v>
      </c>
      <c r="E15" s="3">
        <f t="shared" si="0"/>
        <v>1.0380811741170393E-2</v>
      </c>
      <c r="F15" s="4">
        <f t="shared" si="1"/>
        <v>736.05884279759937</v>
      </c>
    </row>
    <row r="16" spans="1:7">
      <c r="A16" s="7">
        <v>42633</v>
      </c>
      <c r="B16" s="1">
        <v>0.33333333333333331</v>
      </c>
      <c r="C16" s="2">
        <v>9069.2999999999993</v>
      </c>
      <c r="D16" s="2">
        <v>13.4</v>
      </c>
      <c r="E16" s="3">
        <f t="shared" si="0"/>
        <v>1.127503126820667E-2</v>
      </c>
      <c r="F16" s="4">
        <f t="shared" si="1"/>
        <v>736.1500531893571</v>
      </c>
    </row>
    <row r="17" spans="1:7">
      <c r="A17" s="7">
        <v>42643</v>
      </c>
      <c r="B17" s="9">
        <v>0.33333333333333331</v>
      </c>
      <c r="C17" s="2">
        <v>8962.7000000000007</v>
      </c>
      <c r="D17" s="2">
        <v>11.8</v>
      </c>
      <c r="E17" s="3">
        <f t="shared" si="0"/>
        <v>3.050119160969067E-2</v>
      </c>
      <c r="F17" s="4">
        <f t="shared" si="1"/>
        <v>738.11112154418845</v>
      </c>
    </row>
    <row r="18" spans="1:7">
      <c r="A18" s="7">
        <v>42653</v>
      </c>
      <c r="B18" s="9">
        <v>0.33333333333333331</v>
      </c>
      <c r="C18" s="2">
        <v>9025.7000000000007</v>
      </c>
      <c r="D18" s="2">
        <v>11.6</v>
      </c>
      <c r="E18" s="3">
        <f t="shared" si="0"/>
        <v>1.393807501387398E-2</v>
      </c>
      <c r="F18" s="4">
        <f t="shared" si="1"/>
        <v>736.42168365141515</v>
      </c>
    </row>
    <row r="19" spans="1:7">
      <c r="A19" s="7">
        <v>42855</v>
      </c>
      <c r="B19" s="1">
        <v>0.33333333333333331</v>
      </c>
      <c r="C19" s="2">
        <v>8851.1</v>
      </c>
      <c r="D19" s="2">
        <v>3.9</v>
      </c>
      <c r="E19" s="3">
        <f t="shared" si="0"/>
        <v>2.2379029912647591E-2</v>
      </c>
      <c r="F19" s="4">
        <f t="shared" si="1"/>
        <v>737.28266105109003</v>
      </c>
      <c r="G19" s="2"/>
    </row>
    <row r="20" spans="1:7">
      <c r="A20" s="7">
        <v>42865</v>
      </c>
      <c r="B20" s="9">
        <v>0.33333333333333331</v>
      </c>
      <c r="C20" s="2">
        <v>8821.1</v>
      </c>
      <c r="D20" s="2">
        <v>3.8</v>
      </c>
      <c r="E20" s="3">
        <f t="shared" si="0"/>
        <v>2.9382173826011132E-2</v>
      </c>
      <c r="F20" s="4">
        <f t="shared" si="1"/>
        <v>737.99698173025308</v>
      </c>
      <c r="G20" s="2"/>
    </row>
    <row r="21" spans="1:7">
      <c r="A21" s="7">
        <v>42875</v>
      </c>
      <c r="B21" s="1">
        <v>0.33333333333333331</v>
      </c>
      <c r="C21" s="2">
        <v>8840.9</v>
      </c>
      <c r="D21" s="2">
        <v>3.7</v>
      </c>
      <c r="E21" s="3">
        <f t="shared" si="0"/>
        <v>2.4006563983961005E-2</v>
      </c>
      <c r="F21" s="4">
        <f t="shared" si="1"/>
        <v>737.44866952636403</v>
      </c>
      <c r="G21" s="2"/>
    </row>
    <row r="22" spans="1:7">
      <c r="A22" s="7">
        <v>42885</v>
      </c>
      <c r="B22" s="1">
        <v>0.33333333333333331</v>
      </c>
      <c r="C22" s="2">
        <v>8851.2000000000007</v>
      </c>
      <c r="D22" s="2">
        <v>3.6</v>
      </c>
      <c r="E22" s="3">
        <f t="shared" si="0"/>
        <v>2.0992446451172736E-2</v>
      </c>
      <c r="F22" s="4">
        <f t="shared" si="1"/>
        <v>737.14122953801962</v>
      </c>
      <c r="G22" s="2"/>
    </row>
    <row r="23" spans="1:7">
      <c r="A23" s="6">
        <v>42896</v>
      </c>
      <c r="B23" s="1">
        <v>0.33333333333333331</v>
      </c>
      <c r="C23" s="2">
        <v>8849.2999999999993</v>
      </c>
      <c r="D23" s="2">
        <v>3.6</v>
      </c>
      <c r="E23" s="3">
        <f t="shared" si="0"/>
        <v>2.1464714293974257E-2</v>
      </c>
      <c r="F23" s="4">
        <f t="shared" si="1"/>
        <v>737.18940085798533</v>
      </c>
    </row>
    <row r="24" spans="1:7">
      <c r="A24" s="7">
        <v>42906</v>
      </c>
      <c r="B24" s="1">
        <v>0.33333333333333331</v>
      </c>
      <c r="C24" s="2">
        <v>8845.9</v>
      </c>
      <c r="D24" s="2">
        <v>3.7</v>
      </c>
      <c r="E24" s="3">
        <f t="shared" si="0"/>
        <v>2.2763738352925056E-2</v>
      </c>
      <c r="F24" s="4">
        <f t="shared" si="1"/>
        <v>737.32190131199832</v>
      </c>
    </row>
    <row r="25" spans="1:7">
      <c r="A25" s="7">
        <v>42916</v>
      </c>
      <c r="B25" s="1">
        <v>0.33333333333333331</v>
      </c>
      <c r="C25" s="2">
        <v>8851.1</v>
      </c>
      <c r="D25" s="2">
        <v>3.9</v>
      </c>
      <c r="E25" s="3">
        <f t="shared" si="0"/>
        <v>2.2379029912647591E-2</v>
      </c>
      <c r="F25" s="4">
        <f t="shared" si="1"/>
        <v>737.28266105109003</v>
      </c>
    </row>
    <row r="26" spans="1:7">
      <c r="A26" s="7">
        <v>42926</v>
      </c>
      <c r="B26" s="1">
        <v>0.33333333333333331</v>
      </c>
      <c r="C26" s="2">
        <v>8859.7999999999993</v>
      </c>
      <c r="D26" s="2">
        <v>4.0999999999999996</v>
      </c>
      <c r="E26" s="3">
        <f t="shared" si="0"/>
        <v>2.1124379014544781E-2</v>
      </c>
      <c r="F26" s="4">
        <f t="shared" si="1"/>
        <v>737.15468665948356</v>
      </c>
    </row>
    <row r="27" spans="1:7">
      <c r="A27" s="7">
        <v>42936</v>
      </c>
      <c r="B27" s="1">
        <v>0.33333333333333331</v>
      </c>
      <c r="C27" s="2">
        <v>8863.1</v>
      </c>
      <c r="D27" s="2">
        <v>4.3</v>
      </c>
      <c r="E27" s="3">
        <f t="shared" si="0"/>
        <v>2.1211959286485713E-2</v>
      </c>
      <c r="F27" s="4">
        <f t="shared" si="1"/>
        <v>737.16361984722153</v>
      </c>
    </row>
    <row r="28" spans="1:7">
      <c r="A28" s="7">
        <v>42946</v>
      </c>
      <c r="B28" s="1">
        <v>0.33333333333333331</v>
      </c>
      <c r="C28" s="2">
        <v>8872.1</v>
      </c>
      <c r="D28" s="2">
        <v>4.5999999999999996</v>
      </c>
      <c r="E28" s="3">
        <f t="shared" si="0"/>
        <v>2.0336699134058431E-2</v>
      </c>
      <c r="F28" s="4">
        <f t="shared" si="1"/>
        <v>737.07434331167394</v>
      </c>
    </row>
    <row r="29" spans="1:7">
      <c r="A29" s="7">
        <v>42957</v>
      </c>
      <c r="B29" s="1">
        <v>0.33333333333333331</v>
      </c>
      <c r="C29" s="2">
        <v>8881.7999999999993</v>
      </c>
      <c r="D29" s="2">
        <v>5.4</v>
      </c>
      <c r="E29" s="3">
        <f t="shared" si="0"/>
        <v>2.1557037661843928E-2</v>
      </c>
      <c r="F29" s="4">
        <f t="shared" si="1"/>
        <v>737.19881784150812</v>
      </c>
    </row>
    <row r="30" spans="1:7">
      <c r="A30" s="7">
        <v>42967</v>
      </c>
      <c r="B30" s="1">
        <v>0.33333333333333331</v>
      </c>
      <c r="C30" s="2">
        <v>8886.4</v>
      </c>
      <c r="D30" s="2">
        <v>5.8</v>
      </c>
      <c r="E30" s="3">
        <f t="shared" si="0"/>
        <v>2.2229359309175217E-2</v>
      </c>
      <c r="F30" s="4">
        <f t="shared" si="1"/>
        <v>737.26739464953585</v>
      </c>
    </row>
    <row r="31" spans="1:7">
      <c r="A31" s="7">
        <v>42977</v>
      </c>
      <c r="B31" s="1">
        <v>0.33333333333333331</v>
      </c>
      <c r="C31" s="2">
        <v>8899.7999999999993</v>
      </c>
      <c r="D31" s="2">
        <v>6.3</v>
      </c>
      <c r="E31" s="3">
        <f t="shared" si="0"/>
        <v>2.1168433868208936E-2</v>
      </c>
      <c r="F31" s="4">
        <f t="shared" si="1"/>
        <v>737.15918025455733</v>
      </c>
    </row>
    <row r="32" spans="1:7">
      <c r="A32" s="7">
        <v>42988</v>
      </c>
      <c r="B32" s="1">
        <v>0.33333333333333331</v>
      </c>
      <c r="C32" s="2">
        <v>8905.2999999999993</v>
      </c>
      <c r="D32" s="2">
        <v>7.6</v>
      </c>
      <c r="E32" s="3">
        <f t="shared" si="0"/>
        <v>2.5702291376223874E-2</v>
      </c>
      <c r="F32" s="4">
        <f t="shared" si="1"/>
        <v>737.6216337203748</v>
      </c>
    </row>
    <row r="33" spans="1:6">
      <c r="A33" s="7">
        <v>42998</v>
      </c>
      <c r="B33" s="1">
        <v>0.33333333333333331</v>
      </c>
      <c r="C33" s="2">
        <v>8912.7000000000007</v>
      </c>
      <c r="D33" s="2">
        <v>6.8</v>
      </c>
      <c r="E33" s="3">
        <f t="shared" si="0"/>
        <v>2.0231856591270941E-2</v>
      </c>
      <c r="F33" s="4">
        <f t="shared" si="1"/>
        <v>737.06364937230967</v>
      </c>
    </row>
    <row r="34" spans="1:6">
      <c r="A34" s="7">
        <v>43008</v>
      </c>
      <c r="B34" s="1">
        <v>0.33333333333333331</v>
      </c>
      <c r="C34" s="2">
        <v>8915.9</v>
      </c>
      <c r="D34" s="2">
        <v>7.2</v>
      </c>
      <c r="E34" s="3">
        <f t="shared" si="0"/>
        <v>2.1252187384920837E-2</v>
      </c>
      <c r="F34" s="4">
        <f t="shared" si="1"/>
        <v>737.1677231132619</v>
      </c>
    </row>
    <row r="35" spans="1:6">
      <c r="A35" s="7">
        <v>43018</v>
      </c>
      <c r="B35" s="1">
        <v>0.33333333333333331</v>
      </c>
      <c r="C35" s="2">
        <v>8916.7000000000007</v>
      </c>
      <c r="D35" s="2">
        <v>7.3</v>
      </c>
      <c r="E35" s="3">
        <f t="shared" si="0"/>
        <v>2.1507270808280299E-2</v>
      </c>
      <c r="F35" s="4">
        <f t="shared" si="1"/>
        <v>737.19374162244458</v>
      </c>
    </row>
    <row r="36" spans="1:6">
      <c r="A36" s="7">
        <v>43230</v>
      </c>
      <c r="B36" s="1">
        <v>0.33333333333333331</v>
      </c>
      <c r="C36" s="2">
        <v>8887.7999999999993</v>
      </c>
      <c r="D36" s="2">
        <v>5.4</v>
      </c>
      <c r="E36" s="3">
        <f t="shared" si="0"/>
        <v>2.0065759452653445E-2</v>
      </c>
      <c r="F36" s="4">
        <f t="shared" si="1"/>
        <v>737.04670746417059</v>
      </c>
    </row>
    <row r="37" spans="1:6">
      <c r="A37" s="7">
        <v>43240</v>
      </c>
      <c r="B37" s="1">
        <v>0.33333333333333331</v>
      </c>
      <c r="C37" s="2">
        <v>8885.7999999999993</v>
      </c>
      <c r="D37" s="2">
        <v>6.1</v>
      </c>
      <c r="E37" s="3">
        <f>($B$2*C37^2+$B$3*C37+$B$4)-$B$5*D37-$E$7</f>
        <v>2.3740214076682378E-2</v>
      </c>
      <c r="F37" s="4">
        <f t="shared" si="1"/>
        <v>737.42150183582157</v>
      </c>
    </row>
    <row r="38" spans="1:6">
      <c r="A38" s="7">
        <v>43250</v>
      </c>
      <c r="B38" s="1">
        <v>0.33333333333333331</v>
      </c>
      <c r="C38" s="2">
        <v>8881.1</v>
      </c>
      <c r="D38" s="2">
        <v>5.2</v>
      </c>
      <c r="E38" s="3">
        <f>($B$2*C38^2+$B$3*C38+$B$4)-$B$5*D38-$E$7</f>
        <v>2.082320298208315E-2</v>
      </c>
      <c r="F38" s="4">
        <f t="shared" si="1"/>
        <v>737.12396670417252</v>
      </c>
    </row>
    <row r="39" spans="1:6">
      <c r="A39" s="7">
        <v>43261</v>
      </c>
      <c r="B39" s="1">
        <v>0.33333333333333331</v>
      </c>
      <c r="C39" s="2">
        <v>8865.9</v>
      </c>
      <c r="D39" s="2">
        <v>5.0999999999999996</v>
      </c>
      <c r="E39" s="3">
        <f>($B$2*C39^2+$B$3*C39+$B$4)-$B$5*D39-$E$7</f>
        <v>2.4147276501781126E-2</v>
      </c>
      <c r="F39" s="4">
        <f t="shared" si="1"/>
        <v>737.46302220318171</v>
      </c>
    </row>
    <row r="40" spans="1:6">
      <c r="A40" s="7">
        <v>43271</v>
      </c>
      <c r="B40" s="1">
        <v>0.33333333333333331</v>
      </c>
      <c r="C40" s="2">
        <v>8835</v>
      </c>
      <c r="D40" s="2">
        <v>5</v>
      </c>
      <c r="E40" s="3">
        <f>($B$2*C40^2+$B$3*C40+$B$4)-$B$5*D40-$E$7</f>
        <v>3.1373931097756935E-2</v>
      </c>
      <c r="F40" s="4">
        <f t="shared" si="1"/>
        <v>738.20014097197122</v>
      </c>
    </row>
    <row r="41" spans="1:6">
      <c r="A41" s="7">
        <v>43281</v>
      </c>
      <c r="B41" s="1">
        <v>0.33333333333333331</v>
      </c>
      <c r="C41" s="2">
        <v>8844.1</v>
      </c>
      <c r="D41" s="2">
        <v>5.5</v>
      </c>
      <c r="E41" s="3">
        <f>($B$2*C41^2+$B$3*C41+$B$4)-$B$5*D41-$E$7</f>
        <v>3.1381518075193099E-2</v>
      </c>
      <c r="F41" s="4">
        <f t="shared" si="1"/>
        <v>738.20091484366969</v>
      </c>
    </row>
    <row r="42" spans="1:6">
      <c r="A42" s="7">
        <v>43291</v>
      </c>
      <c r="B42" s="1">
        <v>0.33333333333333331</v>
      </c>
      <c r="C42" s="2">
        <v>8867.2000000000007</v>
      </c>
      <c r="D42" s="2">
        <v>5.6</v>
      </c>
      <c r="E42" s="3">
        <f t="shared" ref="E42:E45" si="2">($B$2*C42^2+$B$3*C42+$B$4)-$B$5*D42-$E$7</f>
        <v>2.6093700973515196E-2</v>
      </c>
      <c r="F42" s="4">
        <f t="shared" si="1"/>
        <v>737.66155749929851</v>
      </c>
    </row>
    <row r="43" spans="1:6">
      <c r="A43" s="7">
        <v>43301</v>
      </c>
      <c r="B43" s="1">
        <v>0.33333333333333331</v>
      </c>
      <c r="C43" s="2">
        <v>8871.1</v>
      </c>
      <c r="D43" s="2">
        <v>5.7</v>
      </c>
      <c r="E43" s="3">
        <f t="shared" si="2"/>
        <v>2.5578251583071643E-2</v>
      </c>
      <c r="F43" s="4">
        <f t="shared" si="1"/>
        <v>737.60898166147331</v>
      </c>
    </row>
    <row r="44" spans="1:6">
      <c r="A44" s="7">
        <v>43311</v>
      </c>
      <c r="B44" s="1">
        <v>0.33333333333333331</v>
      </c>
      <c r="C44" s="2">
        <v>8868.6</v>
      </c>
      <c r="D44" s="2">
        <v>5.3</v>
      </c>
      <c r="E44" s="3">
        <f t="shared" si="2"/>
        <v>2.4383998037881049E-2</v>
      </c>
      <c r="F44" s="4">
        <f t="shared" si="1"/>
        <v>737.48716779986387</v>
      </c>
    </row>
    <row r="45" spans="1:6">
      <c r="A45" s="7">
        <v>43322</v>
      </c>
      <c r="B45" s="1">
        <v>0.33333333333333331</v>
      </c>
      <c r="C45" s="2">
        <v>8861.6</v>
      </c>
      <c r="D45" s="2">
        <v>5.7</v>
      </c>
      <c r="E45" s="3">
        <f t="shared" si="2"/>
        <v>2.7939521496656516E-2</v>
      </c>
      <c r="F45" s="4">
        <f t="shared" si="1"/>
        <v>737.84983119265894</v>
      </c>
    </row>
    <row r="46" spans="1:6">
      <c r="A46" s="7">
        <v>43332</v>
      </c>
      <c r="B46" s="1">
        <v>0.33333333333333331</v>
      </c>
      <c r="C46" s="2">
        <v>8872.2999999999993</v>
      </c>
      <c r="D46" s="2">
        <v>5.8</v>
      </c>
      <c r="E46" s="3">
        <f t="shared" ref="E46:E63" si="3">($B$2*C46^2+$B$3*C46+$B$4)-$B$5*D46-$E$7</f>
        <v>2.5733897918627319E-2</v>
      </c>
      <c r="F46" s="4">
        <f t="shared" ref="F46:F63" si="4">$D$1+102*E46</f>
        <v>737.62485758770003</v>
      </c>
    </row>
    <row r="47" spans="1:6">
      <c r="A47" s="7">
        <v>43342</v>
      </c>
      <c r="B47" s="1">
        <v>0.33333333333333331</v>
      </c>
      <c r="C47" s="2">
        <v>8864.2000000000007</v>
      </c>
      <c r="D47" s="2">
        <v>6.1</v>
      </c>
      <c r="E47" s="3">
        <f t="shared" si="3"/>
        <v>2.9108911540281973E-2</v>
      </c>
      <c r="F47" s="4">
        <f t="shared" si="4"/>
        <v>737.96910897710882</v>
      </c>
    </row>
    <row r="48" spans="1:6">
      <c r="A48" s="7">
        <v>43353</v>
      </c>
      <c r="B48" s="1">
        <v>0.33333333333333331</v>
      </c>
      <c r="C48" s="2">
        <v>8856.2000000000007</v>
      </c>
      <c r="D48" s="2">
        <v>7.5</v>
      </c>
      <c r="E48" s="3">
        <f t="shared" si="3"/>
        <v>3.7452099054374882E-2</v>
      </c>
      <c r="F48" s="4">
        <f t="shared" si="4"/>
        <v>738.82011410354619</v>
      </c>
    </row>
    <row r="49" spans="1:6">
      <c r="A49" s="7">
        <v>43363</v>
      </c>
      <c r="B49" s="1">
        <v>0.33333333333333331</v>
      </c>
      <c r="C49" s="2">
        <v>8884.9</v>
      </c>
      <c r="D49" s="2">
        <v>7.4</v>
      </c>
      <c r="E49" s="3">
        <f t="shared" si="3"/>
        <v>2.9864723883780281E-2</v>
      </c>
      <c r="F49" s="4">
        <f t="shared" si="4"/>
        <v>738.04620183614554</v>
      </c>
    </row>
    <row r="50" spans="1:6">
      <c r="A50" s="7">
        <v>43373</v>
      </c>
      <c r="B50" s="1">
        <v>0.33333333333333331</v>
      </c>
      <c r="C50" s="2">
        <v>8897.2000000000007</v>
      </c>
      <c r="D50" s="2">
        <v>7.2</v>
      </c>
      <c r="E50" s="3">
        <f t="shared" si="3"/>
        <v>2.5899820186387021E-2</v>
      </c>
      <c r="F50" s="4">
        <f t="shared" si="4"/>
        <v>737.64178165901149</v>
      </c>
    </row>
    <row r="51" spans="1:6">
      <c r="A51" s="7">
        <v>43383</v>
      </c>
      <c r="B51" s="1">
        <v>0.33333333333333331</v>
      </c>
      <c r="C51" s="2">
        <v>8900.2999999999993</v>
      </c>
      <c r="D51" s="2">
        <v>7.2</v>
      </c>
      <c r="E51" s="3">
        <f t="shared" si="3"/>
        <v>2.5129346038936226E-2</v>
      </c>
      <c r="F51" s="4">
        <f t="shared" si="4"/>
        <v>737.56319329597147</v>
      </c>
    </row>
    <row r="52" spans="1:6">
      <c r="A52" s="7">
        <v>43393</v>
      </c>
      <c r="B52" s="1">
        <v>0.33333333333333331</v>
      </c>
      <c r="C52" s="2">
        <v>8903.4</v>
      </c>
      <c r="D52" s="2">
        <v>7</v>
      </c>
      <c r="E52" s="3">
        <f t="shared" si="3"/>
        <v>2.3451058045698858E-2</v>
      </c>
      <c r="F52" s="4">
        <f t="shared" si="4"/>
        <v>737.39200792066129</v>
      </c>
    </row>
    <row r="53" spans="1:6">
      <c r="A53" s="32">
        <v>43605</v>
      </c>
      <c r="B53" s="1">
        <v>0.33333333333333331</v>
      </c>
      <c r="C53" s="2">
        <v>8927.2999999999993</v>
      </c>
      <c r="D53" s="2">
        <v>6.8</v>
      </c>
      <c r="E53" s="3">
        <f t="shared" si="3"/>
        <v>1.66033124686156E-2</v>
      </c>
      <c r="F53" s="4">
        <f t="shared" si="4"/>
        <v>736.69353787179875</v>
      </c>
    </row>
    <row r="54" spans="1:6">
      <c r="A54" s="32">
        <v>43615</v>
      </c>
      <c r="B54" s="1">
        <v>0.33333333333333331</v>
      </c>
      <c r="C54" s="2">
        <v>8932.6</v>
      </c>
      <c r="D54" s="2">
        <v>6.8</v>
      </c>
      <c r="E54" s="3">
        <f t="shared" si="3"/>
        <v>1.5286125139813561E-2</v>
      </c>
      <c r="F54" s="4">
        <f t="shared" si="4"/>
        <v>736.55918476426098</v>
      </c>
    </row>
    <row r="55" spans="1:6">
      <c r="A55" s="32">
        <v>43626</v>
      </c>
      <c r="B55" s="1">
        <v>0.33333333333333331</v>
      </c>
      <c r="C55" s="2">
        <v>8935.7000000000007</v>
      </c>
      <c r="D55" s="2">
        <v>7.1</v>
      </c>
      <c r="E55" s="3">
        <f t="shared" si="3"/>
        <v>1.5877428014677925E-2</v>
      </c>
      <c r="F55" s="4">
        <f t="shared" si="4"/>
        <v>736.61949765749716</v>
      </c>
    </row>
    <row r="56" spans="1:6">
      <c r="A56" s="32">
        <v>43636</v>
      </c>
      <c r="B56" s="1">
        <v>0.33333333333333331</v>
      </c>
      <c r="C56" s="2">
        <v>8938.2999999999993</v>
      </c>
      <c r="D56" s="2">
        <v>7.2</v>
      </c>
      <c r="E56" s="3">
        <f t="shared" si="3"/>
        <v>1.5685178051008872E-2</v>
      </c>
      <c r="F56" s="4">
        <f t="shared" si="4"/>
        <v>736.5998881612029</v>
      </c>
    </row>
    <row r="57" spans="1:6">
      <c r="A57" s="7">
        <v>43646</v>
      </c>
      <c r="B57" s="1">
        <v>0.33333333333333331</v>
      </c>
      <c r="C57" s="2">
        <v>8919.7000000000007</v>
      </c>
      <c r="D57" s="2">
        <v>7.2</v>
      </c>
      <c r="E57" s="3">
        <f t="shared" si="3"/>
        <v>2.0307768003503632E-2</v>
      </c>
      <c r="F57" s="4">
        <f t="shared" si="4"/>
        <v>737.07139233635735</v>
      </c>
    </row>
    <row r="58" spans="1:6">
      <c r="A58" s="7">
        <v>43656</v>
      </c>
      <c r="B58" s="1">
        <v>0.33333333333333331</v>
      </c>
      <c r="C58" s="2">
        <v>8901.2999999999993</v>
      </c>
      <c r="D58" s="2">
        <v>7.3</v>
      </c>
      <c r="E58" s="3">
        <f t="shared" si="3"/>
        <v>2.5334716020209647E-2</v>
      </c>
      <c r="F58" s="4">
        <f t="shared" si="4"/>
        <v>737.58414103406142</v>
      </c>
    </row>
    <row r="59" spans="1:6">
      <c r="A59" s="7">
        <v>43666</v>
      </c>
      <c r="B59" s="1">
        <v>0.33333333333333331</v>
      </c>
      <c r="C59" s="2">
        <v>8896.2000000000007</v>
      </c>
      <c r="D59" s="2">
        <v>7.3</v>
      </c>
      <c r="E59" s="3">
        <f t="shared" si="3"/>
        <v>2.6602270262790717E-2</v>
      </c>
      <c r="F59" s="4">
        <f t="shared" si="4"/>
        <v>737.71343156680462</v>
      </c>
    </row>
    <row r="60" spans="1:6">
      <c r="A60" s="7">
        <v>43676</v>
      </c>
      <c r="B60" s="1">
        <v>0.33333333333333331</v>
      </c>
      <c r="C60" s="2">
        <v>8890.2999999999993</v>
      </c>
      <c r="D60" s="2">
        <v>7.5</v>
      </c>
      <c r="E60" s="3">
        <f t="shared" si="3"/>
        <v>2.8976489446259995E-2</v>
      </c>
      <c r="F60" s="4">
        <f t="shared" si="4"/>
        <v>737.95560192351854</v>
      </c>
    </row>
    <row r="61" spans="1:6">
      <c r="A61" s="7">
        <v>43687</v>
      </c>
      <c r="B61" s="1">
        <v>0.33333333333333331</v>
      </c>
      <c r="C61" s="2">
        <v>8885.2999999999993</v>
      </c>
      <c r="D61" s="2">
        <v>7.4</v>
      </c>
      <c r="E61" s="3">
        <f t="shared" si="3"/>
        <v>2.9765305390871882E-2</v>
      </c>
      <c r="F61" s="4">
        <f t="shared" si="4"/>
        <v>738.03606114986894</v>
      </c>
    </row>
    <row r="62" spans="1:6">
      <c r="A62" s="7">
        <v>43697</v>
      </c>
      <c r="B62" s="1">
        <v>0.33333333333333331</v>
      </c>
      <c r="C62" s="2">
        <v>8875.1</v>
      </c>
      <c r="D62" s="2">
        <v>7.4</v>
      </c>
      <c r="E62" s="3">
        <f t="shared" si="3"/>
        <v>3.2300499605572158E-2</v>
      </c>
      <c r="F62" s="4">
        <f t="shared" si="4"/>
        <v>738.29465095976832</v>
      </c>
    </row>
    <row r="63" spans="1:6">
      <c r="A63" s="7">
        <v>43707</v>
      </c>
      <c r="B63" s="1">
        <v>0.33333333333333331</v>
      </c>
      <c r="C63" s="2">
        <v>8864.2999999999993</v>
      </c>
      <c r="D63" s="2">
        <v>7.5</v>
      </c>
      <c r="E63" s="3">
        <f t="shared" si="3"/>
        <v>3.5438783372358534E-2</v>
      </c>
      <c r="F63" s="4">
        <f t="shared" si="4"/>
        <v>738.61475590398061</v>
      </c>
    </row>
  </sheetData>
  <phoneticPr fontId="4" type="noConversion"/>
  <pageMargins left="0.69930555555555596" right="0.69930555555555596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3"/>
  <sheetViews>
    <sheetView topLeftCell="A43" workbookViewId="0">
      <selection activeCell="A57" sqref="A57:B63"/>
    </sheetView>
  </sheetViews>
  <sheetFormatPr defaultColWidth="9" defaultRowHeight="13.5"/>
  <cols>
    <col min="1" max="1" width="11.5" customWidth="1"/>
    <col min="2" max="2" width="13.875" customWidth="1"/>
  </cols>
  <sheetData>
    <row r="1" spans="1:7">
      <c r="A1" t="s">
        <v>0</v>
      </c>
      <c r="B1">
        <v>11390</v>
      </c>
      <c r="C1" t="s">
        <v>1</v>
      </c>
      <c r="D1">
        <v>729</v>
      </c>
    </row>
    <row r="2" spans="1:7">
      <c r="A2" t="s">
        <v>2</v>
      </c>
      <c r="B2" s="10">
        <v>-9.2578700000000004E-10</v>
      </c>
    </row>
    <row r="3" spans="1:7">
      <c r="A3" t="s">
        <v>3</v>
      </c>
      <c r="B3">
        <v>-1.3983999999999999E-4</v>
      </c>
    </row>
    <row r="4" spans="1:7">
      <c r="A4" t="s">
        <v>4</v>
      </c>
      <c r="B4">
        <v>1.1680552200000001</v>
      </c>
    </row>
    <row r="5" spans="1:7">
      <c r="A5" t="s">
        <v>5</v>
      </c>
      <c r="B5">
        <v>-2.9348719999999998E-3</v>
      </c>
    </row>
    <row r="6" spans="1:7">
      <c r="A6" t="s">
        <v>6</v>
      </c>
      <c r="B6" t="s">
        <v>7</v>
      </c>
      <c r="C6" t="s">
        <v>8</v>
      </c>
      <c r="D6" t="s">
        <v>9</v>
      </c>
      <c r="E6" t="s">
        <v>10</v>
      </c>
      <c r="F6" t="s">
        <v>11</v>
      </c>
      <c r="G6" t="s">
        <v>12</v>
      </c>
    </row>
    <row r="7" spans="1:7">
      <c r="A7" s="7">
        <v>42612</v>
      </c>
      <c r="B7" s="1">
        <v>0.54166666666666696</v>
      </c>
      <c r="C7" s="2">
        <v>7756.8</v>
      </c>
      <c r="D7" s="2">
        <v>12.5</v>
      </c>
      <c r="E7" s="3">
        <f>($B$2*C7^2+$B$3*C7+$B$4)-$B$5*D7</f>
        <v>6.4327505554309161E-2</v>
      </c>
      <c r="G7" t="s">
        <v>13</v>
      </c>
    </row>
    <row r="8" spans="1:7">
      <c r="A8" s="7">
        <v>42614</v>
      </c>
      <c r="B8" s="1">
        <v>0.3125</v>
      </c>
      <c r="C8" s="2">
        <v>7589.3</v>
      </c>
      <c r="D8" s="2">
        <v>16.100000000000001</v>
      </c>
      <c r="E8" s="3">
        <f t="shared" ref="E8:E36" si="0">($B$2*C8^2+$B$3*C8+$B$4)-$B$5*D8-$E$7</f>
        <v>3.6368448530017389E-2</v>
      </c>
      <c r="F8" s="4">
        <f>$D$1+102*E8</f>
        <v>732.70958175006183</v>
      </c>
      <c r="G8" t="s">
        <v>14</v>
      </c>
    </row>
    <row r="9" spans="1:7">
      <c r="A9" s="7">
        <v>42615</v>
      </c>
      <c r="B9" s="1">
        <v>0.33333333333333298</v>
      </c>
      <c r="C9" s="2">
        <v>7568</v>
      </c>
      <c r="D9" s="2">
        <v>15.8</v>
      </c>
      <c r="E9" s="3">
        <f t="shared" si="0"/>
        <v>3.8765469716602968E-2</v>
      </c>
      <c r="F9" s="4">
        <f t="shared" ref="F9:F47" si="1">$D$1+102*E9</f>
        <v>732.95407791109346</v>
      </c>
    </row>
    <row r="10" spans="1:7">
      <c r="A10" s="7">
        <v>42616</v>
      </c>
      <c r="B10" s="1">
        <v>0.33333333333333298</v>
      </c>
      <c r="C10" s="2">
        <v>7557.4</v>
      </c>
      <c r="D10" s="2">
        <v>15.7</v>
      </c>
      <c r="E10" s="3">
        <f t="shared" si="0"/>
        <v>4.0102717242714941E-2</v>
      </c>
      <c r="F10" s="4">
        <f t="shared" si="1"/>
        <v>733.09047715875693</v>
      </c>
    </row>
    <row r="11" spans="1:7">
      <c r="A11" s="7">
        <v>42617</v>
      </c>
      <c r="B11" s="1">
        <v>0.33333333333333298</v>
      </c>
      <c r="C11" s="2">
        <v>7545.9</v>
      </c>
      <c r="D11" s="2">
        <v>15.5</v>
      </c>
      <c r="E11" s="3">
        <f t="shared" si="0"/>
        <v>4.1284700888881545E-2</v>
      </c>
      <c r="F11" s="4">
        <f t="shared" si="1"/>
        <v>733.21103949066594</v>
      </c>
    </row>
    <row r="12" spans="1:7">
      <c r="A12" s="7">
        <v>42618</v>
      </c>
      <c r="B12" s="1">
        <v>0.33333333333333298</v>
      </c>
      <c r="C12" s="2">
        <v>7543.2</v>
      </c>
      <c r="D12" s="2">
        <v>15.1</v>
      </c>
      <c r="E12" s="3">
        <f t="shared" si="0"/>
        <v>4.052603717896025E-2</v>
      </c>
      <c r="F12" s="4">
        <f t="shared" si="1"/>
        <v>733.13365579225399</v>
      </c>
    </row>
    <row r="13" spans="1:7">
      <c r="A13" s="7">
        <v>42619</v>
      </c>
      <c r="B13" s="1">
        <v>0.33333333333333298</v>
      </c>
      <c r="C13" s="2">
        <v>7540.1</v>
      </c>
      <c r="D13" s="2">
        <v>15</v>
      </c>
      <c r="E13" s="3">
        <f t="shared" si="0"/>
        <v>4.0709342140437033E-2</v>
      </c>
      <c r="F13" s="4">
        <f t="shared" si="1"/>
        <v>733.15235289832458</v>
      </c>
    </row>
    <row r="14" spans="1:7">
      <c r="A14" s="7">
        <v>42620</v>
      </c>
      <c r="B14" s="1">
        <v>0.33333333333333298</v>
      </c>
      <c r="C14" s="2">
        <v>7541.1</v>
      </c>
      <c r="D14" s="2">
        <v>15</v>
      </c>
      <c r="E14" s="3">
        <f t="shared" si="0"/>
        <v>4.0555540161532788E-2</v>
      </c>
      <c r="F14" s="4">
        <f t="shared" si="1"/>
        <v>733.13666509647635</v>
      </c>
    </row>
    <row r="15" spans="1:7">
      <c r="A15" s="7">
        <v>42623</v>
      </c>
      <c r="B15" s="1">
        <v>0.33333333333333298</v>
      </c>
      <c r="C15" s="2">
        <v>7530.9</v>
      </c>
      <c r="D15" s="2">
        <v>15</v>
      </c>
      <c r="E15" s="3">
        <f t="shared" si="0"/>
        <v>4.2124233470505479E-2</v>
      </c>
      <c r="F15" s="4">
        <f t="shared" si="1"/>
        <v>733.29667181399157</v>
      </c>
    </row>
    <row r="16" spans="1:7">
      <c r="A16" s="7">
        <v>42633</v>
      </c>
      <c r="B16" s="1">
        <v>0.33333333333333331</v>
      </c>
      <c r="C16" s="2">
        <v>7497.7</v>
      </c>
      <c r="D16" s="2">
        <v>13.7</v>
      </c>
      <c r="E16" s="3">
        <f t="shared" si="0"/>
        <v>4.3413508849777821E-2</v>
      </c>
      <c r="F16" s="4">
        <f t="shared" si="1"/>
        <v>733.42817790267736</v>
      </c>
    </row>
    <row r="17" spans="1:7">
      <c r="A17" s="7">
        <v>42643</v>
      </c>
      <c r="B17" s="9">
        <v>0.33333333333333331</v>
      </c>
      <c r="C17" s="2">
        <v>7334.4</v>
      </c>
      <c r="D17" s="2">
        <v>12.2</v>
      </c>
      <c r="E17" s="3">
        <f t="shared" si="0"/>
        <v>6.4089404813506778E-2</v>
      </c>
      <c r="F17" s="4">
        <f t="shared" si="1"/>
        <v>735.53711929097767</v>
      </c>
    </row>
    <row r="18" spans="1:7">
      <c r="A18" s="7">
        <v>42653</v>
      </c>
      <c r="B18" s="9">
        <v>0.33333333333333331</v>
      </c>
      <c r="C18" s="2">
        <v>7355.7</v>
      </c>
      <c r="D18" s="2">
        <v>11.7</v>
      </c>
      <c r="E18" s="3">
        <f t="shared" si="0"/>
        <v>5.93536988666412E-2</v>
      </c>
      <c r="F18" s="4">
        <f t="shared" si="1"/>
        <v>735.05407728439741</v>
      </c>
    </row>
    <row r="19" spans="1:7">
      <c r="A19" s="7">
        <v>42855</v>
      </c>
      <c r="B19" s="1">
        <v>0.33333333333333331</v>
      </c>
      <c r="C19" s="2">
        <v>7252.9</v>
      </c>
      <c r="D19" s="2">
        <v>5.5</v>
      </c>
      <c r="E19" s="3">
        <f t="shared" si="0"/>
        <v>5.6923358128972382E-2</v>
      </c>
      <c r="F19" s="4">
        <f t="shared" si="1"/>
        <v>734.80618252915519</v>
      </c>
      <c r="G19" s="2"/>
    </row>
    <row r="20" spans="1:7">
      <c r="A20" s="7">
        <v>42865</v>
      </c>
      <c r="B20" s="9">
        <v>0.33333333333333331</v>
      </c>
      <c r="C20" s="2">
        <v>7203.2</v>
      </c>
      <c r="D20" s="2">
        <v>5.4</v>
      </c>
      <c r="E20" s="3">
        <f t="shared" si="0"/>
        <v>6.4245067420672319E-2</v>
      </c>
      <c r="F20" s="4">
        <f t="shared" si="1"/>
        <v>735.55299687690854</v>
      </c>
      <c r="G20" s="2"/>
    </row>
    <row r="21" spans="1:7">
      <c r="A21" s="7">
        <v>42875</v>
      </c>
      <c r="B21" s="1">
        <v>0.33333333333333331</v>
      </c>
      <c r="C21" s="2">
        <v>7235.7</v>
      </c>
      <c r="D21" s="2">
        <v>5.2</v>
      </c>
      <c r="E21" s="3">
        <f t="shared" si="0"/>
        <v>5.8678854278457371E-2</v>
      </c>
      <c r="F21" s="4">
        <f t="shared" si="1"/>
        <v>734.98524313640269</v>
      </c>
      <c r="G21" s="2"/>
    </row>
    <row r="22" spans="1:7">
      <c r="A22" s="7">
        <v>42885</v>
      </c>
      <c r="B22" s="1">
        <v>0.33333333333333331</v>
      </c>
      <c r="C22" s="2">
        <v>7252</v>
      </c>
      <c r="D22" s="2">
        <v>5</v>
      </c>
      <c r="E22" s="3">
        <f t="shared" si="0"/>
        <v>5.5593863732043058E-2</v>
      </c>
      <c r="F22" s="4">
        <f t="shared" si="1"/>
        <v>734.67057410066843</v>
      </c>
      <c r="G22" s="2"/>
    </row>
    <row r="23" spans="1:7">
      <c r="A23" s="6">
        <v>42896</v>
      </c>
      <c r="B23" s="1">
        <v>0.33333333333333331</v>
      </c>
      <c r="C23" s="2">
        <v>7247</v>
      </c>
      <c r="D23" s="2">
        <v>4.9000000000000004</v>
      </c>
      <c r="E23" s="3">
        <f t="shared" si="0"/>
        <v>5.6066691460607887E-2</v>
      </c>
      <c r="F23" s="4">
        <f t="shared" si="1"/>
        <v>734.718802528982</v>
      </c>
    </row>
    <row r="24" spans="1:7">
      <c r="A24" s="7">
        <v>42906</v>
      </c>
      <c r="B24" s="1">
        <v>0.33333333333333331</v>
      </c>
      <c r="C24" s="2">
        <v>7236.4</v>
      </c>
      <c r="D24" s="2">
        <v>4.8</v>
      </c>
      <c r="E24" s="3">
        <f t="shared" si="0"/>
        <v>5.7397638821027386E-2</v>
      </c>
      <c r="F24" s="4">
        <f t="shared" si="1"/>
        <v>734.85455915974478</v>
      </c>
    </row>
    <row r="25" spans="1:7">
      <c r="A25" s="7">
        <v>42916</v>
      </c>
      <c r="B25" s="1">
        <v>0.33333333333333331</v>
      </c>
      <c r="C25" s="2">
        <v>7238.7</v>
      </c>
      <c r="D25" s="2">
        <v>4.9000000000000004</v>
      </c>
      <c r="E25" s="3">
        <f t="shared" si="0"/>
        <v>5.7338672044398964E-2</v>
      </c>
      <c r="F25" s="4">
        <f t="shared" si="1"/>
        <v>734.84854454852871</v>
      </c>
    </row>
    <row r="26" spans="1:7">
      <c r="A26" s="7">
        <v>42926</v>
      </c>
      <c r="B26" s="1">
        <v>0.33333333333333331</v>
      </c>
      <c r="C26" s="2">
        <v>7247.9</v>
      </c>
      <c r="D26" s="2">
        <v>4.8</v>
      </c>
      <c r="E26" s="3">
        <f t="shared" si="0"/>
        <v>5.5635270989620456E-2</v>
      </c>
      <c r="F26" s="4">
        <f t="shared" si="1"/>
        <v>734.67479764094128</v>
      </c>
    </row>
    <row r="27" spans="1:7">
      <c r="A27" s="7">
        <v>42936</v>
      </c>
      <c r="B27" s="1">
        <v>0.33333333333333331</v>
      </c>
      <c r="C27" s="2">
        <v>7247.1</v>
      </c>
      <c r="D27" s="2">
        <v>4.9000000000000004</v>
      </c>
      <c r="E27" s="3">
        <f t="shared" si="0"/>
        <v>5.6051365615672311E-2</v>
      </c>
      <c r="F27" s="4">
        <f t="shared" si="1"/>
        <v>734.71723929279858</v>
      </c>
    </row>
    <row r="28" spans="1:7">
      <c r="A28" s="7">
        <v>42946</v>
      </c>
      <c r="B28" s="1">
        <v>0.33333333333333331</v>
      </c>
      <c r="C28" s="2">
        <v>7252.3</v>
      </c>
      <c r="D28" s="2">
        <v>4.9000000000000004</v>
      </c>
      <c r="E28" s="3">
        <f t="shared" si="0"/>
        <v>5.5254396164327757E-2</v>
      </c>
      <c r="F28" s="4">
        <f t="shared" si="1"/>
        <v>734.63594840876146</v>
      </c>
    </row>
    <row r="29" spans="1:7">
      <c r="A29" s="7">
        <v>42957</v>
      </c>
      <c r="B29" s="1">
        <v>0.33333333333333331</v>
      </c>
      <c r="C29" s="2">
        <v>7249.2</v>
      </c>
      <c r="D29" s="2">
        <v>5</v>
      </c>
      <c r="E29" s="3">
        <f t="shared" si="0"/>
        <v>5.6023005794887226E-2</v>
      </c>
      <c r="F29" s="4">
        <f t="shared" si="1"/>
        <v>734.71434659107854</v>
      </c>
    </row>
    <row r="30" spans="1:7">
      <c r="A30" s="7">
        <v>42967</v>
      </c>
      <c r="B30" s="1">
        <v>0.33333333333333331</v>
      </c>
      <c r="C30" s="2">
        <v>7243.6</v>
      </c>
      <c r="D30" s="2">
        <v>4.9000000000000004</v>
      </c>
      <c r="E30" s="3">
        <f t="shared" si="0"/>
        <v>5.6587759171555396E-2</v>
      </c>
      <c r="F30" s="4">
        <f t="shared" si="1"/>
        <v>734.77195143549864</v>
      </c>
    </row>
    <row r="31" spans="1:7">
      <c r="A31" s="7">
        <v>42977</v>
      </c>
      <c r="B31" s="1">
        <v>0.33333333333333331</v>
      </c>
      <c r="C31" s="2">
        <v>7250</v>
      </c>
      <c r="D31" s="2">
        <v>5.0999999999999996</v>
      </c>
      <c r="E31" s="3">
        <f t="shared" si="0"/>
        <v>5.6193882458190958E-2</v>
      </c>
      <c r="F31" s="4">
        <f t="shared" si="1"/>
        <v>734.73177601073553</v>
      </c>
    </row>
    <row r="32" spans="1:7">
      <c r="A32" s="7">
        <v>42988</v>
      </c>
      <c r="B32" s="1">
        <v>0.33333333333333331</v>
      </c>
      <c r="C32" s="2">
        <v>7245.4</v>
      </c>
      <c r="D32" s="2">
        <v>6.2</v>
      </c>
      <c r="E32" s="3">
        <f t="shared" si="0"/>
        <v>6.0127236061438077E-2</v>
      </c>
      <c r="F32" s="4">
        <f t="shared" si="1"/>
        <v>735.13297807826666</v>
      </c>
    </row>
    <row r="33" spans="1:6">
      <c r="A33" s="7">
        <v>42998</v>
      </c>
      <c r="B33" s="1">
        <v>0.33333333333333331</v>
      </c>
      <c r="C33" s="2">
        <v>7254.7</v>
      </c>
      <c r="D33" s="2">
        <v>5.2</v>
      </c>
      <c r="E33" s="3">
        <f t="shared" si="0"/>
        <v>5.5767008823506103E-2</v>
      </c>
      <c r="F33" s="4">
        <f t="shared" si="1"/>
        <v>734.68823489999761</v>
      </c>
    </row>
    <row r="34" spans="1:6">
      <c r="A34" s="7">
        <v>43008</v>
      </c>
      <c r="B34" s="1">
        <v>0.33333333333333331</v>
      </c>
      <c r="C34" s="2">
        <v>7254.2</v>
      </c>
      <c r="D34" s="2">
        <v>5.0999999999999996</v>
      </c>
      <c r="E34" s="3">
        <f t="shared" si="0"/>
        <v>5.555015769900834E-2</v>
      </c>
      <c r="F34" s="4">
        <f t="shared" si="1"/>
        <v>734.66611608529888</v>
      </c>
    </row>
    <row r="35" spans="1:6">
      <c r="A35" s="7">
        <v>43018</v>
      </c>
      <c r="B35" s="1">
        <v>0.33333333333333331</v>
      </c>
      <c r="C35" s="2">
        <v>7252.4</v>
      </c>
      <c r="D35" s="2">
        <v>5.2</v>
      </c>
      <c r="E35" s="3">
        <f t="shared" si="0"/>
        <v>5.6119530938057827E-2</v>
      </c>
      <c r="F35" s="4">
        <f t="shared" si="1"/>
        <v>734.72419215568186</v>
      </c>
    </row>
    <row r="36" spans="1:6">
      <c r="A36" s="7">
        <v>43230</v>
      </c>
      <c r="B36" s="1">
        <v>0.33333333333333331</v>
      </c>
      <c r="C36" s="2">
        <v>7281.5</v>
      </c>
      <c r="D36" s="2">
        <v>6.6</v>
      </c>
      <c r="E36" s="3">
        <f t="shared" si="0"/>
        <v>5.5767458633790276E-2</v>
      </c>
      <c r="F36" s="4">
        <f t="shared" si="1"/>
        <v>734.68828078064666</v>
      </c>
    </row>
    <row r="37" spans="1:6">
      <c r="A37" s="7">
        <v>43240</v>
      </c>
      <c r="B37" s="1">
        <v>0.33333333333333331</v>
      </c>
      <c r="C37" s="2">
        <v>7279.1</v>
      </c>
      <c r="D37" s="2">
        <v>7.1</v>
      </c>
      <c r="E37" s="3">
        <f>($B$2*C37^2+$B$3*C37+$B$4)-$B$5*D37-$E$7</f>
        <v>5.7602862667851418E-2</v>
      </c>
      <c r="F37" s="4">
        <f t="shared" si="1"/>
        <v>734.87549199212083</v>
      </c>
    </row>
    <row r="38" spans="1:6">
      <c r="A38" s="7">
        <v>43250</v>
      </c>
      <c r="B38" s="1">
        <v>0.33333333333333331</v>
      </c>
      <c r="C38" s="2">
        <v>7273.4</v>
      </c>
      <c r="D38" s="2">
        <v>6.2</v>
      </c>
      <c r="E38" s="3">
        <f>($B$2*C38^2+$B$3*C38+$B$4)-$B$5*D38-$E$7</f>
        <v>5.5835359205161333E-2</v>
      </c>
      <c r="F38" s="4">
        <f t="shared" si="1"/>
        <v>734.69520663892649</v>
      </c>
    </row>
    <row r="39" spans="1:6">
      <c r="A39" s="7">
        <v>43261</v>
      </c>
      <c r="B39" s="1">
        <v>0.33333333333333331</v>
      </c>
      <c r="C39" s="2">
        <v>7251.3</v>
      </c>
      <c r="D39" s="2">
        <v>6.2</v>
      </c>
      <c r="E39" s="3">
        <f>($B$2*C39^2+$B$3*C39+$B$4)-$B$5*D39-$E$7</f>
        <v>5.9222997008660933E-2</v>
      </c>
      <c r="F39" s="4">
        <f t="shared" si="1"/>
        <v>735.04074569488341</v>
      </c>
    </row>
    <row r="40" spans="1:6">
      <c r="A40" s="7">
        <v>43271</v>
      </c>
      <c r="B40" s="1">
        <v>0.33333333333333331</v>
      </c>
      <c r="C40" s="2">
        <v>7196.2</v>
      </c>
      <c r="D40" s="2">
        <v>5.8</v>
      </c>
      <c r="E40" s="3">
        <f>($B$2*C40^2+$B$3*C40+$B$4)-$B$5*D40-$E$7</f>
        <v>6.6491211661966781E-2</v>
      </c>
      <c r="F40" s="4">
        <f t="shared" si="1"/>
        <v>735.7821035895206</v>
      </c>
    </row>
    <row r="41" spans="1:6">
      <c r="A41" s="7">
        <v>43281</v>
      </c>
      <c r="B41" s="1">
        <v>0.33333333333333331</v>
      </c>
      <c r="C41" s="2">
        <v>7203.5</v>
      </c>
      <c r="D41" s="2">
        <v>6.1</v>
      </c>
      <c r="E41" s="3">
        <f>($B$2*C41^2+$B$3*C41+$B$4)-$B$5*D41-$E$7</f>
        <v>6.6253524560000304E-2</v>
      </c>
      <c r="F41" s="4">
        <f t="shared" si="1"/>
        <v>735.75785950512</v>
      </c>
    </row>
    <row r="42" spans="1:6">
      <c r="A42" s="7">
        <v>43291</v>
      </c>
      <c r="B42" s="1">
        <v>0.33333333333333331</v>
      </c>
      <c r="C42" s="2">
        <v>7235.6</v>
      </c>
      <c r="D42" s="2">
        <v>5.9</v>
      </c>
      <c r="E42" s="3">
        <f t="shared" ref="E42:E47" si="2">($B$2*C42^2+$B$3*C42+$B$4)-$B$5*D42-$E$7</f>
        <v>6.0748588412598531E-2</v>
      </c>
      <c r="F42" s="4">
        <f t="shared" si="1"/>
        <v>735.196356018085</v>
      </c>
    </row>
    <row r="43" spans="1:6">
      <c r="A43" s="7">
        <v>43301</v>
      </c>
      <c r="B43" s="1">
        <v>0.33333333333333331</v>
      </c>
      <c r="C43" s="2">
        <v>7242.4</v>
      </c>
      <c r="D43" s="2">
        <v>6.4</v>
      </c>
      <c r="E43" s="3">
        <f t="shared" si="2"/>
        <v>6.1173968312133814E-2</v>
      </c>
      <c r="F43" s="4">
        <f t="shared" si="1"/>
        <v>735.23974476783769</v>
      </c>
    </row>
    <row r="44" spans="1:6">
      <c r="A44" s="7">
        <v>43311</v>
      </c>
      <c r="B44" s="1">
        <v>0.33333333333333331</v>
      </c>
      <c r="C44" s="2">
        <v>7241.7</v>
      </c>
      <c r="D44" s="2">
        <v>5.8</v>
      </c>
      <c r="E44" s="3">
        <f t="shared" si="2"/>
        <v>5.952031954617451E-2</v>
      </c>
      <c r="F44" s="4">
        <f t="shared" si="1"/>
        <v>735.0710725937098</v>
      </c>
    </row>
    <row r="45" spans="1:6">
      <c r="A45" s="7">
        <v>43322</v>
      </c>
      <c r="B45" s="1">
        <v>0.33333333333333331</v>
      </c>
      <c r="C45" s="2">
        <v>7219.2</v>
      </c>
      <c r="D45" s="2">
        <v>5.9</v>
      </c>
      <c r="E45" s="3">
        <f t="shared" si="2"/>
        <v>6.3261430293811344E-2</v>
      </c>
      <c r="F45" s="4">
        <f t="shared" si="1"/>
        <v>735.45266588996878</v>
      </c>
    </row>
    <row r="46" spans="1:6">
      <c r="A46" s="7">
        <v>43332</v>
      </c>
      <c r="B46" s="1">
        <v>0.33333333333333331</v>
      </c>
      <c r="C46" s="2">
        <v>7234.1</v>
      </c>
      <c r="D46" s="2">
        <v>5.9</v>
      </c>
      <c r="E46" s="3">
        <f t="shared" si="2"/>
        <v>6.0978442202829525E-2</v>
      </c>
      <c r="F46" s="4">
        <f t="shared" si="1"/>
        <v>735.2198011046886</v>
      </c>
    </row>
    <row r="47" spans="1:6">
      <c r="A47" s="7">
        <v>43342</v>
      </c>
      <c r="B47" s="1">
        <v>0.33333333333333331</v>
      </c>
      <c r="C47" s="2">
        <v>7211.3</v>
      </c>
      <c r="D47" s="2">
        <v>6.2</v>
      </c>
      <c r="E47" s="3">
        <f t="shared" si="2"/>
        <v>6.5352168491308843E-2</v>
      </c>
      <c r="F47" s="4">
        <f t="shared" si="1"/>
        <v>735.66592118611345</v>
      </c>
    </row>
    <row r="48" spans="1:6">
      <c r="A48" s="7">
        <v>43353</v>
      </c>
      <c r="B48" s="1">
        <v>0.33333333333333331</v>
      </c>
      <c r="C48" s="2">
        <v>7180</v>
      </c>
      <c r="D48" s="2">
        <v>6.8</v>
      </c>
      <c r="E48" s="3">
        <f t="shared" ref="E48:E63" si="3">($B$2*C48^2+$B$3*C48+$B$4)-$B$5*D48-$E$7</f>
        <v>7.1907102306891013E-2</v>
      </c>
      <c r="F48" s="4">
        <f t="shared" ref="F48:F63" si="4">$D$1+102*E48</f>
        <v>736.33452443530291</v>
      </c>
    </row>
    <row r="49" spans="1:6">
      <c r="A49" s="7">
        <v>43363</v>
      </c>
      <c r="B49" s="1">
        <v>0.33333333333333331</v>
      </c>
      <c r="C49" s="2">
        <v>7209.5</v>
      </c>
      <c r="D49" s="2">
        <v>6</v>
      </c>
      <c r="E49" s="3">
        <f t="shared" si="3"/>
        <v>6.5040937151814221E-2</v>
      </c>
      <c r="F49" s="4">
        <f t="shared" si="4"/>
        <v>735.63417558948504</v>
      </c>
    </row>
    <row r="50" spans="1:6">
      <c r="A50" s="7">
        <v>43373</v>
      </c>
      <c r="B50" s="1">
        <v>0.33333333333333331</v>
      </c>
      <c r="C50" s="2">
        <v>7223.2</v>
      </c>
      <c r="D50" s="2">
        <v>6.2</v>
      </c>
      <c r="E50" s="3">
        <f t="shared" si="3"/>
        <v>6.3529049549136157E-2</v>
      </c>
      <c r="F50" s="4">
        <f t="shared" si="4"/>
        <v>735.47996305401193</v>
      </c>
    </row>
    <row r="51" spans="1:6">
      <c r="A51" s="7">
        <v>43383</v>
      </c>
      <c r="B51" s="1">
        <v>0.33333333333333331</v>
      </c>
      <c r="C51" s="2">
        <v>7228.7</v>
      </c>
      <c r="D51" s="2">
        <v>6.2</v>
      </c>
      <c r="E51" s="3">
        <f t="shared" si="3"/>
        <v>6.2686342952837121E-2</v>
      </c>
      <c r="F51" s="4">
        <f t="shared" si="4"/>
        <v>735.39400698118936</v>
      </c>
    </row>
    <row r="52" spans="1:6">
      <c r="A52" s="7">
        <v>43393</v>
      </c>
      <c r="B52" s="1">
        <v>0.33333333333333331</v>
      </c>
      <c r="C52" s="2">
        <v>7231.41</v>
      </c>
      <c r="D52" s="2">
        <v>6</v>
      </c>
      <c r="E52" s="3">
        <f t="shared" si="3"/>
        <v>6.1684123432005661E-2</v>
      </c>
      <c r="F52" s="4">
        <f t="shared" si="4"/>
        <v>735.2917805900646</v>
      </c>
    </row>
    <row r="53" spans="1:6">
      <c r="A53" s="32">
        <v>43605</v>
      </c>
      <c r="B53" s="1">
        <v>0.33333333333333331</v>
      </c>
      <c r="C53" s="2">
        <v>7262.3</v>
      </c>
      <c r="D53" s="2">
        <v>6.1</v>
      </c>
      <c r="E53" s="3">
        <f t="shared" si="3"/>
        <v>5.7243468284425697E-2</v>
      </c>
      <c r="F53" s="4">
        <f t="shared" si="4"/>
        <v>734.83883376501137</v>
      </c>
    </row>
    <row r="54" spans="1:6">
      <c r="A54" s="32">
        <v>43615</v>
      </c>
      <c r="B54" s="1">
        <v>0.33333333333333331</v>
      </c>
      <c r="C54" s="2">
        <v>7264.1</v>
      </c>
      <c r="D54" s="2">
        <v>6.2</v>
      </c>
      <c r="E54" s="3">
        <f t="shared" si="3"/>
        <v>5.7261036450327291E-2</v>
      </c>
      <c r="F54" s="4">
        <f t="shared" si="4"/>
        <v>734.84062571793334</v>
      </c>
    </row>
    <row r="55" spans="1:6">
      <c r="A55" s="32">
        <v>43626</v>
      </c>
      <c r="B55" s="1">
        <v>0.33333333333333331</v>
      </c>
      <c r="C55" s="2">
        <v>7266.9</v>
      </c>
      <c r="D55" s="2">
        <v>6.2</v>
      </c>
      <c r="E55" s="3">
        <f t="shared" si="3"/>
        <v>5.6831817139815971E-2</v>
      </c>
      <c r="F55" s="4">
        <f t="shared" si="4"/>
        <v>734.79684534826129</v>
      </c>
    </row>
    <row r="56" spans="1:6">
      <c r="A56" s="32">
        <v>43636</v>
      </c>
      <c r="B56" s="1">
        <v>0.33333333333333331</v>
      </c>
      <c r="C56" s="2">
        <v>7269.8</v>
      </c>
      <c r="D56" s="2">
        <v>6.4</v>
      </c>
      <c r="E56" s="3">
        <f t="shared" si="3"/>
        <v>5.6974227664955496E-2</v>
      </c>
      <c r="F56" s="4">
        <f t="shared" si="4"/>
        <v>734.81137122182542</v>
      </c>
    </row>
    <row r="57" spans="1:6">
      <c r="A57" s="7">
        <v>43646</v>
      </c>
      <c r="B57" s="1">
        <v>0.33333333333333331</v>
      </c>
      <c r="C57" s="2">
        <v>7247.3</v>
      </c>
      <c r="D57" s="2">
        <v>6.2</v>
      </c>
      <c r="E57" s="3">
        <f t="shared" si="3"/>
        <v>5.9836047470253811E-2</v>
      </c>
      <c r="F57" s="4">
        <f t="shared" si="4"/>
        <v>735.10327684196591</v>
      </c>
    </row>
    <row r="58" spans="1:6">
      <c r="A58" s="7">
        <v>43656</v>
      </c>
      <c r="B58" s="1">
        <v>0.33333333333333331</v>
      </c>
      <c r="C58" s="2">
        <v>7241.4</v>
      </c>
      <c r="D58" s="2">
        <v>6.2</v>
      </c>
      <c r="E58" s="3">
        <f t="shared" si="3"/>
        <v>6.0740242825884611E-2</v>
      </c>
      <c r="F58" s="4">
        <f t="shared" si="4"/>
        <v>735.1955047682402</v>
      </c>
    </row>
    <row r="59" spans="1:6">
      <c r="A59" s="7">
        <v>43666</v>
      </c>
      <c r="B59" s="1">
        <v>0.33333333333333331</v>
      </c>
      <c r="C59" s="2">
        <v>7238.1</v>
      </c>
      <c r="D59" s="2">
        <v>6</v>
      </c>
      <c r="E59" s="3">
        <f t="shared" si="3"/>
        <v>6.0658976704343809E-2</v>
      </c>
      <c r="F59" s="4">
        <f t="shared" si="4"/>
        <v>735.18721562384303</v>
      </c>
    </row>
    <row r="60" spans="1:6">
      <c r="A60" s="7">
        <v>43676</v>
      </c>
      <c r="B60" s="1">
        <v>0.33333333333333331</v>
      </c>
      <c r="C60" s="2">
        <v>7209.6</v>
      </c>
      <c r="D60" s="2">
        <v>6</v>
      </c>
      <c r="E60" s="3">
        <f t="shared" si="3"/>
        <v>6.5025618250281164E-2</v>
      </c>
      <c r="F60" s="4">
        <f t="shared" si="4"/>
        <v>735.63261306152867</v>
      </c>
    </row>
    <row r="61" spans="1:6">
      <c r="A61" s="7">
        <v>43687</v>
      </c>
      <c r="B61" s="1">
        <v>0.33333333333333331</v>
      </c>
      <c r="C61" s="2">
        <v>7195.3</v>
      </c>
      <c r="D61" s="2">
        <v>6</v>
      </c>
      <c r="E61" s="3">
        <f t="shared" si="3"/>
        <v>6.7216033179216067E-2</v>
      </c>
      <c r="F61" s="4">
        <f t="shared" si="4"/>
        <v>735.85603538428006</v>
      </c>
    </row>
    <row r="62" spans="1:6">
      <c r="A62" s="7">
        <v>43697</v>
      </c>
      <c r="B62" s="1">
        <v>0.33333333333333331</v>
      </c>
      <c r="C62" s="2">
        <v>7187.4</v>
      </c>
      <c r="D62" s="2">
        <v>5.8</v>
      </c>
      <c r="E62" s="3">
        <f t="shared" si="3"/>
        <v>6.7838985781026956E-2</v>
      </c>
      <c r="F62" s="4">
        <f t="shared" si="4"/>
        <v>735.91957654966473</v>
      </c>
    </row>
    <row r="63" spans="1:6">
      <c r="A63" s="7">
        <v>43707</v>
      </c>
      <c r="B63" s="1">
        <v>0.33333333333333331</v>
      </c>
      <c r="C63" s="2">
        <v>7173.6</v>
      </c>
      <c r="D63" s="2">
        <v>5.8</v>
      </c>
      <c r="E63" s="3">
        <f t="shared" si="3"/>
        <v>6.995225191510332E-2</v>
      </c>
      <c r="F63" s="4">
        <f t="shared" si="4"/>
        <v>736.13512969534054</v>
      </c>
    </row>
  </sheetData>
  <phoneticPr fontId="4" type="noConversion"/>
  <pageMargins left="0.69930555555555596" right="0.69930555555555596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3"/>
  <sheetViews>
    <sheetView topLeftCell="A41" workbookViewId="0">
      <selection activeCell="A57" sqref="A57:B63"/>
    </sheetView>
  </sheetViews>
  <sheetFormatPr defaultColWidth="9" defaultRowHeight="13.5"/>
  <cols>
    <col min="1" max="1" width="12" customWidth="1"/>
    <col min="2" max="2" width="13.875" customWidth="1"/>
  </cols>
  <sheetData>
    <row r="1" spans="1:7">
      <c r="A1" t="s">
        <v>0</v>
      </c>
      <c r="B1">
        <v>11252</v>
      </c>
      <c r="C1" t="s">
        <v>1</v>
      </c>
      <c r="D1">
        <v>725.2</v>
      </c>
    </row>
    <row r="2" spans="1:7">
      <c r="A2" t="s">
        <v>2</v>
      </c>
      <c r="B2" s="10">
        <v>4.6043500000000002E-10</v>
      </c>
    </row>
    <row r="3" spans="1:7">
      <c r="A3" t="s">
        <v>3</v>
      </c>
      <c r="B3">
        <v>-1.6973300000000001E-4</v>
      </c>
    </row>
    <row r="4" spans="1:7">
      <c r="A4" t="s">
        <v>4</v>
      </c>
      <c r="B4">
        <v>1.52119918</v>
      </c>
    </row>
    <row r="5" spans="1:7">
      <c r="A5" t="s">
        <v>5</v>
      </c>
      <c r="B5">
        <v>-2.9827719999999999E-3</v>
      </c>
    </row>
    <row r="6" spans="1:7">
      <c r="A6" t="s">
        <v>6</v>
      </c>
      <c r="B6" t="s">
        <v>7</v>
      </c>
      <c r="C6" t="s">
        <v>8</v>
      </c>
      <c r="D6" t="s">
        <v>9</v>
      </c>
      <c r="E6" t="s">
        <v>10</v>
      </c>
      <c r="F6" t="s">
        <v>11</v>
      </c>
      <c r="G6" t="s">
        <v>12</v>
      </c>
    </row>
    <row r="7" spans="1:7">
      <c r="A7" s="7">
        <v>42612</v>
      </c>
      <c r="B7" s="1">
        <v>0.54166666666666696</v>
      </c>
      <c r="C7" s="2">
        <v>9018.6</v>
      </c>
      <c r="D7" s="2">
        <v>12.7</v>
      </c>
      <c r="E7" s="3">
        <f>($B$2*C7^2+$B$3*C7+$B$4)-$B$5*D7</f>
        <v>6.5775898530092594E-2</v>
      </c>
      <c r="G7" t="s">
        <v>13</v>
      </c>
    </row>
    <row r="8" spans="1:7">
      <c r="A8" s="7">
        <v>42614</v>
      </c>
      <c r="B8" s="1">
        <v>0.3125</v>
      </c>
      <c r="C8" s="2">
        <v>8511.9</v>
      </c>
      <c r="D8" s="2">
        <v>12.9</v>
      </c>
      <c r="E8" s="3">
        <f t="shared" ref="E8:E35" si="0">($B$2*C8^2+$B$3*C8+$B$4)-$B$5*D8-$E$7</f>
        <v>8.2510357522607644E-2</v>
      </c>
      <c r="F8" s="4">
        <f>$D$1+102*E8</f>
        <v>733.61605646730607</v>
      </c>
      <c r="G8" t="s">
        <v>14</v>
      </c>
    </row>
    <row r="9" spans="1:7">
      <c r="A9" s="7">
        <v>42615</v>
      </c>
      <c r="B9" s="1">
        <v>0.33333333333333298</v>
      </c>
      <c r="C9" s="2">
        <v>8506.2000000000007</v>
      </c>
      <c r="D9" s="2">
        <v>12.7</v>
      </c>
      <c r="E9" s="3">
        <f t="shared" si="0"/>
        <v>8.2836617568028389E-2</v>
      </c>
      <c r="F9" s="4">
        <f t="shared" ref="F9:F45" si="1">$D$1+102*E9</f>
        <v>733.64933499193899</v>
      </c>
    </row>
    <row r="10" spans="1:7">
      <c r="A10" s="7">
        <v>42616</v>
      </c>
      <c r="B10" s="1">
        <v>0.33333333333333298</v>
      </c>
      <c r="C10" s="2">
        <v>8498.1</v>
      </c>
      <c r="D10" s="2">
        <v>12.7</v>
      </c>
      <c r="E10" s="3">
        <f t="shared" si="0"/>
        <v>8.4148036931577672E-2</v>
      </c>
      <c r="F10" s="4">
        <f t="shared" si="1"/>
        <v>733.78309976702099</v>
      </c>
    </row>
    <row r="11" spans="1:7">
      <c r="A11" s="7">
        <v>42617</v>
      </c>
      <c r="B11" s="1">
        <v>0.33333333333333298</v>
      </c>
      <c r="C11" s="2">
        <v>8490.7999999999993</v>
      </c>
      <c r="D11" s="2">
        <v>12.7</v>
      </c>
      <c r="E11" s="3">
        <f t="shared" si="0"/>
        <v>8.5329985157125851E-2</v>
      </c>
      <c r="F11" s="4">
        <f t="shared" si="1"/>
        <v>733.90365848602687</v>
      </c>
    </row>
    <row r="12" spans="1:7">
      <c r="A12" s="7">
        <v>42618</v>
      </c>
      <c r="B12" s="1">
        <v>0.33333333333333298</v>
      </c>
      <c r="C12" s="2">
        <v>8493.7000000000007</v>
      </c>
      <c r="D12" s="2">
        <v>12.7</v>
      </c>
      <c r="E12" s="3">
        <f t="shared" si="0"/>
        <v>8.4860438206072239E-2</v>
      </c>
      <c r="F12" s="4">
        <f t="shared" si="1"/>
        <v>733.85576469701937</v>
      </c>
    </row>
    <row r="13" spans="1:7">
      <c r="A13" s="7">
        <v>42619</v>
      </c>
      <c r="B13" s="1">
        <v>0.33333333333333298</v>
      </c>
      <c r="C13" s="2">
        <v>8493</v>
      </c>
      <c r="D13" s="2">
        <v>12.7</v>
      </c>
      <c r="E13" s="3">
        <f t="shared" si="0"/>
        <v>8.4973776416222377E-2</v>
      </c>
      <c r="F13" s="4">
        <f t="shared" si="1"/>
        <v>733.86732519445468</v>
      </c>
    </row>
    <row r="14" spans="1:7">
      <c r="A14" s="7">
        <v>42620</v>
      </c>
      <c r="B14" s="1">
        <v>0.33333333333333298</v>
      </c>
      <c r="C14" s="2">
        <v>8495.6</v>
      </c>
      <c r="D14" s="2">
        <v>12.7</v>
      </c>
      <c r="E14" s="3">
        <f t="shared" si="0"/>
        <v>8.4552808195928794E-2</v>
      </c>
      <c r="F14" s="4">
        <f t="shared" si="1"/>
        <v>733.82438643598482</v>
      </c>
    </row>
    <row r="15" spans="1:7">
      <c r="A15" s="7">
        <v>42623</v>
      </c>
      <c r="B15" s="1">
        <v>0.33333333333333298</v>
      </c>
      <c r="C15" s="2">
        <v>8485.7000000000007</v>
      </c>
      <c r="D15" s="2">
        <v>12.7</v>
      </c>
      <c r="E15" s="3">
        <f t="shared" si="0"/>
        <v>8.6155758925760204E-2</v>
      </c>
      <c r="F15" s="4">
        <f t="shared" si="1"/>
        <v>733.98788741042756</v>
      </c>
    </row>
    <row r="16" spans="1:7">
      <c r="A16" s="7">
        <v>42633</v>
      </c>
      <c r="B16" s="1">
        <v>0.33333333333333331</v>
      </c>
      <c r="C16" s="2">
        <v>8474.7000000000007</v>
      </c>
      <c r="D16" s="2">
        <v>12.6</v>
      </c>
      <c r="E16" s="3">
        <f t="shared" si="0"/>
        <v>8.7638643946246195E-2</v>
      </c>
      <c r="F16" s="4">
        <f t="shared" si="1"/>
        <v>734.13914168251711</v>
      </c>
    </row>
    <row r="17" spans="1:7">
      <c r="A17" s="7">
        <v>42643</v>
      </c>
      <c r="B17" s="9">
        <v>0.33333333333333331</v>
      </c>
      <c r="C17" s="2">
        <v>8342.4</v>
      </c>
      <c r="D17" s="2">
        <v>12.3</v>
      </c>
      <c r="E17" s="3">
        <f t="shared" si="0"/>
        <v>0.10817506534193301</v>
      </c>
      <c r="F17" s="4">
        <f t="shared" si="1"/>
        <v>736.23385666487718</v>
      </c>
    </row>
    <row r="18" spans="1:7">
      <c r="A18" s="7">
        <v>42653</v>
      </c>
      <c r="B18" s="9">
        <v>0.33333333333333331</v>
      </c>
      <c r="C18" s="2">
        <v>8438.4</v>
      </c>
      <c r="D18" s="2">
        <v>11.9</v>
      </c>
      <c r="E18" s="3">
        <f t="shared" si="0"/>
        <v>9.142932943614103E-2</v>
      </c>
      <c r="F18" s="4">
        <f t="shared" si="1"/>
        <v>734.52579160248638</v>
      </c>
    </row>
    <row r="19" spans="1:7">
      <c r="A19" s="7">
        <v>42855</v>
      </c>
      <c r="B19" s="1">
        <v>0.33333333333333331</v>
      </c>
      <c r="C19" s="2">
        <v>8314</v>
      </c>
      <c r="D19" s="2">
        <v>8.1</v>
      </c>
      <c r="E19" s="3">
        <f t="shared" si="0"/>
        <v>0.10025003515916724</v>
      </c>
      <c r="F19" s="4">
        <f t="shared" si="1"/>
        <v>735.4255035862351</v>
      </c>
      <c r="G19" s="2"/>
    </row>
    <row r="20" spans="1:7">
      <c r="A20" s="7">
        <v>42865</v>
      </c>
      <c r="B20" s="9">
        <v>0.33333333333333331</v>
      </c>
      <c r="C20" s="2">
        <v>8268.6</v>
      </c>
      <c r="D20" s="2">
        <v>8.1</v>
      </c>
      <c r="E20" s="3">
        <f t="shared" si="0"/>
        <v>0.10760927485099973</v>
      </c>
      <c r="F20" s="4">
        <f t="shared" si="1"/>
        <v>736.17614603480206</v>
      </c>
      <c r="G20" s="2"/>
    </row>
    <row r="21" spans="1:7">
      <c r="A21" s="7">
        <v>42875</v>
      </c>
      <c r="B21" s="1">
        <v>0.33333333333333331</v>
      </c>
      <c r="C21" s="2">
        <v>8300.6</v>
      </c>
      <c r="D21" s="2">
        <v>8</v>
      </c>
      <c r="E21" s="3">
        <f t="shared" si="0"/>
        <v>0.10212367091826395</v>
      </c>
      <c r="F21" s="4">
        <f t="shared" si="1"/>
        <v>735.61661443366302</v>
      </c>
      <c r="G21" s="2"/>
    </row>
    <row r="22" spans="1:7">
      <c r="A22" s="7">
        <v>42885</v>
      </c>
      <c r="B22" s="1">
        <v>0.33333333333333331</v>
      </c>
      <c r="C22" s="2">
        <v>8316.2000000000007</v>
      </c>
      <c r="D22" s="2">
        <v>7.8</v>
      </c>
      <c r="E22" s="3">
        <f t="shared" si="0"/>
        <v>9.8998636636668733E-2</v>
      </c>
      <c r="F22" s="4">
        <f t="shared" si="1"/>
        <v>735.29786093694031</v>
      </c>
      <c r="G22" s="2"/>
    </row>
    <row r="23" spans="1:7">
      <c r="A23" s="6">
        <v>42896</v>
      </c>
      <c r="B23" s="1">
        <v>0.33333333333333331</v>
      </c>
      <c r="C23" s="2">
        <v>8312.1</v>
      </c>
      <c r="D23" s="2">
        <v>7.8</v>
      </c>
      <c r="E23" s="3">
        <f t="shared" si="0"/>
        <v>9.9663151306295647E-2</v>
      </c>
      <c r="F23" s="4">
        <f t="shared" si="1"/>
        <v>735.36564143324222</v>
      </c>
    </row>
    <row r="24" spans="1:7">
      <c r="A24" s="7">
        <v>42906</v>
      </c>
      <c r="B24" s="1">
        <v>0.33333333333333331</v>
      </c>
      <c r="C24" s="2">
        <v>8302.2999999999993</v>
      </c>
      <c r="D24" s="2">
        <v>7.6</v>
      </c>
      <c r="E24" s="3">
        <f t="shared" si="0"/>
        <v>0.10065501176390849</v>
      </c>
      <c r="F24" s="4">
        <f t="shared" si="1"/>
        <v>735.46681119991877</v>
      </c>
    </row>
    <row r="25" spans="1:7">
      <c r="A25" s="7">
        <v>42916</v>
      </c>
      <c r="B25" s="1">
        <v>0.33333333333333331</v>
      </c>
      <c r="C25" s="2">
        <v>8303.7000000000007</v>
      </c>
      <c r="D25" s="2">
        <v>7.5</v>
      </c>
      <c r="E25" s="3">
        <f t="shared" si="0"/>
        <v>0.10012981274096246</v>
      </c>
      <c r="F25" s="4">
        <f t="shared" si="1"/>
        <v>735.41324089957823</v>
      </c>
    </row>
    <row r="26" spans="1:7">
      <c r="A26" s="7">
        <v>42926</v>
      </c>
      <c r="B26" s="1">
        <v>0.33333333333333331</v>
      </c>
      <c r="C26" s="2">
        <v>8310.6</v>
      </c>
      <c r="D26" s="2">
        <v>7.5</v>
      </c>
      <c r="E26" s="3">
        <f t="shared" si="0"/>
        <v>9.9011438696983825E-2</v>
      </c>
      <c r="F26" s="4">
        <f t="shared" si="1"/>
        <v>735.29916674709239</v>
      </c>
    </row>
    <row r="27" spans="1:7">
      <c r="A27" s="7">
        <v>42936</v>
      </c>
      <c r="B27" s="1">
        <v>0.33333333333333331</v>
      </c>
      <c r="C27" s="2">
        <v>8308.1</v>
      </c>
      <c r="D27" s="2">
        <v>7.4</v>
      </c>
      <c r="E27" s="3">
        <f t="shared" si="0"/>
        <v>9.911836441914755E-2</v>
      </c>
      <c r="F27" s="4">
        <f t="shared" si="1"/>
        <v>735.31007317075307</v>
      </c>
    </row>
    <row r="28" spans="1:7">
      <c r="A28" s="7">
        <v>42946</v>
      </c>
      <c r="B28" s="1">
        <v>0.33333333333333331</v>
      </c>
      <c r="C28" s="2">
        <v>8311.7000000000007</v>
      </c>
      <c r="D28" s="2">
        <v>7.3</v>
      </c>
      <c r="E28" s="3">
        <f t="shared" si="0"/>
        <v>9.8236596834554393E-2</v>
      </c>
      <c r="F28" s="4">
        <f t="shared" si="1"/>
        <v>735.22013287712457</v>
      </c>
    </row>
    <row r="29" spans="1:7">
      <c r="A29" s="7">
        <v>42957</v>
      </c>
      <c r="B29" s="1">
        <v>0.33333333333333331</v>
      </c>
      <c r="C29" s="2">
        <v>8303.2000000000007</v>
      </c>
      <c r="D29" s="2">
        <v>7.2</v>
      </c>
      <c r="E29" s="3">
        <f t="shared" si="0"/>
        <v>9.9316024441961678E-2</v>
      </c>
      <c r="F29" s="4">
        <f t="shared" si="1"/>
        <v>735.33023449308018</v>
      </c>
    </row>
    <row r="30" spans="1:7">
      <c r="A30" s="7">
        <v>42967</v>
      </c>
      <c r="B30" s="1">
        <v>0.33333333333333331</v>
      </c>
      <c r="C30" s="2">
        <v>8299.7000000000007</v>
      </c>
      <c r="D30" s="2">
        <v>7.2</v>
      </c>
      <c r="E30" s="3">
        <f t="shared" si="0"/>
        <v>9.9883333995046383E-2</v>
      </c>
      <c r="F30" s="4">
        <f t="shared" si="1"/>
        <v>735.38810006749475</v>
      </c>
    </row>
    <row r="31" spans="1:7">
      <c r="A31" s="7">
        <v>42977</v>
      </c>
      <c r="B31" s="1">
        <v>0.33333333333333331</v>
      </c>
      <c r="C31" s="2">
        <v>8304.1</v>
      </c>
      <c r="D31" s="2">
        <v>7.1</v>
      </c>
      <c r="E31" s="3">
        <f t="shared" si="0"/>
        <v>9.887186946591954E-2</v>
      </c>
      <c r="F31" s="4">
        <f t="shared" si="1"/>
        <v>735.28493068552382</v>
      </c>
    </row>
    <row r="32" spans="1:7">
      <c r="A32" s="7">
        <v>42988</v>
      </c>
      <c r="B32" s="1">
        <v>0.33333333333333331</v>
      </c>
      <c r="C32" s="2">
        <v>8297.9</v>
      </c>
      <c r="D32" s="2">
        <v>7.7</v>
      </c>
      <c r="E32" s="3">
        <f t="shared" si="0"/>
        <v>0.10166648358632575</v>
      </c>
      <c r="F32" s="4">
        <f t="shared" si="1"/>
        <v>735.56998132580532</v>
      </c>
    </row>
    <row r="33" spans="1:6">
      <c r="A33" s="7">
        <v>42998</v>
      </c>
      <c r="B33" s="1">
        <v>0.33333333333333331</v>
      </c>
      <c r="C33" s="2">
        <v>8306.2000000000007</v>
      </c>
      <c r="D33" s="2">
        <v>7.2</v>
      </c>
      <c r="E33" s="3">
        <f t="shared" si="0"/>
        <v>9.8829768089228651E-2</v>
      </c>
      <c r="F33" s="4">
        <f t="shared" si="1"/>
        <v>735.28063634510136</v>
      </c>
    </row>
    <row r="34" spans="1:6">
      <c r="A34" s="7">
        <v>43008</v>
      </c>
      <c r="B34" s="1">
        <v>0.33333333333333331</v>
      </c>
      <c r="C34" s="2">
        <v>8304.4</v>
      </c>
      <c r="D34" s="2">
        <v>7</v>
      </c>
      <c r="E34" s="3">
        <f t="shared" si="0"/>
        <v>9.8524966506328901E-2</v>
      </c>
      <c r="F34" s="4">
        <f t="shared" si="1"/>
        <v>735.24954658364561</v>
      </c>
    </row>
    <row r="35" spans="1:6">
      <c r="A35" s="7">
        <v>43018</v>
      </c>
      <c r="B35" s="1">
        <v>0.33333333333333331</v>
      </c>
      <c r="C35" s="2">
        <v>8302</v>
      </c>
      <c r="D35" s="2">
        <v>6.9</v>
      </c>
      <c r="E35" s="3">
        <f t="shared" si="0"/>
        <v>9.861569770364749E-2</v>
      </c>
      <c r="F35" s="4">
        <f t="shared" si="1"/>
        <v>735.25880116577207</v>
      </c>
    </row>
    <row r="36" spans="1:6">
      <c r="A36" s="7">
        <v>43230</v>
      </c>
      <c r="B36" s="1">
        <v>0.33333333333333331</v>
      </c>
      <c r="C36" s="2">
        <v>8321.2999999999993</v>
      </c>
      <c r="D36" s="2">
        <v>7.4</v>
      </c>
      <c r="E36" s="3">
        <f t="shared" ref="E36:E45" si="2">($B$2*C36^2+$B$3*C36+$B$4)-$B$5*D36-$E$7</f>
        <v>9.6978958021962422E-2</v>
      </c>
      <c r="F36" s="4">
        <f t="shared" si="1"/>
        <v>735.09185371824026</v>
      </c>
    </row>
    <row r="37" spans="1:6">
      <c r="A37" s="7">
        <v>43240</v>
      </c>
      <c r="B37" s="1">
        <v>0.33333333333333331</v>
      </c>
      <c r="C37" s="2">
        <v>8320</v>
      </c>
      <c r="D37" s="2">
        <v>8.3000000000000007</v>
      </c>
      <c r="E37" s="3">
        <f t="shared" si="2"/>
        <v>9.9874144813907315E-2</v>
      </c>
      <c r="F37" s="4">
        <f t="shared" si="1"/>
        <v>735.38716277101855</v>
      </c>
    </row>
    <row r="38" spans="1:6">
      <c r="A38" s="7">
        <v>43250</v>
      </c>
      <c r="B38" s="1">
        <v>0.33333333333333331</v>
      </c>
      <c r="C38" s="2">
        <v>8315.7999999999993</v>
      </c>
      <c r="D38" s="2">
        <v>7.7</v>
      </c>
      <c r="E38" s="3">
        <f t="shared" si="2"/>
        <v>9.8765189454700877E-2</v>
      </c>
      <c r="F38" s="4">
        <f t="shared" si="1"/>
        <v>735.27404932437958</v>
      </c>
    </row>
    <row r="39" spans="1:6">
      <c r="A39" s="7">
        <v>43261</v>
      </c>
      <c r="B39" s="1">
        <v>0.33333333333333331</v>
      </c>
      <c r="C39" s="2">
        <v>8297.2999999999993</v>
      </c>
      <c r="D39" s="2">
        <v>7.7</v>
      </c>
      <c r="E39" s="3">
        <f t="shared" si="2"/>
        <v>0.10176373877977858</v>
      </c>
      <c r="F39" s="4">
        <f t="shared" si="1"/>
        <v>735.57990135553746</v>
      </c>
    </row>
    <row r="40" spans="1:6">
      <c r="A40" s="7">
        <v>43271</v>
      </c>
      <c r="B40" s="1">
        <v>0.33333333333333331</v>
      </c>
      <c r="C40" s="2">
        <v>8248.2999999999993</v>
      </c>
      <c r="D40" s="2">
        <v>7.5</v>
      </c>
      <c r="E40" s="3">
        <f t="shared" si="2"/>
        <v>0.10911081088631459</v>
      </c>
      <c r="F40" s="4">
        <f t="shared" si="1"/>
        <v>736.32930271040414</v>
      </c>
    </row>
    <row r="41" spans="1:6">
      <c r="A41" s="7">
        <v>43281</v>
      </c>
      <c r="B41" s="1">
        <v>0.33333333333333331</v>
      </c>
      <c r="C41" s="2">
        <v>8253.2000000000007</v>
      </c>
      <c r="D41" s="2">
        <v>7.5</v>
      </c>
      <c r="E41" s="3">
        <f t="shared" si="2"/>
        <v>0.10831634874026165</v>
      </c>
      <c r="F41" s="4">
        <f t="shared" si="1"/>
        <v>736.24826757150674</v>
      </c>
    </row>
    <row r="42" spans="1:6">
      <c r="A42" s="7">
        <v>43291</v>
      </c>
      <c r="B42" s="1">
        <v>0.33333333333333331</v>
      </c>
      <c r="C42" s="2">
        <v>8282.2000000000007</v>
      </c>
      <c r="D42" s="2">
        <v>7.5</v>
      </c>
      <c r="E42" s="3">
        <f t="shared" si="2"/>
        <v>0.10361488257033248</v>
      </c>
      <c r="F42" s="4">
        <f t="shared" si="1"/>
        <v>735.76871802217397</v>
      </c>
    </row>
    <row r="43" spans="1:6">
      <c r="A43" s="7">
        <v>43301</v>
      </c>
      <c r="B43" s="1">
        <v>0.33333333333333331</v>
      </c>
      <c r="C43" s="2">
        <v>8286.7999999999993</v>
      </c>
      <c r="D43" s="2">
        <v>7.8</v>
      </c>
      <c r="E43" s="3">
        <f t="shared" si="2"/>
        <v>0.10376403552890189</v>
      </c>
      <c r="F43" s="4">
        <f t="shared" si="1"/>
        <v>735.78393162394809</v>
      </c>
    </row>
    <row r="44" spans="1:6">
      <c r="A44" s="7">
        <v>43311</v>
      </c>
      <c r="B44" s="1">
        <v>0.33333333333333331</v>
      </c>
      <c r="C44" s="2">
        <v>8287.1</v>
      </c>
      <c r="D44" s="2">
        <v>7.4</v>
      </c>
      <c r="E44" s="3">
        <f t="shared" si="2"/>
        <v>0.10252229618999563</v>
      </c>
      <c r="F44" s="4">
        <f t="shared" si="1"/>
        <v>735.65727421137956</v>
      </c>
    </row>
    <row r="45" spans="1:6">
      <c r="A45" s="7">
        <v>43322</v>
      </c>
      <c r="B45" s="1">
        <v>0.33333333333333331</v>
      </c>
      <c r="C45" s="2">
        <v>8267.9</v>
      </c>
      <c r="D45" s="2">
        <v>7.4</v>
      </c>
      <c r="E45" s="3">
        <f t="shared" si="2"/>
        <v>0.1056348177626356</v>
      </c>
      <c r="F45" s="4">
        <f t="shared" si="1"/>
        <v>735.97475141178893</v>
      </c>
    </row>
    <row r="46" spans="1:6">
      <c r="A46" s="7">
        <v>43332</v>
      </c>
      <c r="B46" s="1">
        <v>0.33333333333333331</v>
      </c>
      <c r="C46" s="2">
        <v>8281.4</v>
      </c>
      <c r="D46" s="2">
        <v>7.4</v>
      </c>
      <c r="E46" s="3">
        <f t="shared" ref="E46:E63" si="3">($B$2*C46^2+$B$3*C46+$B$4)-$B$5*D46-$E$7</f>
        <v>0.10344629060139997</v>
      </c>
      <c r="F46" s="4">
        <f t="shared" ref="F46:F63" si="4">$D$1+102*E46</f>
        <v>735.75152164134283</v>
      </c>
    </row>
    <row r="47" spans="1:6">
      <c r="A47" s="7">
        <v>43342</v>
      </c>
      <c r="B47" s="1">
        <v>0.33333333333333331</v>
      </c>
      <c r="C47" s="2">
        <v>8256.4</v>
      </c>
      <c r="D47" s="2">
        <v>7.6</v>
      </c>
      <c r="E47" s="3">
        <f t="shared" si="3"/>
        <v>0.10809580545282498</v>
      </c>
      <c r="F47" s="4">
        <f t="shared" si="4"/>
        <v>736.22577215618821</v>
      </c>
    </row>
    <row r="48" spans="1:6">
      <c r="A48" s="7">
        <v>43353</v>
      </c>
      <c r="B48" s="1">
        <v>0.33333333333333331</v>
      </c>
      <c r="C48" s="2">
        <v>8229</v>
      </c>
      <c r="D48" s="2">
        <v>8</v>
      </c>
      <c r="E48" s="3">
        <f t="shared" si="3"/>
        <v>0.11373161998174235</v>
      </c>
      <c r="F48" s="4">
        <f t="shared" si="4"/>
        <v>736.80062523813774</v>
      </c>
    </row>
    <row r="49" spans="1:6">
      <c r="A49" s="7">
        <v>43363</v>
      </c>
      <c r="B49" s="1">
        <v>0.33333333333333331</v>
      </c>
      <c r="C49" s="2">
        <v>8253.9</v>
      </c>
      <c r="D49" s="2">
        <v>7.2</v>
      </c>
      <c r="E49" s="3">
        <f t="shared" si="3"/>
        <v>0.10730802435287361</v>
      </c>
      <c r="F49" s="4">
        <f t="shared" si="4"/>
        <v>736.14541848399313</v>
      </c>
    </row>
    <row r="50" spans="1:6">
      <c r="A50" s="7">
        <v>43373</v>
      </c>
      <c r="B50" s="1">
        <v>0.33333333333333331</v>
      </c>
      <c r="C50" s="2">
        <v>8270.2999999999993</v>
      </c>
      <c r="D50" s="2">
        <v>7.5</v>
      </c>
      <c r="E50" s="3">
        <f t="shared" si="3"/>
        <v>0.10554401120131664</v>
      </c>
      <c r="F50" s="4">
        <f t="shared" si="4"/>
        <v>735.96548914253435</v>
      </c>
    </row>
    <row r="51" spans="1:6">
      <c r="A51" s="7">
        <v>43383</v>
      </c>
      <c r="B51" s="1">
        <v>0.33333333333333331</v>
      </c>
      <c r="C51" s="2">
        <v>8272.4</v>
      </c>
      <c r="D51" s="2">
        <v>7.3</v>
      </c>
      <c r="E51" s="3">
        <f t="shared" si="3"/>
        <v>0.10460701286127301</v>
      </c>
      <c r="F51" s="4">
        <f t="shared" si="4"/>
        <v>735.86991531184992</v>
      </c>
    </row>
    <row r="52" spans="1:6">
      <c r="A52" s="7">
        <v>43393</v>
      </c>
      <c r="B52" s="1">
        <v>0.33333333333333331</v>
      </c>
      <c r="C52" s="2">
        <v>8275.6</v>
      </c>
      <c r="D52" s="2">
        <v>7.2</v>
      </c>
      <c r="E52" s="3">
        <f t="shared" si="3"/>
        <v>0.10378997175208886</v>
      </c>
      <c r="F52" s="4">
        <f t="shared" si="4"/>
        <v>735.78657711871313</v>
      </c>
    </row>
    <row r="53" spans="1:6">
      <c r="A53" s="32">
        <v>43605</v>
      </c>
      <c r="B53" s="1">
        <v>0.33333333333333331</v>
      </c>
      <c r="C53" s="2">
        <v>8287.2999999999993</v>
      </c>
      <c r="D53" s="2">
        <v>7</v>
      </c>
      <c r="E53" s="3">
        <f t="shared" si="3"/>
        <v>0.1012967670767687</v>
      </c>
      <c r="F53" s="4">
        <f t="shared" si="4"/>
        <v>735.53227024183047</v>
      </c>
    </row>
    <row r="54" spans="1:6">
      <c r="A54" s="32">
        <v>43615</v>
      </c>
      <c r="B54" s="1">
        <v>0.33333333333333331</v>
      </c>
      <c r="C54" s="2">
        <v>8290.1</v>
      </c>
      <c r="D54" s="2">
        <v>7</v>
      </c>
      <c r="E54" s="3">
        <f t="shared" si="3"/>
        <v>0.10084288655924155</v>
      </c>
      <c r="F54" s="4">
        <f t="shared" si="4"/>
        <v>735.4859744290427</v>
      </c>
    </row>
    <row r="55" spans="1:6">
      <c r="A55" s="32">
        <v>43626</v>
      </c>
      <c r="B55" s="1">
        <v>0.33333333333333331</v>
      </c>
      <c r="C55" s="2">
        <v>8292.7000000000007</v>
      </c>
      <c r="D55" s="2">
        <v>7.1</v>
      </c>
      <c r="E55" s="3">
        <f t="shared" si="3"/>
        <v>0.10071970974318835</v>
      </c>
      <c r="F55" s="4">
        <f t="shared" si="4"/>
        <v>735.47341039380524</v>
      </c>
    </row>
    <row r="56" spans="1:6">
      <c r="A56" s="32">
        <v>43636</v>
      </c>
      <c r="B56" s="1">
        <v>0.33333333333333331</v>
      </c>
      <c r="C56" s="2">
        <v>8293.1</v>
      </c>
      <c r="D56" s="2">
        <v>7.1</v>
      </c>
      <c r="E56" s="3">
        <f t="shared" si="3"/>
        <v>0.10065487121631746</v>
      </c>
      <c r="F56" s="4">
        <f t="shared" si="4"/>
        <v>735.46679686406446</v>
      </c>
    </row>
    <row r="57" spans="1:6">
      <c r="A57" s="7">
        <v>43646</v>
      </c>
      <c r="B57" s="1">
        <v>0.33333333333333331</v>
      </c>
      <c r="C57" s="2">
        <v>8290.7999999999993</v>
      </c>
      <c r="D57" s="2">
        <v>7.1</v>
      </c>
      <c r="E57" s="3">
        <f t="shared" si="3"/>
        <v>0.10102769475792574</v>
      </c>
      <c r="F57" s="4">
        <f t="shared" si="4"/>
        <v>735.50482486530848</v>
      </c>
    </row>
    <row r="58" spans="1:6">
      <c r="A58" s="7">
        <v>43656</v>
      </c>
      <c r="B58" s="1">
        <v>0.33333333333333331</v>
      </c>
      <c r="C58" s="2">
        <v>8287.5</v>
      </c>
      <c r="D58" s="2">
        <v>7</v>
      </c>
      <c r="E58" s="3">
        <f t="shared" si="3"/>
        <v>0.10126434680037609</v>
      </c>
      <c r="F58" s="4">
        <f t="shared" si="4"/>
        <v>735.52896337363836</v>
      </c>
    </row>
    <row r="59" spans="1:6">
      <c r="A59" s="7">
        <v>43666</v>
      </c>
      <c r="B59" s="1">
        <v>0.33333333333333331</v>
      </c>
      <c r="C59" s="2">
        <v>8276.2999999999993</v>
      </c>
      <c r="D59" s="2">
        <v>7</v>
      </c>
      <c r="E59" s="3">
        <f t="shared" si="3"/>
        <v>0.10307993900394262</v>
      </c>
      <c r="F59" s="4">
        <f t="shared" si="4"/>
        <v>735.71415377840219</v>
      </c>
    </row>
    <row r="60" spans="1:6">
      <c r="A60" s="7">
        <v>43676</v>
      </c>
      <c r="B60" s="1">
        <v>0.33333333333333331</v>
      </c>
      <c r="C60" s="2">
        <v>8265.7000000000007</v>
      </c>
      <c r="D60" s="2">
        <v>7</v>
      </c>
      <c r="E60" s="3">
        <f t="shared" si="3"/>
        <v>0.10479837373678046</v>
      </c>
      <c r="F60" s="4">
        <f t="shared" si="4"/>
        <v>735.88943412115168</v>
      </c>
    </row>
    <row r="61" spans="1:6">
      <c r="A61" s="7">
        <v>43687</v>
      </c>
      <c r="B61" s="1">
        <v>0.33333333333333331</v>
      </c>
      <c r="C61" s="2">
        <v>8247.1</v>
      </c>
      <c r="D61" s="2">
        <v>7.1</v>
      </c>
      <c r="E61" s="3">
        <f t="shared" si="3"/>
        <v>0.10811226761491545</v>
      </c>
      <c r="F61" s="4">
        <f t="shared" si="4"/>
        <v>736.22745129672137</v>
      </c>
    </row>
    <row r="62" spans="1:6">
      <c r="A62" s="7">
        <v>43697</v>
      </c>
      <c r="B62" s="1">
        <v>0.33333333333333331</v>
      </c>
      <c r="C62" s="2">
        <v>8240.2999999999993</v>
      </c>
      <c r="D62" s="2">
        <v>7.1</v>
      </c>
      <c r="E62" s="3">
        <f t="shared" si="3"/>
        <v>0.10921483065798666</v>
      </c>
      <c r="F62" s="4">
        <f t="shared" si="4"/>
        <v>736.33991272711467</v>
      </c>
    </row>
    <row r="63" spans="1:6">
      <c r="A63" s="7">
        <v>43707</v>
      </c>
      <c r="B63" s="1">
        <v>0.33333333333333331</v>
      </c>
      <c r="C63" s="2">
        <v>8222</v>
      </c>
      <c r="D63" s="2">
        <v>7.2</v>
      </c>
      <c r="E63" s="3">
        <f t="shared" si="3"/>
        <v>0.11248051106844741</v>
      </c>
      <c r="F63" s="4">
        <f t="shared" si="4"/>
        <v>736.67301212898167</v>
      </c>
    </row>
  </sheetData>
  <phoneticPr fontId="4" type="noConversion"/>
  <pageMargins left="0.69930555555555596" right="0.69930555555555596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2"/>
  <sheetViews>
    <sheetView topLeftCell="A58" workbookViewId="0">
      <selection activeCell="A76" sqref="A76:B82"/>
    </sheetView>
  </sheetViews>
  <sheetFormatPr defaultColWidth="9" defaultRowHeight="13.5"/>
  <cols>
    <col min="1" max="1" width="11.875" customWidth="1"/>
    <col min="2" max="2" width="13.875" customWidth="1"/>
    <col min="5" max="5" width="10.875" customWidth="1"/>
  </cols>
  <sheetData>
    <row r="1" spans="1:7">
      <c r="A1" t="s">
        <v>0</v>
      </c>
      <c r="B1">
        <v>50352</v>
      </c>
      <c r="C1" t="s">
        <v>1</v>
      </c>
      <c r="D1">
        <v>726.5</v>
      </c>
    </row>
    <row r="2" spans="1:7">
      <c r="A2" t="s">
        <v>2</v>
      </c>
      <c r="B2">
        <f>3.7094*10^-11</f>
        <v>3.7094E-11</v>
      </c>
    </row>
    <row r="3" spans="1:7">
      <c r="A3" t="s">
        <v>3</v>
      </c>
      <c r="B3">
        <v>-7.1917999999999998E-5</v>
      </c>
    </row>
    <row r="4" spans="1:7">
      <c r="A4" t="s">
        <v>4</v>
      </c>
      <c r="B4">
        <v>0.70855246000000005</v>
      </c>
    </row>
    <row r="5" spans="1:7">
      <c r="A5" t="s">
        <v>5</v>
      </c>
      <c r="B5">
        <v>-9.6930599999999997E-4</v>
      </c>
    </row>
    <row r="6" spans="1:7">
      <c r="A6" t="s">
        <v>6</v>
      </c>
      <c r="B6" t="s">
        <v>7</v>
      </c>
      <c r="C6" t="s">
        <v>8</v>
      </c>
      <c r="D6" t="s">
        <v>9</v>
      </c>
      <c r="E6" t="s">
        <v>10</v>
      </c>
      <c r="F6" t="s">
        <v>11</v>
      </c>
      <c r="G6" t="s">
        <v>12</v>
      </c>
    </row>
    <row r="7" spans="1:7">
      <c r="A7" s="7">
        <v>42249</v>
      </c>
      <c r="B7" s="1">
        <v>0.91666666666666696</v>
      </c>
      <c r="C7" s="2">
        <v>9831.7999999999993</v>
      </c>
      <c r="D7" s="2">
        <v>17.2</v>
      </c>
      <c r="E7" s="3">
        <f>($B$2*C7^2+$B$3*C7+$B$4)-$B$5*D7</f>
        <v>2.1726796019256613E-2</v>
      </c>
      <c r="G7" t="s">
        <v>13</v>
      </c>
    </row>
    <row r="8" spans="1:7">
      <c r="A8" s="7">
        <v>42249</v>
      </c>
      <c r="B8" s="1">
        <v>0.95833333333333304</v>
      </c>
      <c r="C8" s="2">
        <v>9230.7000000000007</v>
      </c>
      <c r="D8" s="2">
        <v>14.2</v>
      </c>
      <c r="E8" s="3">
        <f>($B$2*C8^2+$B$3*C8+$B$4)-$B$5*D8-$E$7</f>
        <v>3.9896951360187463E-2</v>
      </c>
      <c r="F8" s="12">
        <f>$D$1+102*E8</f>
        <v>730.56948903873911</v>
      </c>
      <c r="G8" t="s">
        <v>17</v>
      </c>
    </row>
    <row r="9" spans="1:7">
      <c r="A9" s="7">
        <v>42250</v>
      </c>
      <c r="B9" s="1">
        <v>0.33333333333333298</v>
      </c>
      <c r="C9" s="2">
        <v>9148.7999999999993</v>
      </c>
      <c r="D9" s="2">
        <v>9.4</v>
      </c>
      <c r="E9" s="3">
        <f>($B$2*C9^2+$B$3*C9+$B$4)-$B$5*D9-$E$7</f>
        <v>4.107852986491882E-2</v>
      </c>
      <c r="F9" s="12">
        <f t="shared" ref="F9:F64" si="0">$D$1+102*E9</f>
        <v>730.69001004622169</v>
      </c>
    </row>
    <row r="10" spans="1:7">
      <c r="A10" s="7">
        <v>42251</v>
      </c>
      <c r="B10" s="1">
        <v>0.33333333333333298</v>
      </c>
      <c r="C10" s="2">
        <v>9144.4</v>
      </c>
      <c r="D10" s="2">
        <v>9.1</v>
      </c>
      <c r="E10" s="3">
        <f t="shared" ref="E10:E19" si="1">($B$2*C10^2+$B$3*C10+$B$4)-$B$5*D10-$E$7</f>
        <v>4.1101191565891385E-2</v>
      </c>
      <c r="F10" s="12">
        <f t="shared" si="0"/>
        <v>730.69232153972087</v>
      </c>
    </row>
    <row r="11" spans="1:7">
      <c r="A11" s="7">
        <v>42252</v>
      </c>
      <c r="B11" s="1">
        <v>0.33333333333333298</v>
      </c>
      <c r="C11" s="2">
        <v>9144.4</v>
      </c>
      <c r="D11" s="2">
        <v>9.1</v>
      </c>
      <c r="E11" s="3">
        <f t="shared" si="1"/>
        <v>4.1101191565891385E-2</v>
      </c>
      <c r="F11" s="12">
        <f t="shared" si="0"/>
        <v>730.69232153972087</v>
      </c>
    </row>
    <row r="12" spans="1:7">
      <c r="A12" s="7">
        <v>42253</v>
      </c>
      <c r="B12" s="1">
        <v>0.33333333333333298</v>
      </c>
      <c r="C12" s="2">
        <v>9147</v>
      </c>
      <c r="D12" s="2">
        <v>8.9</v>
      </c>
      <c r="E12" s="3">
        <f t="shared" si="1"/>
        <v>4.0722107668989468E-2</v>
      </c>
      <c r="F12" s="12">
        <f t="shared" si="0"/>
        <v>730.65365498223696</v>
      </c>
    </row>
    <row r="13" spans="1:7">
      <c r="A13" s="7">
        <v>42254</v>
      </c>
      <c r="B13" s="1">
        <v>0.33333333333333298</v>
      </c>
      <c r="C13" s="2">
        <v>9146.6</v>
      </c>
      <c r="D13" s="2">
        <v>8.9</v>
      </c>
      <c r="E13" s="3">
        <f t="shared" si="1"/>
        <v>4.0750603435870045E-2</v>
      </c>
      <c r="F13" s="12">
        <f t="shared" si="0"/>
        <v>730.65656155045872</v>
      </c>
    </row>
    <row r="14" spans="1:7">
      <c r="A14" s="7">
        <v>42255</v>
      </c>
      <c r="B14" s="1">
        <v>0.33333333333333298</v>
      </c>
      <c r="C14" s="2">
        <v>9151.4</v>
      </c>
      <c r="D14" s="2">
        <v>8.9</v>
      </c>
      <c r="E14" s="3">
        <f t="shared" si="1"/>
        <v>4.0408655016727787E-2</v>
      </c>
      <c r="F14" s="12">
        <f t="shared" si="0"/>
        <v>730.62168281170625</v>
      </c>
    </row>
    <row r="15" spans="1:7">
      <c r="A15" s="7">
        <v>42259</v>
      </c>
      <c r="B15" s="1">
        <v>0.33333333333333298</v>
      </c>
      <c r="C15" s="2">
        <v>9151</v>
      </c>
      <c r="D15" s="2">
        <v>8.9</v>
      </c>
      <c r="E15" s="3">
        <f t="shared" si="1"/>
        <v>4.0437150653037365E-2</v>
      </c>
      <c r="F15" s="12">
        <f t="shared" si="0"/>
        <v>730.62458936660983</v>
      </c>
    </row>
    <row r="16" spans="1:7">
      <c r="A16" s="7">
        <v>42266</v>
      </c>
      <c r="B16" s="1">
        <v>0.33333333333333298</v>
      </c>
      <c r="C16" s="2">
        <v>9120.6</v>
      </c>
      <c r="D16" s="2">
        <v>9.1</v>
      </c>
      <c r="E16" s="3">
        <f t="shared" si="1"/>
        <v>4.2796714944433226E-2</v>
      </c>
      <c r="F16" s="12">
        <f t="shared" si="0"/>
        <v>730.86526492433222</v>
      </c>
    </row>
    <row r="17" spans="1:6">
      <c r="A17" s="7">
        <v>42273</v>
      </c>
      <c r="B17" s="1">
        <v>0.33333333333333298</v>
      </c>
      <c r="C17" s="2">
        <v>9122.4</v>
      </c>
      <c r="D17" s="2">
        <v>9.1</v>
      </c>
      <c r="E17" s="3">
        <f t="shared" si="1"/>
        <v>4.2668480614948948E-2</v>
      </c>
      <c r="F17" s="12">
        <f t="shared" si="0"/>
        <v>730.85218502272483</v>
      </c>
    </row>
    <row r="18" spans="1:6">
      <c r="A18" s="7">
        <v>42280</v>
      </c>
      <c r="B18" s="1">
        <v>0.33333333333333298</v>
      </c>
      <c r="C18" s="2">
        <v>9104.4</v>
      </c>
      <c r="D18" s="2">
        <v>8.9</v>
      </c>
      <c r="E18" s="3">
        <f t="shared" si="1"/>
        <v>4.3756973526403328E-2</v>
      </c>
      <c r="F18" s="12">
        <f t="shared" si="0"/>
        <v>730.96321129969317</v>
      </c>
    </row>
    <row r="19" spans="1:6">
      <c r="A19" s="7">
        <v>42287</v>
      </c>
      <c r="B19" s="1">
        <v>0.33333333333333298</v>
      </c>
      <c r="C19" s="2">
        <v>9095.2999999999993</v>
      </c>
      <c r="D19" s="2">
        <v>9.5</v>
      </c>
      <c r="E19" s="3">
        <f t="shared" si="1"/>
        <v>4.4986867519389961E-2</v>
      </c>
      <c r="F19" s="12">
        <f t="shared" si="0"/>
        <v>731.0886604869778</v>
      </c>
    </row>
    <row r="20" spans="1:6">
      <c r="A20" s="7">
        <v>42294</v>
      </c>
      <c r="B20" s="1">
        <v>0.33333333333333298</v>
      </c>
      <c r="C20" s="2">
        <v>9065.7000000000007</v>
      </c>
      <c r="D20" s="2">
        <v>9.1</v>
      </c>
      <c r="E20" s="3">
        <f t="shared" ref="E20:E26" si="2">($B$2*C20^2+$B$3*C20+$B$4)-$B$5*D20-$E$7</f>
        <v>4.6707977461023467E-2</v>
      </c>
      <c r="F20" s="12">
        <f t="shared" si="0"/>
        <v>731.26421370102435</v>
      </c>
    </row>
    <row r="21" spans="1:6">
      <c r="A21" s="7">
        <v>42301</v>
      </c>
      <c r="B21" s="1">
        <v>0.33333333333333298</v>
      </c>
      <c r="C21" s="2">
        <v>9057.6</v>
      </c>
      <c r="D21" s="2">
        <v>8.9</v>
      </c>
      <c r="E21" s="3">
        <f t="shared" si="2"/>
        <v>4.7091206708932895E-2</v>
      </c>
      <c r="F21" s="12">
        <f t="shared" si="0"/>
        <v>731.30330308431121</v>
      </c>
    </row>
    <row r="22" spans="1:6">
      <c r="A22" s="7">
        <v>42485</v>
      </c>
      <c r="B22" s="1">
        <v>0.33333333333333298</v>
      </c>
      <c r="C22" s="2">
        <v>9095.1</v>
      </c>
      <c r="D22" s="2">
        <v>8.9</v>
      </c>
      <c r="E22" s="3">
        <f t="shared" si="2"/>
        <v>4.4419532568450368E-2</v>
      </c>
      <c r="F22" s="12">
        <f t="shared" si="0"/>
        <v>731.03079232198195</v>
      </c>
    </row>
    <row r="23" spans="1:6">
      <c r="A23" s="7">
        <v>42501</v>
      </c>
      <c r="B23" s="1">
        <v>0.33333333333333298</v>
      </c>
      <c r="C23">
        <v>9060.5</v>
      </c>
      <c r="D23">
        <v>8</v>
      </c>
      <c r="E23" s="3">
        <f t="shared" si="2"/>
        <v>4.6012218120056958E-2</v>
      </c>
      <c r="F23" s="12">
        <f t="shared" si="0"/>
        <v>731.19324624824583</v>
      </c>
    </row>
    <row r="24" spans="1:6">
      <c r="A24" s="7">
        <v>42520</v>
      </c>
      <c r="B24" s="1">
        <v>0.33333333333333298</v>
      </c>
      <c r="C24">
        <v>9068.2999999999993</v>
      </c>
      <c r="D24">
        <v>7.8</v>
      </c>
      <c r="E24" s="3">
        <f t="shared" si="2"/>
        <v>4.5262641783773136E-2</v>
      </c>
      <c r="F24" s="12">
        <f t="shared" si="0"/>
        <v>731.1167894619449</v>
      </c>
    </row>
    <row r="25" spans="1:6">
      <c r="A25" s="7">
        <v>42531</v>
      </c>
      <c r="B25" s="1">
        <v>0.33333333333333298</v>
      </c>
      <c r="C25" s="2">
        <v>9064.1</v>
      </c>
      <c r="D25" s="2">
        <v>7.7</v>
      </c>
      <c r="E25" s="3">
        <f t="shared" si="2"/>
        <v>4.5464941850141521E-2</v>
      </c>
      <c r="F25" s="12">
        <f t="shared" si="0"/>
        <v>731.13742406871438</v>
      </c>
    </row>
    <row r="26" spans="1:6">
      <c r="A26" s="6">
        <v>42541</v>
      </c>
      <c r="B26" s="1">
        <v>0.33333333333333298</v>
      </c>
      <c r="C26" s="2">
        <v>8911.1</v>
      </c>
      <c r="D26" s="2">
        <v>7.7</v>
      </c>
      <c r="E26" s="3">
        <f t="shared" si="2"/>
        <v>5.6366379723615162E-2</v>
      </c>
      <c r="F26" s="12">
        <f t="shared" si="0"/>
        <v>732.24937073180877</v>
      </c>
    </row>
    <row r="27" spans="1:6">
      <c r="A27" s="7">
        <v>42551</v>
      </c>
      <c r="B27" s="9">
        <v>0.33333333333333298</v>
      </c>
      <c r="C27">
        <v>9027.5</v>
      </c>
      <c r="D27">
        <v>7.7</v>
      </c>
      <c r="E27" s="3">
        <f>($B$2*C27^2+$B$3*C27+$B$4)-$B$5*D27-$E$7</f>
        <v>4.8072578763080936E-2</v>
      </c>
      <c r="F27" s="12">
        <f t="shared" si="0"/>
        <v>731.40340303383425</v>
      </c>
    </row>
    <row r="28" spans="1:6">
      <c r="A28" s="7">
        <v>42561</v>
      </c>
      <c r="B28" s="9">
        <v>0.33333333333333298</v>
      </c>
      <c r="C28">
        <v>8992.1</v>
      </c>
      <c r="D28">
        <v>7.7</v>
      </c>
      <c r="E28" s="3">
        <f>($B$2*C28^2+$B$3*C28+$B$4)-$B$5*D28-$E$7</f>
        <v>5.0594813928979937E-2</v>
      </c>
      <c r="F28" s="12">
        <f t="shared" si="0"/>
        <v>731.6606710207559</v>
      </c>
    </row>
    <row r="29" spans="1:6">
      <c r="A29" s="7">
        <v>42571</v>
      </c>
      <c r="B29" s="9">
        <v>0.33333333333333298</v>
      </c>
      <c r="C29">
        <v>9020.1</v>
      </c>
      <c r="D29">
        <v>7.7</v>
      </c>
      <c r="E29" s="3">
        <f>($B$2*C29^2+$B$3*C29+$B$4)-$B$5*D29-$E$7</f>
        <v>4.8599817976290344E-2</v>
      </c>
      <c r="F29" s="12">
        <f t="shared" si="0"/>
        <v>731.45718143358158</v>
      </c>
    </row>
    <row r="30" spans="1:6">
      <c r="A30" s="7">
        <v>42581</v>
      </c>
      <c r="B30" s="9">
        <v>0.33333333333333298</v>
      </c>
      <c r="C30">
        <v>9020.7000000000007</v>
      </c>
      <c r="D30">
        <v>7.9</v>
      </c>
      <c r="E30" s="3">
        <f>($B$2*C30^2+$B$3*C30+$B$4)-$B$5*D30-$E$7</f>
        <v>4.8750929899551473E-2</v>
      </c>
      <c r="F30" s="12">
        <f t="shared" si="0"/>
        <v>731.47259484975427</v>
      </c>
    </row>
    <row r="31" spans="1:6">
      <c r="A31" s="7">
        <v>42592</v>
      </c>
      <c r="B31" s="1">
        <v>0.33333333333333298</v>
      </c>
      <c r="C31">
        <v>8983.2000000000007</v>
      </c>
      <c r="D31">
        <v>7.6</v>
      </c>
      <c r="E31" s="3">
        <f t="shared" ref="E31:E64" si="3">($B$2*C31^2+$B$3*C31+$B$4)-$B$5*D31-$E$7</f>
        <v>5.1132019224553973E-2</v>
      </c>
      <c r="F31" s="12">
        <f t="shared" si="0"/>
        <v>731.71546596090445</v>
      </c>
    </row>
    <row r="32" spans="1:6">
      <c r="A32" s="7">
        <v>42602</v>
      </c>
      <c r="B32" s="1">
        <v>0.33333333333333298</v>
      </c>
      <c r="C32">
        <v>9000</v>
      </c>
      <c r="D32">
        <v>7.8</v>
      </c>
      <c r="E32" s="3">
        <f t="shared" si="3"/>
        <v>5.0128864780743396E-2</v>
      </c>
      <c r="F32" s="12">
        <f t="shared" si="0"/>
        <v>731.61314420763586</v>
      </c>
    </row>
    <row r="33" spans="1:6">
      <c r="A33" s="7">
        <v>42612</v>
      </c>
      <c r="B33" s="1">
        <v>0.33333333333333298</v>
      </c>
      <c r="C33">
        <v>8999.7999999999993</v>
      </c>
      <c r="D33">
        <v>7.9</v>
      </c>
      <c r="E33" s="3">
        <f t="shared" si="3"/>
        <v>5.024004544382725E-2</v>
      </c>
      <c r="F33" s="12">
        <f t="shared" si="0"/>
        <v>731.62448463527039</v>
      </c>
    </row>
    <row r="34" spans="1:6">
      <c r="A34" s="7">
        <v>42623</v>
      </c>
      <c r="B34" s="1">
        <v>0.33333333333333298</v>
      </c>
      <c r="C34">
        <v>8966.2999999999993</v>
      </c>
      <c r="D34">
        <v>8</v>
      </c>
      <c r="E34" s="3">
        <f t="shared" si="3"/>
        <v>5.2723903487628343E-2</v>
      </c>
      <c r="F34" s="12">
        <f t="shared" si="0"/>
        <v>731.87783815573812</v>
      </c>
    </row>
    <row r="35" spans="1:6">
      <c r="A35" s="7">
        <v>42633</v>
      </c>
      <c r="B35" s="1">
        <v>0.33333333333333331</v>
      </c>
      <c r="C35">
        <v>8857.4</v>
      </c>
      <c r="D35">
        <v>8.5</v>
      </c>
      <c r="E35" s="3">
        <f t="shared" si="3"/>
        <v>6.0968427199130981E-2</v>
      </c>
      <c r="F35" s="12">
        <f t="shared" si="0"/>
        <v>732.71877957431138</v>
      </c>
    </row>
    <row r="36" spans="1:6">
      <c r="A36" s="7">
        <v>42643</v>
      </c>
      <c r="B36" s="1">
        <v>0.33333333333333331</v>
      </c>
      <c r="C36">
        <v>8284.5</v>
      </c>
      <c r="D36">
        <v>10.8</v>
      </c>
      <c r="E36" s="3">
        <f t="shared" si="3"/>
        <v>0.10403536806637689</v>
      </c>
      <c r="F36" s="12">
        <f t="shared" si="0"/>
        <v>737.11160754277046</v>
      </c>
    </row>
    <row r="37" spans="1:6">
      <c r="A37" s="7">
        <v>42653</v>
      </c>
      <c r="B37" s="1">
        <v>0.33333333333333331</v>
      </c>
      <c r="C37">
        <v>8309.2000000000007</v>
      </c>
      <c r="D37">
        <v>11</v>
      </c>
      <c r="E37" s="3">
        <f t="shared" si="3"/>
        <v>0.10246805817605953</v>
      </c>
      <c r="F37" s="12">
        <f t="shared" si="0"/>
        <v>736.95174193395803</v>
      </c>
    </row>
    <row r="38" spans="1:6">
      <c r="A38" s="7">
        <v>42855</v>
      </c>
      <c r="B38" s="1">
        <v>0.33333333333333331</v>
      </c>
      <c r="C38">
        <v>8274.7999999999993</v>
      </c>
      <c r="D38">
        <v>7.5</v>
      </c>
      <c r="E38" s="3">
        <f t="shared" si="3"/>
        <v>0.10152830463483731</v>
      </c>
      <c r="F38" s="12">
        <f t="shared" si="0"/>
        <v>736.85588707275338</v>
      </c>
    </row>
    <row r="39" spans="1:6">
      <c r="A39" s="7">
        <v>42865</v>
      </c>
      <c r="B39" s="1">
        <v>0.33333333333333331</v>
      </c>
      <c r="C39">
        <v>8187.8</v>
      </c>
      <c r="D39">
        <v>8.5</v>
      </c>
      <c r="E39" s="3">
        <f t="shared" si="3"/>
        <v>0.10870134889429439</v>
      </c>
      <c r="F39" s="12">
        <f t="shared" si="0"/>
        <v>737.58753758721798</v>
      </c>
    </row>
    <row r="40" spans="1:6">
      <c r="A40" s="7">
        <v>42875</v>
      </c>
      <c r="B40" s="1">
        <v>0.33333333333333331</v>
      </c>
      <c r="C40">
        <v>8339</v>
      </c>
      <c r="D40">
        <v>8.5</v>
      </c>
      <c r="E40" s="3">
        <f t="shared" si="3"/>
        <v>9.7920039716317464E-2</v>
      </c>
      <c r="F40" s="12">
        <f t="shared" si="0"/>
        <v>736.48784405106437</v>
      </c>
    </row>
    <row r="41" spans="1:6">
      <c r="A41" s="7">
        <v>42885</v>
      </c>
      <c r="B41" s="1">
        <v>0.33333333333333331</v>
      </c>
      <c r="C41">
        <v>8366.2000000000007</v>
      </c>
      <c r="D41">
        <v>7.8</v>
      </c>
      <c r="E41" s="3">
        <f t="shared" si="3"/>
        <v>9.5302210741452828E-2</v>
      </c>
      <c r="F41" s="12">
        <f t="shared" si="0"/>
        <v>736.22082549562822</v>
      </c>
    </row>
    <row r="42" spans="1:6">
      <c r="A42" s="7">
        <v>42896</v>
      </c>
      <c r="B42" s="1">
        <v>0.33333333333333331</v>
      </c>
      <c r="C42">
        <v>8350.7000000000007</v>
      </c>
      <c r="D42">
        <v>6.9</v>
      </c>
      <c r="E42" s="3">
        <f t="shared" si="3"/>
        <v>9.5534952842779519E-2</v>
      </c>
      <c r="F42" s="12">
        <f t="shared" si="0"/>
        <v>736.24456518996351</v>
      </c>
    </row>
    <row r="43" spans="1:6">
      <c r="A43" s="7">
        <v>42906</v>
      </c>
      <c r="B43" s="1">
        <v>0.33333333333333331</v>
      </c>
      <c r="C43">
        <v>8318.2999999999993</v>
      </c>
      <c r="D43">
        <v>6.8</v>
      </c>
      <c r="E43" s="3">
        <f t="shared" si="3"/>
        <v>9.7748131878473074E-2</v>
      </c>
      <c r="F43" s="12">
        <f t="shared" si="0"/>
        <v>736.47030945160429</v>
      </c>
    </row>
    <row r="44" spans="1:6">
      <c r="A44" s="7">
        <v>42916</v>
      </c>
      <c r="B44" s="1">
        <v>0.33333333333333331</v>
      </c>
      <c r="C44">
        <v>8323.7999999999993</v>
      </c>
      <c r="D44">
        <v>7.3</v>
      </c>
      <c r="E44" s="3">
        <f t="shared" si="3"/>
        <v>9.7840631149788901E-2</v>
      </c>
      <c r="F44" s="12">
        <f t="shared" si="0"/>
        <v>736.47974437727851</v>
      </c>
    </row>
    <row r="45" spans="1:6">
      <c r="A45" s="7">
        <v>42926</v>
      </c>
      <c r="B45" s="1">
        <v>0.33333333333333331</v>
      </c>
      <c r="C45">
        <v>8365.7000000000007</v>
      </c>
      <c r="D45">
        <v>7.6</v>
      </c>
      <c r="E45" s="3">
        <f t="shared" si="3"/>
        <v>9.514399821490345E-2</v>
      </c>
      <c r="F45" s="12">
        <f t="shared" si="0"/>
        <v>736.2046878179201</v>
      </c>
    </row>
    <row r="46" spans="1:6">
      <c r="A46" s="7">
        <v>42936</v>
      </c>
      <c r="B46" s="1">
        <v>0.33333333333333331</v>
      </c>
      <c r="C46">
        <v>8387</v>
      </c>
      <c r="D46">
        <v>8.1999999999999993</v>
      </c>
      <c r="E46" s="3">
        <f t="shared" si="3"/>
        <v>9.420696476002946E-2</v>
      </c>
      <c r="F46" s="12">
        <f t="shared" si="0"/>
        <v>736.10911040552298</v>
      </c>
    </row>
    <row r="47" spans="1:6">
      <c r="A47" s="7">
        <v>42946</v>
      </c>
      <c r="B47" s="1">
        <v>0.33333333333333331</v>
      </c>
      <c r="C47">
        <v>8371.6</v>
      </c>
      <c r="D47">
        <v>8.3000000000000007</v>
      </c>
      <c r="E47" s="3">
        <f t="shared" si="3"/>
        <v>9.5401859249999985E-2</v>
      </c>
      <c r="F47" s="12">
        <f t="shared" si="0"/>
        <v>736.23098964350004</v>
      </c>
    </row>
    <row r="48" spans="1:6">
      <c r="A48" s="7">
        <v>42957</v>
      </c>
      <c r="B48" s="1">
        <v>0.33333333333333331</v>
      </c>
      <c r="C48">
        <v>8352.7000000000007</v>
      </c>
      <c r="D48">
        <v>8.5</v>
      </c>
      <c r="E48" s="3">
        <f t="shared" si="3"/>
        <v>9.6943245634618647E-2</v>
      </c>
      <c r="F48" s="12">
        <f t="shared" si="0"/>
        <v>736.38821105473107</v>
      </c>
    </row>
    <row r="49" spans="1:6">
      <c r="A49" s="7">
        <v>42967</v>
      </c>
      <c r="B49" s="1">
        <v>0.33333333333333331</v>
      </c>
      <c r="C49">
        <v>8377.4</v>
      </c>
      <c r="D49">
        <v>8.6</v>
      </c>
      <c r="E49" s="3">
        <f t="shared" si="3"/>
        <v>9.5279130116954949E-2</v>
      </c>
      <c r="F49" s="12">
        <f t="shared" si="0"/>
        <v>736.21847127192939</v>
      </c>
    </row>
    <row r="50" spans="1:6">
      <c r="A50" s="7">
        <v>42977</v>
      </c>
      <c r="B50" s="1">
        <v>0.33333333333333331</v>
      </c>
      <c r="C50">
        <v>8355.2999999999993</v>
      </c>
      <c r="D50">
        <v>8.6</v>
      </c>
      <c r="E50" s="3">
        <f t="shared" si="3"/>
        <v>9.6854800827653922E-2</v>
      </c>
      <c r="F50" s="12">
        <f t="shared" si="0"/>
        <v>736.37918968442068</v>
      </c>
    </row>
    <row r="51" spans="1:6">
      <c r="A51" s="7">
        <v>42988</v>
      </c>
      <c r="B51" s="1">
        <v>0.33333333333333331</v>
      </c>
      <c r="C51">
        <v>8358</v>
      </c>
      <c r="D51">
        <v>8.9</v>
      </c>
      <c r="E51" s="3">
        <f t="shared" si="3"/>
        <v>9.6953087928159418E-2</v>
      </c>
      <c r="F51" s="12">
        <f t="shared" si="0"/>
        <v>736.38921496867226</v>
      </c>
    </row>
    <row r="52" spans="1:6">
      <c r="A52" s="7">
        <v>42998</v>
      </c>
      <c r="B52" s="1">
        <v>0.33333333333333331</v>
      </c>
      <c r="C52">
        <v>8364.5</v>
      </c>
      <c r="D52">
        <v>9.1</v>
      </c>
      <c r="E52" s="3">
        <f t="shared" si="3"/>
        <v>9.6683514106856897E-2</v>
      </c>
      <c r="F52" s="12">
        <f t="shared" si="0"/>
        <v>736.3617184388994</v>
      </c>
    </row>
    <row r="53" spans="1:6">
      <c r="A53" s="7">
        <v>43008</v>
      </c>
      <c r="B53" s="1">
        <v>0.33333333333333331</v>
      </c>
      <c r="C53">
        <v>8373.4</v>
      </c>
      <c r="D53">
        <v>9.1</v>
      </c>
      <c r="E53" s="3">
        <f t="shared" si="3"/>
        <v>9.6048969700254186E-2</v>
      </c>
      <c r="F53" s="12">
        <f t="shared" si="0"/>
        <v>736.29699490942596</v>
      </c>
    </row>
    <row r="54" spans="1:6">
      <c r="A54" s="7">
        <v>43018</v>
      </c>
      <c r="B54" s="1">
        <v>0.33333333333333331</v>
      </c>
      <c r="C54">
        <v>8369</v>
      </c>
      <c r="D54">
        <v>9.1</v>
      </c>
      <c r="E54" s="3">
        <f t="shared" si="3"/>
        <v>9.6362676312877385E-2</v>
      </c>
      <c r="F54" s="12">
        <f t="shared" si="0"/>
        <v>736.32899298391351</v>
      </c>
    </row>
    <row r="55" spans="1:6">
      <c r="A55" s="7">
        <v>43230</v>
      </c>
      <c r="B55" s="1">
        <v>0.33333333333333331</v>
      </c>
      <c r="C55">
        <v>8369.7000000000007</v>
      </c>
      <c r="D55">
        <v>8.9</v>
      </c>
      <c r="E55" s="3">
        <f t="shared" si="3"/>
        <v>9.6118907146613905E-2</v>
      </c>
      <c r="F55" s="12">
        <f t="shared" si="0"/>
        <v>736.30412852895461</v>
      </c>
    </row>
    <row r="56" spans="1:6">
      <c r="A56" s="7">
        <v>43240</v>
      </c>
      <c r="B56" s="1">
        <v>0.33333333333333331</v>
      </c>
      <c r="C56">
        <v>8376.9</v>
      </c>
      <c r="D56">
        <v>9</v>
      </c>
      <c r="E56" s="3">
        <f t="shared" si="3"/>
        <v>9.5702500774952792E-2</v>
      </c>
      <c r="F56" s="12">
        <f t="shared" si="0"/>
        <v>736.26165507904523</v>
      </c>
    </row>
    <row r="57" spans="1:6">
      <c r="A57" s="7">
        <v>43250</v>
      </c>
      <c r="B57" s="1">
        <v>0.33333333333333331</v>
      </c>
      <c r="C57">
        <v>8358.6</v>
      </c>
      <c r="D57">
        <v>8.9</v>
      </c>
      <c r="E57" s="3">
        <f t="shared" si="3"/>
        <v>9.6910309179495654E-2</v>
      </c>
      <c r="F57" s="12">
        <f t="shared" si="0"/>
        <v>736.38485153630859</v>
      </c>
    </row>
    <row r="58" spans="1:6">
      <c r="A58" s="7">
        <v>43261</v>
      </c>
      <c r="B58" s="1">
        <v>0.33333333333333331</v>
      </c>
      <c r="C58">
        <v>8286</v>
      </c>
      <c r="D58">
        <v>8.6</v>
      </c>
      <c r="E58" s="3">
        <f t="shared" si="3"/>
        <v>0.10179593986556752</v>
      </c>
      <c r="F58" s="12">
        <f t="shared" si="0"/>
        <v>736.88318586628793</v>
      </c>
    </row>
    <row r="59" spans="1:6">
      <c r="A59" s="7">
        <v>43271</v>
      </c>
      <c r="B59" s="1">
        <v>0.33333333333333331</v>
      </c>
      <c r="C59">
        <v>8063.2</v>
      </c>
      <c r="D59">
        <v>8.1999999999999993</v>
      </c>
      <c r="E59" s="3">
        <f t="shared" si="3"/>
        <v>0.11729642919588204</v>
      </c>
      <c r="F59" s="12">
        <f t="shared" si="0"/>
        <v>738.46423577797998</v>
      </c>
    </row>
    <row r="60" spans="1:6">
      <c r="A60" s="7">
        <v>43281</v>
      </c>
      <c r="B60" s="1">
        <v>0.33333333333333331</v>
      </c>
      <c r="C60">
        <v>8159.1</v>
      </c>
      <c r="D60">
        <v>7.2</v>
      </c>
      <c r="E60" s="3">
        <f t="shared" si="3"/>
        <v>0.1094878948205176</v>
      </c>
      <c r="F60" s="12">
        <f t="shared" si="0"/>
        <v>737.66776527169282</v>
      </c>
    </row>
    <row r="61" spans="1:6">
      <c r="A61" s="7">
        <v>43291</v>
      </c>
      <c r="B61" s="1">
        <v>0.33333333333333331</v>
      </c>
      <c r="C61">
        <v>8259.1</v>
      </c>
      <c r="D61">
        <v>7.8</v>
      </c>
      <c r="E61" s="3">
        <f t="shared" si="3"/>
        <v>0.10293858009159761</v>
      </c>
      <c r="F61" s="12">
        <f t="shared" si="0"/>
        <v>736.99973516934301</v>
      </c>
    </row>
    <row r="62" spans="1:6">
      <c r="A62" s="7">
        <v>43301</v>
      </c>
      <c r="B62" s="1">
        <v>0.33333333333333331</v>
      </c>
      <c r="C62">
        <v>8290.2999999999993</v>
      </c>
      <c r="D62">
        <v>7.7</v>
      </c>
      <c r="E62" s="3">
        <f t="shared" si="3"/>
        <v>0.10061696105503795</v>
      </c>
      <c r="F62" s="12">
        <f t="shared" si="0"/>
        <v>736.76293002761383</v>
      </c>
    </row>
    <row r="63" spans="1:6">
      <c r="A63" s="7">
        <v>43311</v>
      </c>
      <c r="B63" s="1">
        <v>0.33333333333333331</v>
      </c>
      <c r="C63">
        <v>8290.4</v>
      </c>
      <c r="D63">
        <v>7.6</v>
      </c>
      <c r="E63" s="3">
        <f t="shared" si="3"/>
        <v>0.10051290015948651</v>
      </c>
      <c r="F63" s="12">
        <f t="shared" si="0"/>
        <v>736.75231581626758</v>
      </c>
    </row>
    <row r="64" spans="1:6">
      <c r="A64" s="7">
        <v>43322</v>
      </c>
      <c r="B64" s="1">
        <v>0.33333333333333331</v>
      </c>
      <c r="C64">
        <v>8253.9</v>
      </c>
      <c r="D64">
        <v>8.5</v>
      </c>
      <c r="E64" s="3">
        <f t="shared" si="3"/>
        <v>0.10398788271884318</v>
      </c>
      <c r="F64" s="12">
        <f t="shared" si="0"/>
        <v>737.10676403732202</v>
      </c>
    </row>
    <row r="65" spans="1:6">
      <c r="A65" s="7">
        <v>43332</v>
      </c>
      <c r="B65" s="1">
        <v>0.33333333333333331</v>
      </c>
      <c r="C65">
        <v>8286.1</v>
      </c>
      <c r="D65">
        <v>7.8</v>
      </c>
      <c r="E65" s="3">
        <f t="shared" ref="E65:E66" si="4">($B$2*C65^2+$B$3*C65+$B$4)-$B$5*D65-$E$7</f>
        <v>0.10101336473811516</v>
      </c>
      <c r="F65" s="12">
        <f t="shared" ref="F65:F66" si="5">$D$1+102*E65</f>
        <v>736.80336320328774</v>
      </c>
    </row>
    <row r="66" spans="1:6">
      <c r="A66" s="7">
        <v>43342</v>
      </c>
      <c r="B66" s="1">
        <v>0.33333333333333331</v>
      </c>
      <c r="C66">
        <v>8157.3</v>
      </c>
      <c r="D66">
        <v>8</v>
      </c>
      <c r="E66" s="3">
        <f t="shared" si="4"/>
        <v>0.11039170258754261</v>
      </c>
      <c r="F66" s="12">
        <f t="shared" si="5"/>
        <v>737.75995366392931</v>
      </c>
    </row>
    <row r="67" spans="1:6">
      <c r="A67" s="7">
        <v>43353</v>
      </c>
      <c r="B67" s="1">
        <v>0.33333333333333331</v>
      </c>
      <c r="C67">
        <v>8087.2</v>
      </c>
      <c r="D67">
        <v>8.6999999999999993</v>
      </c>
      <c r="E67" s="3">
        <f t="shared" ref="E67:E70" si="6">($B$2*C67^2+$B$3*C67+$B$4)-$B$5*D67-$E$7</f>
        <v>0.11606942818638435</v>
      </c>
      <c r="F67" s="12">
        <f t="shared" ref="F67:F70" si="7">$D$1+102*E67</f>
        <v>738.33908167501124</v>
      </c>
    </row>
    <row r="68" spans="1:6">
      <c r="A68" s="7">
        <v>43363</v>
      </c>
      <c r="B68" s="1">
        <v>0.33333333333333331</v>
      </c>
      <c r="C68">
        <v>8240.1</v>
      </c>
      <c r="D68">
        <v>8.1999999999999993</v>
      </c>
      <c r="E68" s="3">
        <f t="shared" si="6"/>
        <v>0.1046811160864263</v>
      </c>
      <c r="F68" s="12">
        <f t="shared" si="7"/>
        <v>737.17747384081554</v>
      </c>
    </row>
    <row r="69" spans="1:6">
      <c r="A69" s="7">
        <v>43373</v>
      </c>
      <c r="B69" s="1">
        <v>0.33333333333333331</v>
      </c>
      <c r="C69">
        <v>8257.6</v>
      </c>
      <c r="D69">
        <v>8</v>
      </c>
      <c r="E69" s="3">
        <f t="shared" si="6"/>
        <v>0.10323939928589287</v>
      </c>
      <c r="F69" s="12">
        <f t="shared" si="7"/>
        <v>737.03041872716108</v>
      </c>
    </row>
    <row r="70" spans="1:6">
      <c r="A70" s="7">
        <v>43383</v>
      </c>
      <c r="B70" s="1">
        <v>0.33333333333333331</v>
      </c>
      <c r="C70">
        <v>8260.4</v>
      </c>
      <c r="D70">
        <v>8</v>
      </c>
      <c r="E70" s="3">
        <f t="shared" si="6"/>
        <v>0.1030397444982305</v>
      </c>
      <c r="F70" s="12">
        <f t="shared" si="7"/>
        <v>737.01005393881951</v>
      </c>
    </row>
    <row r="71" spans="1:6">
      <c r="A71" s="7">
        <v>43393</v>
      </c>
      <c r="B71" s="1">
        <v>0.33333333333333331</v>
      </c>
      <c r="C71">
        <v>8263.7000000000007</v>
      </c>
      <c r="D71">
        <v>7.9</v>
      </c>
      <c r="E71" s="3">
        <f t="shared" ref="E71:E82" si="8">($B$2*C71^2+$B$3*C71+$B$4)-$B$5*D71-$E$7</f>
        <v>0.1027075072166163</v>
      </c>
      <c r="F71" s="12">
        <f t="shared" ref="F71:F82" si="9">$D$1+102*E71</f>
        <v>736.97616573609491</v>
      </c>
    </row>
    <row r="72" spans="1:6">
      <c r="A72" s="32">
        <v>43605</v>
      </c>
      <c r="B72" s="1">
        <v>0.33333333333333331</v>
      </c>
      <c r="C72">
        <v>8267.9</v>
      </c>
      <c r="D72">
        <v>7.5</v>
      </c>
      <c r="E72" s="3">
        <f t="shared" si="8"/>
        <v>0.10202030475393198</v>
      </c>
      <c r="F72" s="12">
        <f t="shared" si="9"/>
        <v>736.9060710849011</v>
      </c>
    </row>
    <row r="73" spans="1:6">
      <c r="A73" s="32">
        <v>43615</v>
      </c>
      <c r="B73" s="1">
        <v>0.33333333333333331</v>
      </c>
      <c r="C73">
        <v>8269.6</v>
      </c>
      <c r="D73">
        <v>7.6</v>
      </c>
      <c r="E73" s="3">
        <f t="shared" si="8"/>
        <v>0.10199601760537454</v>
      </c>
      <c r="F73" s="12">
        <f t="shared" si="9"/>
        <v>736.90359379574818</v>
      </c>
    </row>
    <row r="74" spans="1:6">
      <c r="A74" s="32">
        <v>43626</v>
      </c>
      <c r="B74" s="1">
        <v>0.33333333333333331</v>
      </c>
      <c r="C74">
        <v>8272.2999999999993</v>
      </c>
      <c r="D74">
        <v>7.8</v>
      </c>
      <c r="E74" s="3">
        <f t="shared" si="8"/>
        <v>0.10199735693951882</v>
      </c>
      <c r="F74" s="12">
        <f t="shared" si="9"/>
        <v>736.90373040783095</v>
      </c>
    </row>
    <row r="75" spans="1:6">
      <c r="A75" s="32">
        <v>43636</v>
      </c>
      <c r="B75" s="1">
        <v>0.33333333333333331</v>
      </c>
      <c r="C75">
        <v>8273.4</v>
      </c>
      <c r="D75">
        <v>8</v>
      </c>
      <c r="E75" s="3">
        <f t="shared" si="8"/>
        <v>0.10211278346033414</v>
      </c>
      <c r="F75" s="12">
        <f t="shared" si="9"/>
        <v>736.91550391295414</v>
      </c>
    </row>
    <row r="76" spans="1:6">
      <c r="A76" s="7">
        <v>43646</v>
      </c>
      <c r="B76" s="1">
        <v>0.33333333333333331</v>
      </c>
      <c r="C76">
        <v>8265.2000000000007</v>
      </c>
      <c r="D76">
        <v>7.9</v>
      </c>
      <c r="E76" s="3">
        <f t="shared" si="8"/>
        <v>0.10260054990114113</v>
      </c>
      <c r="F76" s="12">
        <f t="shared" si="9"/>
        <v>736.96525608991635</v>
      </c>
    </row>
    <row r="77" spans="1:6">
      <c r="A77" s="7">
        <v>43656</v>
      </c>
      <c r="B77" s="1">
        <v>0.33333333333333331</v>
      </c>
      <c r="C77">
        <v>8253.6</v>
      </c>
      <c r="D77">
        <v>7.9</v>
      </c>
      <c r="E77" s="3">
        <f t="shared" si="8"/>
        <v>0.10342769082008169</v>
      </c>
      <c r="F77" s="12">
        <f t="shared" si="9"/>
        <v>737.04962446364834</v>
      </c>
    </row>
    <row r="78" spans="1:6">
      <c r="A78" s="7">
        <v>43666</v>
      </c>
      <c r="B78" s="1">
        <v>0.33333333333333331</v>
      </c>
      <c r="C78">
        <v>8260.7000000000007</v>
      </c>
      <c r="D78">
        <v>7.6</v>
      </c>
      <c r="E78" s="3">
        <f t="shared" si="8"/>
        <v>0.10263063054833539</v>
      </c>
      <c r="F78" s="12">
        <f t="shared" si="9"/>
        <v>736.9683243159302</v>
      </c>
    </row>
    <row r="79" spans="1:6">
      <c r="A79" s="7">
        <v>43676</v>
      </c>
      <c r="B79" s="1">
        <v>0.33333333333333331</v>
      </c>
      <c r="C79">
        <v>8240.2999999999993</v>
      </c>
      <c r="D79">
        <v>7.4</v>
      </c>
      <c r="E79" s="3">
        <f t="shared" si="8"/>
        <v>0.10389140995121798</v>
      </c>
      <c r="F79" s="12">
        <f t="shared" si="9"/>
        <v>737.09692381502418</v>
      </c>
    </row>
    <row r="80" spans="1:6">
      <c r="A80" s="7">
        <v>43687</v>
      </c>
      <c r="B80" s="1">
        <v>0.33333333333333331</v>
      </c>
      <c r="C80">
        <v>8230.7999999999993</v>
      </c>
      <c r="D80">
        <v>7.9</v>
      </c>
      <c r="E80" s="3">
        <f t="shared" si="8"/>
        <v>0.10505347965087569</v>
      </c>
      <c r="F80" s="12">
        <f t="shared" si="9"/>
        <v>737.21545492438929</v>
      </c>
    </row>
    <row r="81" spans="1:6">
      <c r="A81" s="7">
        <v>43697</v>
      </c>
      <c r="B81" s="1">
        <v>0.33333333333333331</v>
      </c>
      <c r="C81">
        <v>8210.7000000000007</v>
      </c>
      <c r="D81">
        <v>8</v>
      </c>
      <c r="E81" s="3">
        <f t="shared" si="8"/>
        <v>0.10658370344275536</v>
      </c>
      <c r="F81" s="12">
        <f t="shared" si="9"/>
        <v>737.3715377511611</v>
      </c>
    </row>
    <row r="82" spans="1:6">
      <c r="A82" s="7">
        <v>43707</v>
      </c>
      <c r="B82" s="1">
        <v>0.33333333333333331</v>
      </c>
      <c r="C82">
        <v>8125.5</v>
      </c>
      <c r="D82">
        <v>7.7</v>
      </c>
      <c r="E82" s="3">
        <f t="shared" si="8"/>
        <v>0.11236869617251702</v>
      </c>
      <c r="F82" s="12">
        <f t="shared" si="9"/>
        <v>737.96160700959672</v>
      </c>
    </row>
  </sheetData>
  <phoneticPr fontId="4" type="noConversion"/>
  <pageMargins left="0.69930555555555596" right="0.69930555555555596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6"/>
  <sheetViews>
    <sheetView topLeftCell="A40" workbookViewId="0">
      <selection activeCell="A52" sqref="A52:B54"/>
    </sheetView>
  </sheetViews>
  <sheetFormatPr defaultColWidth="9" defaultRowHeight="13.5"/>
  <cols>
    <col min="1" max="1" width="10.75" customWidth="1"/>
    <col min="2" max="2" width="13.125" style="17" customWidth="1"/>
    <col min="5" max="5" width="10.875" customWidth="1"/>
    <col min="8" max="8" width="9.5" customWidth="1"/>
  </cols>
  <sheetData>
    <row r="1" spans="1:8">
      <c r="A1" t="s">
        <v>0</v>
      </c>
      <c r="B1" s="18">
        <v>50378</v>
      </c>
      <c r="C1" t="s">
        <v>1</v>
      </c>
      <c r="D1" s="11">
        <v>744.5</v>
      </c>
    </row>
    <row r="2" spans="1:8">
      <c r="A2" t="s">
        <v>2</v>
      </c>
      <c r="B2" s="24">
        <v>8.5909600000000003E-10</v>
      </c>
    </row>
    <row r="3" spans="1:8">
      <c r="A3" t="s">
        <v>3</v>
      </c>
      <c r="B3" s="18">
        <v>-8.8697999999999997E-5</v>
      </c>
    </row>
    <row r="4" spans="1:8">
      <c r="A4" t="s">
        <v>4</v>
      </c>
      <c r="B4" s="18">
        <v>0.71288739999999995</v>
      </c>
    </row>
    <row r="5" spans="1:8">
      <c r="A5" t="s">
        <v>5</v>
      </c>
      <c r="B5" s="18">
        <v>-9.3269499999999999E-4</v>
      </c>
    </row>
    <row r="6" spans="1:8">
      <c r="A6" t="s">
        <v>6</v>
      </c>
      <c r="B6" s="17" t="s">
        <v>7</v>
      </c>
      <c r="C6" t="s">
        <v>8</v>
      </c>
      <c r="D6" t="s">
        <v>9</v>
      </c>
      <c r="E6" t="s">
        <v>10</v>
      </c>
      <c r="F6" t="s">
        <v>11</v>
      </c>
      <c r="G6" t="s">
        <v>12</v>
      </c>
    </row>
    <row r="7" spans="1:8">
      <c r="A7" s="6">
        <v>42640</v>
      </c>
      <c r="B7" s="9">
        <v>0.64583333333333337</v>
      </c>
      <c r="C7" s="2">
        <v>8658</v>
      </c>
      <c r="D7" s="2">
        <v>15.1</v>
      </c>
      <c r="E7" s="3">
        <f>($B$2*C7^2+$B$3*C7+$B$4)-$B$5*D7</f>
        <v>2.3422474828543961E-2</v>
      </c>
      <c r="G7" t="s">
        <v>13</v>
      </c>
    </row>
    <row r="8" spans="1:8">
      <c r="A8" s="6">
        <v>42640</v>
      </c>
      <c r="B8" s="9">
        <v>0.72222222222222221</v>
      </c>
      <c r="C8" s="2">
        <v>8576.1</v>
      </c>
      <c r="D8" s="2">
        <v>9.1</v>
      </c>
      <c r="E8" s="3">
        <f t="shared" ref="E8:E27" si="0">($B$2*C8^2+$B$3*C8+$B$4)-$B$5*D8-$E$7</f>
        <v>4.5560557200220383E-4</v>
      </c>
      <c r="F8" s="4">
        <f>$D$1+102*E8</f>
        <v>744.54647176834419</v>
      </c>
      <c r="G8" s="5" t="s">
        <v>14</v>
      </c>
      <c r="H8" s="23"/>
    </row>
    <row r="9" spans="1:8">
      <c r="A9" s="6">
        <v>42641</v>
      </c>
      <c r="B9" s="9">
        <v>0.33333333333333331</v>
      </c>
      <c r="C9" s="2">
        <v>8597.6</v>
      </c>
      <c r="D9" s="2">
        <v>16.8</v>
      </c>
      <c r="E9" s="3">
        <f t="shared" si="0"/>
        <v>6.047557996968999E-3</v>
      </c>
      <c r="F9" s="4">
        <f t="shared" ref="F9:F38" si="1">$D$1+102*E9</f>
        <v>745.11685091569086</v>
      </c>
      <c r="H9" s="23"/>
    </row>
    <row r="10" spans="1:8">
      <c r="A10" s="6">
        <v>42642</v>
      </c>
      <c r="B10" s="9">
        <v>0.33333333333333331</v>
      </c>
      <c r="C10" s="2">
        <v>8652.2999999999993</v>
      </c>
      <c r="D10" s="2">
        <v>17.399999999999999</v>
      </c>
      <c r="E10" s="3">
        <f t="shared" si="0"/>
        <v>2.5660112059139838E-3</v>
      </c>
      <c r="F10" s="4">
        <f t="shared" si="1"/>
        <v>744.7617331430032</v>
      </c>
      <c r="H10" s="23"/>
    </row>
    <row r="11" spans="1:8">
      <c r="A11" s="6">
        <v>42643</v>
      </c>
      <c r="B11" s="9">
        <v>0.33333333333333331</v>
      </c>
      <c r="C11" s="2">
        <v>8699</v>
      </c>
      <c r="D11" s="2">
        <v>18.3</v>
      </c>
      <c r="E11" s="3">
        <f t="shared" si="0"/>
        <v>-4.0629499847948114E-5</v>
      </c>
      <c r="F11" s="4">
        <f t="shared" si="1"/>
        <v>744.49585579101552</v>
      </c>
      <c r="H11" s="23"/>
    </row>
    <row r="12" spans="1:8">
      <c r="A12" s="6">
        <v>42884</v>
      </c>
      <c r="B12" s="9">
        <v>0.33333333333333331</v>
      </c>
      <c r="C12" s="2">
        <v>8617.4</v>
      </c>
      <c r="D12" s="2">
        <v>10.199999999999999</v>
      </c>
      <c r="E12" s="3">
        <f t="shared" si="0"/>
        <v>-1.5716205177590745E-3</v>
      </c>
      <c r="F12" s="4">
        <f t="shared" si="1"/>
        <v>744.33969470718853</v>
      </c>
      <c r="H12" s="23"/>
    </row>
    <row r="13" spans="1:8">
      <c r="A13" s="6">
        <v>42885</v>
      </c>
      <c r="B13" s="9">
        <v>0.33333333333333331</v>
      </c>
      <c r="C13" s="2">
        <v>8615.4</v>
      </c>
      <c r="D13" s="2">
        <v>10.199999999999999</v>
      </c>
      <c r="E13" s="3">
        <f t="shared" si="0"/>
        <v>-1.4238337768565298E-3</v>
      </c>
      <c r="F13" s="4">
        <f t="shared" si="1"/>
        <v>744.35476895476063</v>
      </c>
      <c r="H13" s="23"/>
    </row>
    <row r="14" spans="1:8">
      <c r="A14" s="6">
        <v>42896</v>
      </c>
      <c r="B14" s="9">
        <v>0.33333333333333331</v>
      </c>
      <c r="C14" s="2">
        <v>8603.2999999999993</v>
      </c>
      <c r="D14" s="2">
        <v>10.1</v>
      </c>
      <c r="E14" s="3">
        <f t="shared" si="0"/>
        <v>-6.2284692402850284E-4</v>
      </c>
      <c r="F14" s="4">
        <f t="shared" si="1"/>
        <v>744.43646961374907</v>
      </c>
      <c r="H14" s="23"/>
    </row>
    <row r="15" spans="1:8">
      <c r="A15" s="6">
        <v>42906</v>
      </c>
      <c r="B15" s="9">
        <v>0.33333333333333331</v>
      </c>
      <c r="C15" s="2">
        <v>8603.9</v>
      </c>
      <c r="D15" s="2">
        <v>10.199999999999999</v>
      </c>
      <c r="E15" s="3">
        <f t="shared" si="0"/>
        <v>-5.7392664201385418E-4</v>
      </c>
      <c r="F15" s="4">
        <f t="shared" si="1"/>
        <v>744.44145948251457</v>
      </c>
      <c r="H15" s="23"/>
    </row>
    <row r="16" spans="1:8">
      <c r="A16" s="6">
        <v>42916</v>
      </c>
      <c r="B16" s="9">
        <v>0.33333333333333331</v>
      </c>
      <c r="C16" s="2">
        <v>8608.7000000000007</v>
      </c>
      <c r="D16" s="2">
        <v>10.5</v>
      </c>
      <c r="E16" s="3">
        <f t="shared" si="0"/>
        <v>-6.4888961812770152E-4</v>
      </c>
      <c r="F16" s="4">
        <f t="shared" si="1"/>
        <v>744.43381325895098</v>
      </c>
      <c r="H16" s="23"/>
    </row>
    <row r="17" spans="1:8">
      <c r="A17" s="6">
        <v>42926</v>
      </c>
      <c r="B17" s="9">
        <v>0.33333333333333331</v>
      </c>
      <c r="C17" s="2">
        <v>8631.7999999999993</v>
      </c>
      <c r="D17" s="2">
        <v>10.7</v>
      </c>
      <c r="E17" s="3">
        <f t="shared" si="0"/>
        <v>-2.1691346681448204E-3</v>
      </c>
      <c r="F17" s="4">
        <f t="shared" si="1"/>
        <v>744.27874826384925</v>
      </c>
      <c r="H17" s="23"/>
    </row>
    <row r="18" spans="1:8">
      <c r="A18" s="6">
        <v>42936</v>
      </c>
      <c r="B18" s="9">
        <v>0.33333333333333331</v>
      </c>
      <c r="C18" s="2">
        <v>8616.4</v>
      </c>
      <c r="D18" s="2">
        <v>11</v>
      </c>
      <c r="E18" s="3">
        <f t="shared" si="0"/>
        <v>-7.5157200640382088E-4</v>
      </c>
      <c r="F18" s="4">
        <f t="shared" si="1"/>
        <v>744.42333965534681</v>
      </c>
      <c r="H18" s="23"/>
    </row>
    <row r="19" spans="1:8">
      <c r="A19" s="7">
        <v>42946</v>
      </c>
      <c r="B19" s="9">
        <v>0.33333333333333331</v>
      </c>
      <c r="C19" s="2">
        <v>8621.7999999999993</v>
      </c>
      <c r="D19" s="2">
        <v>11.2</v>
      </c>
      <c r="E19" s="3">
        <f t="shared" si="0"/>
        <v>-9.6403215560087602E-4</v>
      </c>
      <c r="F19" s="4">
        <f t="shared" si="1"/>
        <v>744.40166872012867</v>
      </c>
      <c r="H19" s="23"/>
    </row>
    <row r="20" spans="1:8">
      <c r="A20" s="7">
        <v>42957</v>
      </c>
      <c r="B20" s="9">
        <v>0.33333333333333331</v>
      </c>
      <c r="C20" s="2">
        <v>8617</v>
      </c>
      <c r="D20" s="2">
        <v>11.5</v>
      </c>
      <c r="E20" s="3">
        <f t="shared" si="0"/>
        <v>-3.2956021940004285E-4</v>
      </c>
      <c r="F20" s="4">
        <f t="shared" si="1"/>
        <v>744.46638485762116</v>
      </c>
      <c r="H20" s="23"/>
    </row>
    <row r="21" spans="1:8">
      <c r="A21" s="7">
        <v>42967</v>
      </c>
      <c r="B21" s="9">
        <v>0.33333333333333331</v>
      </c>
      <c r="C21" s="2">
        <v>8612.4</v>
      </c>
      <c r="D21" s="2">
        <v>11.6</v>
      </c>
      <c r="E21" s="3">
        <f t="shared" si="0"/>
        <v>1.0363222093709087E-4</v>
      </c>
      <c r="F21" s="4">
        <f t="shared" si="1"/>
        <v>744.51057048653558</v>
      </c>
      <c r="H21" s="23"/>
    </row>
    <row r="22" spans="1:8">
      <c r="A22" s="7">
        <v>42977</v>
      </c>
      <c r="B22" s="9">
        <v>0.33333333333333331</v>
      </c>
      <c r="C22" s="2">
        <v>8618.5</v>
      </c>
      <c r="D22" s="2">
        <v>12.7</v>
      </c>
      <c r="E22" s="3">
        <f t="shared" si="0"/>
        <v>6.7883720426192146E-4</v>
      </c>
      <c r="F22" s="4">
        <f t="shared" si="1"/>
        <v>744.56924139483476</v>
      </c>
      <c r="H22" s="23"/>
    </row>
    <row r="23" spans="1:8">
      <c r="A23" s="7">
        <v>42988</v>
      </c>
      <c r="B23" s="9">
        <v>0.33333333333333331</v>
      </c>
      <c r="C23" s="2">
        <v>8615.4</v>
      </c>
      <c r="D23" s="2">
        <v>12.1</v>
      </c>
      <c r="E23" s="3">
        <f t="shared" si="0"/>
        <v>3.4828672314347192E-4</v>
      </c>
      <c r="F23" s="4">
        <f t="shared" si="1"/>
        <v>744.5355252457606</v>
      </c>
    </row>
    <row r="24" spans="1:8">
      <c r="A24" s="7">
        <v>42998</v>
      </c>
      <c r="B24" s="9">
        <v>0.33333333333333331</v>
      </c>
      <c r="C24" s="2">
        <v>8630.7000000000007</v>
      </c>
      <c r="D24" s="2">
        <v>12.3</v>
      </c>
      <c r="E24" s="3">
        <f t="shared" si="0"/>
        <v>-5.9556802731506459E-4</v>
      </c>
      <c r="F24" s="4">
        <f t="shared" si="1"/>
        <v>744.43925206121389</v>
      </c>
    </row>
    <row r="25" spans="1:8">
      <c r="A25" s="7">
        <v>43008</v>
      </c>
      <c r="B25" s="9">
        <v>0.33333333333333331</v>
      </c>
      <c r="C25" s="2">
        <v>8627.2999999999993</v>
      </c>
      <c r="D25" s="2">
        <v>12.2</v>
      </c>
      <c r="E25" s="3">
        <f t="shared" si="0"/>
        <v>-4.3767367512613509E-4</v>
      </c>
      <c r="F25" s="4">
        <f t="shared" si="1"/>
        <v>744.4553572851371</v>
      </c>
    </row>
    <row r="26" spans="1:8">
      <c r="A26" s="7">
        <v>43018</v>
      </c>
      <c r="B26" s="9">
        <v>0.33333333333333331</v>
      </c>
      <c r="C26" s="2">
        <v>8630.5</v>
      </c>
      <c r="D26" s="2">
        <v>12.6</v>
      </c>
      <c r="E26" s="3">
        <f t="shared" si="0"/>
        <v>-3.0098573289001618E-4</v>
      </c>
      <c r="F26" s="4">
        <f t="shared" si="1"/>
        <v>744.46929945524516</v>
      </c>
    </row>
    <row r="27" spans="1:8">
      <c r="A27" s="7">
        <v>43230</v>
      </c>
      <c r="B27" s="9">
        <v>0.33333333333333331</v>
      </c>
      <c r="C27" s="2">
        <v>8636</v>
      </c>
      <c r="D27" s="2">
        <v>12.1</v>
      </c>
      <c r="E27" s="3">
        <f t="shared" si="0"/>
        <v>-1.1735875369279711E-3</v>
      </c>
      <c r="F27" s="4">
        <f t="shared" si="1"/>
        <v>744.38029407123338</v>
      </c>
    </row>
    <row r="28" spans="1:8">
      <c r="A28" s="6">
        <v>43240</v>
      </c>
      <c r="B28" s="9">
        <v>0.33333333333333331</v>
      </c>
      <c r="C28" s="2">
        <v>8627.5</v>
      </c>
      <c r="D28" s="2">
        <v>11.8</v>
      </c>
      <c r="E28" s="3">
        <f>($B$2*C28^2+$B$3*C28+$B$4)-$B$5*D28-$E$7</f>
        <v>-8.2552656919400447E-4</v>
      </c>
      <c r="F28" s="4">
        <f t="shared" si="1"/>
        <v>744.41579628994225</v>
      </c>
    </row>
    <row r="29" spans="1:8">
      <c r="A29" s="7">
        <v>43250</v>
      </c>
      <c r="B29" s="9">
        <v>0.33333333333333331</v>
      </c>
      <c r="C29" s="2">
        <v>8619.7000000000007</v>
      </c>
      <c r="D29" s="2">
        <v>12</v>
      </c>
      <c r="E29" s="8">
        <f>($B$2*C29^2+$B$3*C29+$B$4)-$B$5*D29-$E$7</f>
        <v>-6.2715773337496117E-5</v>
      </c>
      <c r="F29" s="4">
        <f t="shared" si="1"/>
        <v>744.49360299111959</v>
      </c>
    </row>
    <row r="30" spans="1:8">
      <c r="A30" s="7">
        <v>43261</v>
      </c>
      <c r="B30" s="9">
        <v>0.33333333333333331</v>
      </c>
      <c r="C30" s="2">
        <v>8626.7000000000007</v>
      </c>
      <c r="D30" s="2">
        <v>11.6</v>
      </c>
      <c r="E30" s="8">
        <f>($B$2*C30^2+$B$3*C30+$B$4)-$B$5*D30-$E$7</f>
        <v>-9.5296558055660632E-4</v>
      </c>
      <c r="F30" s="4">
        <f t="shared" si="1"/>
        <v>744.40279751078322</v>
      </c>
    </row>
    <row r="31" spans="1:8">
      <c r="A31" s="7">
        <v>43271</v>
      </c>
      <c r="B31" s="9">
        <v>0.33333333333333331</v>
      </c>
      <c r="C31" s="2">
        <v>8627.7999999999993</v>
      </c>
      <c r="D31" s="2">
        <v>11.5</v>
      </c>
      <c r="E31" s="3">
        <f>($B$2*C31^2+$B$3*C31+$B$4)-$B$5*D31-$E$7</f>
        <v>-1.1274972814312827E-3</v>
      </c>
      <c r="F31" s="4">
        <f t="shared" si="1"/>
        <v>744.38499527729402</v>
      </c>
    </row>
    <row r="32" spans="1:8">
      <c r="A32" s="7">
        <v>43281</v>
      </c>
      <c r="B32" s="9">
        <v>0.33333333333333331</v>
      </c>
      <c r="C32" s="2">
        <v>8620.9</v>
      </c>
      <c r="D32" s="2">
        <v>11.2</v>
      </c>
      <c r="E32" s="3">
        <f>($B$2*C32^2+$B$3*C32+$B$4)-$B$5*D32-$E$7</f>
        <v>-8.9753577674018398E-4</v>
      </c>
      <c r="F32" s="4">
        <f t="shared" si="1"/>
        <v>744.40845135077245</v>
      </c>
    </row>
    <row r="33" spans="1:6">
      <c r="A33" s="7">
        <v>43291</v>
      </c>
      <c r="B33" s="9">
        <v>0.33333333333333331</v>
      </c>
      <c r="C33" s="2">
        <v>8622.5</v>
      </c>
      <c r="D33" s="2">
        <v>11.7</v>
      </c>
      <c r="E33" s="3">
        <f t="shared" ref="E33:E38" si="2">($B$2*C33^2+$B$3*C33+$B$4)-$B$5*D33-$E$7</f>
        <v>-5.4940309919407002E-4</v>
      </c>
      <c r="F33" s="4">
        <f t="shared" si="1"/>
        <v>744.44396088388226</v>
      </c>
    </row>
    <row r="34" spans="1:6">
      <c r="A34" s="7">
        <v>43301</v>
      </c>
      <c r="B34" s="9">
        <v>0.33333333333333331</v>
      </c>
      <c r="C34" s="2">
        <v>8610.9</v>
      </c>
      <c r="D34" s="2">
        <v>10.9</v>
      </c>
      <c r="E34" s="3">
        <f t="shared" si="2"/>
        <v>-4.3840198126818275E-4</v>
      </c>
      <c r="F34" s="4">
        <f t="shared" si="1"/>
        <v>744.45528299791067</v>
      </c>
    </row>
    <row r="35" spans="1:6">
      <c r="A35" s="7">
        <v>43311</v>
      </c>
      <c r="B35" s="9">
        <v>0.33333333333333331</v>
      </c>
      <c r="C35" s="2">
        <v>8608</v>
      </c>
      <c r="D35" s="2">
        <v>10.8</v>
      </c>
      <c r="E35" s="3">
        <f t="shared" si="2"/>
        <v>-3.1734607679998611E-4</v>
      </c>
      <c r="F35" s="4">
        <f t="shared" si="1"/>
        <v>744.46763070016641</v>
      </c>
    </row>
    <row r="36" spans="1:6">
      <c r="A36" s="7">
        <v>43322</v>
      </c>
      <c r="B36" s="9">
        <v>0.33333333333333331</v>
      </c>
      <c r="C36" s="2">
        <v>8603.1</v>
      </c>
      <c r="D36" s="2">
        <v>10.5</v>
      </c>
      <c r="E36" s="3">
        <f t="shared" si="2"/>
        <v>-2.3498571391145084E-4</v>
      </c>
      <c r="F36" s="4">
        <f t="shared" si="1"/>
        <v>744.47603145718108</v>
      </c>
    </row>
    <row r="37" spans="1:6">
      <c r="A37" s="7">
        <v>43332</v>
      </c>
      <c r="B37" s="9">
        <v>0.33333333333333331</v>
      </c>
      <c r="C37" s="2">
        <v>8610.7999999999993</v>
      </c>
      <c r="D37" s="2">
        <v>10.6</v>
      </c>
      <c r="E37" s="3">
        <f t="shared" si="2"/>
        <v>-7.1082019062650853E-4</v>
      </c>
      <c r="F37" s="4">
        <f t="shared" si="1"/>
        <v>744.4274963405561</v>
      </c>
    </row>
    <row r="38" spans="1:6">
      <c r="A38" s="7">
        <v>43342</v>
      </c>
      <c r="B38" s="9">
        <v>0.33333333333333331</v>
      </c>
      <c r="C38" s="2">
        <v>8610.7000000000007</v>
      </c>
      <c r="D38" s="2">
        <v>10.4</v>
      </c>
      <c r="E38" s="3">
        <f t="shared" si="2"/>
        <v>-8.8996888280291203E-4</v>
      </c>
      <c r="F38" s="4">
        <f t="shared" si="1"/>
        <v>744.40922317395405</v>
      </c>
    </row>
    <row r="39" spans="1:6">
      <c r="A39" s="7">
        <v>43353</v>
      </c>
      <c r="B39" s="9">
        <v>0.33333333333333331</v>
      </c>
      <c r="C39" s="2">
        <v>8610.7999999999993</v>
      </c>
      <c r="D39" s="2">
        <v>10.199999999999999</v>
      </c>
      <c r="E39" s="3">
        <f t="shared" ref="E39:E54" si="3">($B$2*C39^2+$B$3*C39+$B$4)-$B$5*D39-$E$7</f>
        <v>-1.0838981906265074E-3</v>
      </c>
      <c r="F39" s="4">
        <f t="shared" ref="F39:F54" si="4">$D$1+102*E39</f>
        <v>744.38944238455611</v>
      </c>
    </row>
    <row r="40" spans="1:6">
      <c r="A40" s="7">
        <v>43363</v>
      </c>
      <c r="B40" s="9">
        <v>0.33333333333333331</v>
      </c>
      <c r="C40" s="2">
        <v>8593.2000000000007</v>
      </c>
      <c r="D40" s="2">
        <v>10.199999999999999</v>
      </c>
      <c r="E40" s="3">
        <f t="shared" si="3"/>
        <v>2.1706058789492527E-4</v>
      </c>
      <c r="F40" s="4">
        <f t="shared" si="4"/>
        <v>744.52214017996528</v>
      </c>
    </row>
    <row r="41" spans="1:6">
      <c r="A41" s="7">
        <v>43373</v>
      </c>
      <c r="B41" s="9">
        <v>0.33333333333333331</v>
      </c>
      <c r="C41" s="2">
        <v>8610.7000000000007</v>
      </c>
      <c r="D41" s="2">
        <v>10.199999999999999</v>
      </c>
      <c r="E41" s="3">
        <f t="shared" si="3"/>
        <v>-1.0765078828029115E-3</v>
      </c>
      <c r="F41" s="4">
        <f t="shared" si="4"/>
        <v>744.3901961959541</v>
      </c>
    </row>
    <row r="42" spans="1:6">
      <c r="A42" s="7">
        <v>43383</v>
      </c>
      <c r="B42" s="9">
        <v>0.33333333333333331</v>
      </c>
      <c r="C42" s="2">
        <v>8612.2999999999993</v>
      </c>
      <c r="D42" s="2">
        <v>10.1</v>
      </c>
      <c r="E42" s="3">
        <f t="shared" si="3"/>
        <v>-1.2880202461500734E-3</v>
      </c>
      <c r="F42" s="4">
        <f t="shared" si="4"/>
        <v>744.36862193489264</v>
      </c>
    </row>
    <row r="43" spans="1:6">
      <c r="A43" s="7">
        <v>43393</v>
      </c>
      <c r="B43" s="9">
        <v>0.33333333333333331</v>
      </c>
      <c r="C43" s="2">
        <v>8612.4</v>
      </c>
      <c r="D43" s="2">
        <v>9.8000000000000007</v>
      </c>
      <c r="E43" s="3">
        <f t="shared" si="3"/>
        <v>-1.5752187790629077E-3</v>
      </c>
      <c r="F43" s="4">
        <f t="shared" si="4"/>
        <v>744.33932768453553</v>
      </c>
    </row>
    <row r="44" spans="1:6">
      <c r="A44" s="7">
        <v>43605</v>
      </c>
      <c r="B44" s="1">
        <v>0.33333333333333331</v>
      </c>
      <c r="C44" s="2">
        <v>8611.5</v>
      </c>
      <c r="D44" s="2">
        <v>10</v>
      </c>
      <c r="E44" s="3">
        <f t="shared" si="3"/>
        <v>-1.3221688642979582E-3</v>
      </c>
      <c r="F44" s="4">
        <f t="shared" si="4"/>
        <v>744.36513877584161</v>
      </c>
    </row>
    <row r="45" spans="1:6">
      <c r="A45" s="7">
        <v>43615</v>
      </c>
      <c r="B45" s="1">
        <v>0.33333333333333331</v>
      </c>
      <c r="C45" s="2">
        <v>8612.7000000000007</v>
      </c>
      <c r="D45" s="2">
        <v>10</v>
      </c>
      <c r="E45" s="3">
        <f t="shared" si="3"/>
        <v>-1.4108497747102114E-3</v>
      </c>
      <c r="F45" s="4">
        <f t="shared" si="4"/>
        <v>744.35609332297952</v>
      </c>
    </row>
    <row r="46" spans="1:6">
      <c r="A46" s="7">
        <v>43626</v>
      </c>
      <c r="B46" s="1">
        <v>0.33333333333333331</v>
      </c>
      <c r="C46" s="2">
        <v>8613.4</v>
      </c>
      <c r="D46" s="2">
        <v>10.199999999999999</v>
      </c>
      <c r="E46" s="3">
        <f t="shared" si="3"/>
        <v>-1.2760401631861859E-3</v>
      </c>
      <c r="F46" s="4">
        <f t="shared" si="4"/>
        <v>744.36984390335499</v>
      </c>
    </row>
    <row r="47" spans="1:6">
      <c r="A47" s="7">
        <v>43636</v>
      </c>
      <c r="B47" s="1">
        <v>0.33333333333333331</v>
      </c>
      <c r="C47" s="2">
        <v>8615.2000000000007</v>
      </c>
      <c r="D47" s="2">
        <v>10.4</v>
      </c>
      <c r="E47" s="3">
        <f t="shared" si="3"/>
        <v>-1.2225157247641796E-3</v>
      </c>
      <c r="F47" s="4">
        <f t="shared" si="4"/>
        <v>744.37530339607406</v>
      </c>
    </row>
    <row r="48" spans="1:6">
      <c r="A48" s="7">
        <v>43646</v>
      </c>
      <c r="B48" s="1">
        <v>0.33333333333333331</v>
      </c>
      <c r="C48" s="2">
        <v>8609.4</v>
      </c>
      <c r="D48" s="2">
        <v>9.5</v>
      </c>
      <c r="E48" s="3">
        <f t="shared" si="3"/>
        <v>-1.633318817541321E-3</v>
      </c>
      <c r="F48" s="4">
        <f t="shared" si="4"/>
        <v>744.33340148061075</v>
      </c>
    </row>
    <row r="49" spans="1:6">
      <c r="A49" s="7">
        <v>43656</v>
      </c>
      <c r="B49" s="1">
        <v>0.33333333333333331</v>
      </c>
      <c r="C49" s="2">
        <v>8604.2000000000007</v>
      </c>
      <c r="D49" s="2">
        <v>9.1999999999999993</v>
      </c>
      <c r="E49" s="3">
        <f t="shared" si="3"/>
        <v>-1.5287960190506315E-3</v>
      </c>
      <c r="F49" s="4">
        <f t="shared" si="4"/>
        <v>744.34406280605685</v>
      </c>
    </row>
    <row r="50" spans="1:6">
      <c r="A50" s="7">
        <v>43666</v>
      </c>
      <c r="B50" s="1">
        <v>0.33333333333333331</v>
      </c>
      <c r="C50" s="2">
        <v>8601.7000000000007</v>
      </c>
      <c r="D50" s="2">
        <v>9</v>
      </c>
      <c r="E50" s="3">
        <f t="shared" si="3"/>
        <v>-1.5305438187165309E-3</v>
      </c>
      <c r="F50" s="4">
        <f t="shared" si="4"/>
        <v>744.34388453049087</v>
      </c>
    </row>
    <row r="51" spans="1:6">
      <c r="A51" s="7">
        <v>43676</v>
      </c>
      <c r="B51" s="1">
        <v>0.33333333333333331</v>
      </c>
      <c r="C51" s="2">
        <v>8599.1</v>
      </c>
      <c r="D51" s="2">
        <v>8.9</v>
      </c>
      <c r="E51" s="3">
        <f t="shared" si="3"/>
        <v>-1.4316190787563333E-3</v>
      </c>
      <c r="F51" s="4">
        <f t="shared" si="4"/>
        <v>744.35397485396686</v>
      </c>
    </row>
    <row r="52" spans="1:6">
      <c r="A52" s="7">
        <v>43687</v>
      </c>
      <c r="B52" s="9">
        <v>0.33333333333333331</v>
      </c>
      <c r="C52" s="2">
        <v>8592.2999999999993</v>
      </c>
      <c r="D52" s="2">
        <v>8.6999999999999993</v>
      </c>
      <c r="E52" s="3">
        <f t="shared" si="3"/>
        <v>-1.1154413069820665E-3</v>
      </c>
      <c r="F52" s="4">
        <f t="shared" si="4"/>
        <v>744.38622498668781</v>
      </c>
    </row>
    <row r="53" spans="1:6">
      <c r="A53" s="7">
        <v>43697</v>
      </c>
      <c r="B53" s="1">
        <v>0.33333333333333331</v>
      </c>
      <c r="C53" s="2">
        <v>8586.1</v>
      </c>
      <c r="D53" s="2">
        <v>8.5</v>
      </c>
      <c r="E53" s="3">
        <f t="shared" si="3"/>
        <v>-8.4355165428576934E-4</v>
      </c>
      <c r="F53" s="4">
        <f t="shared" si="4"/>
        <v>744.41395773126283</v>
      </c>
    </row>
    <row r="54" spans="1:6">
      <c r="A54" s="7">
        <v>43707</v>
      </c>
      <c r="B54" s="9">
        <v>0.33333333333333331</v>
      </c>
      <c r="C54" s="2">
        <v>8580.2999999999993</v>
      </c>
      <c r="D54" s="2">
        <v>8.5</v>
      </c>
      <c r="E54" s="3">
        <f t="shared" si="3"/>
        <v>-4.146392506172783E-4</v>
      </c>
      <c r="F54" s="4">
        <f t="shared" si="4"/>
        <v>744.45770679643704</v>
      </c>
    </row>
    <row r="55" spans="1:6">
      <c r="B55" s="9"/>
    </row>
    <row r="56" spans="1:6">
      <c r="B56" s="9"/>
    </row>
    <row r="57" spans="1:6">
      <c r="B57" s="9"/>
    </row>
    <row r="58" spans="1:6">
      <c r="B58" s="9"/>
    </row>
    <row r="59" spans="1:6">
      <c r="B59" s="9"/>
    </row>
    <row r="60" spans="1:6">
      <c r="B60" s="9"/>
    </row>
    <row r="61" spans="1:6">
      <c r="B61" s="9"/>
    </row>
    <row r="62" spans="1:6">
      <c r="B62" s="9"/>
    </row>
    <row r="63" spans="1:6">
      <c r="B63" s="9"/>
    </row>
    <row r="64" spans="1:6">
      <c r="B64" s="9"/>
    </row>
    <row r="65" spans="2:2">
      <c r="B65" s="9"/>
    </row>
    <row r="66" spans="2:2">
      <c r="B66" s="9"/>
    </row>
    <row r="67" spans="2:2">
      <c r="B67" s="9"/>
    </row>
    <row r="68" spans="2:2">
      <c r="B68" s="9"/>
    </row>
    <row r="69" spans="2:2">
      <c r="B69" s="9"/>
    </row>
    <row r="70" spans="2:2">
      <c r="B70" s="9"/>
    </row>
    <row r="71" spans="2:2">
      <c r="B71" s="9"/>
    </row>
    <row r="72" spans="2:2">
      <c r="B72" s="9"/>
    </row>
    <row r="73" spans="2:2">
      <c r="B73" s="9"/>
    </row>
    <row r="74" spans="2:2">
      <c r="B74" s="9"/>
    </row>
    <row r="75" spans="2:2">
      <c r="B75" s="9"/>
    </row>
    <row r="76" spans="2:2">
      <c r="B76" s="9"/>
    </row>
    <row r="77" spans="2:2">
      <c r="B77" s="9"/>
    </row>
    <row r="78" spans="2:2">
      <c r="B78" s="9"/>
    </row>
    <row r="79" spans="2:2">
      <c r="B79" s="9"/>
    </row>
    <row r="80" spans="2:2">
      <c r="B80" s="9"/>
    </row>
    <row r="81" spans="2:2">
      <c r="B81" s="9"/>
    </row>
    <row r="82" spans="2:2">
      <c r="B82" s="9"/>
    </row>
    <row r="83" spans="2:2">
      <c r="B83" s="9"/>
    </row>
    <row r="84" spans="2:2">
      <c r="B84" s="9"/>
    </row>
    <row r="85" spans="2:2">
      <c r="B85" s="9"/>
    </row>
    <row r="86" spans="2:2">
      <c r="B86" s="9"/>
    </row>
    <row r="87" spans="2:2">
      <c r="B87" s="9"/>
    </row>
    <row r="88" spans="2:2">
      <c r="B88" s="9"/>
    </row>
    <row r="89" spans="2:2">
      <c r="B89" s="9"/>
    </row>
    <row r="90" spans="2:2">
      <c r="B90" s="9"/>
    </row>
    <row r="91" spans="2:2">
      <c r="B91" s="9"/>
    </row>
    <row r="92" spans="2:2">
      <c r="B92" s="9"/>
    </row>
    <row r="93" spans="2:2">
      <c r="B93" s="9"/>
    </row>
    <row r="94" spans="2:2">
      <c r="B94" s="9"/>
    </row>
    <row r="95" spans="2:2">
      <c r="B95" s="9"/>
    </row>
    <row r="96" spans="2:2">
      <c r="B96" s="9"/>
    </row>
    <row r="97" spans="2:2">
      <c r="B97" s="9"/>
    </row>
    <row r="98" spans="2:2">
      <c r="B98" s="9"/>
    </row>
    <row r="99" spans="2:2">
      <c r="B99" s="9"/>
    </row>
    <row r="100" spans="2:2">
      <c r="B100" s="9"/>
    </row>
    <row r="101" spans="2:2">
      <c r="B101" s="9"/>
    </row>
    <row r="102" spans="2:2">
      <c r="B102" s="9"/>
    </row>
    <row r="103" spans="2:2">
      <c r="B103" s="9"/>
    </row>
    <row r="104" spans="2:2">
      <c r="B104" s="9"/>
    </row>
    <row r="105" spans="2:2">
      <c r="B105" s="9"/>
    </row>
    <row r="106" spans="2:2">
      <c r="B106" s="9"/>
    </row>
    <row r="107" spans="2:2">
      <c r="B107" s="9"/>
    </row>
    <row r="108" spans="2:2">
      <c r="B108" s="9"/>
    </row>
    <row r="109" spans="2:2">
      <c r="B109" s="9"/>
    </row>
    <row r="110" spans="2:2">
      <c r="B110" s="9"/>
    </row>
    <row r="111" spans="2:2">
      <c r="B111" s="9"/>
    </row>
    <row r="112" spans="2:2">
      <c r="B112" s="9"/>
    </row>
    <row r="113" spans="2:2">
      <c r="B113" s="9"/>
    </row>
    <row r="114" spans="2:2">
      <c r="B114" s="9"/>
    </row>
    <row r="115" spans="2:2">
      <c r="B115" s="9"/>
    </row>
    <row r="116" spans="2:2">
      <c r="B116" s="9"/>
    </row>
    <row r="117" spans="2:2">
      <c r="B117" s="9"/>
    </row>
    <row r="118" spans="2:2">
      <c r="B118" s="9"/>
    </row>
    <row r="119" spans="2:2">
      <c r="B119" s="9"/>
    </row>
    <row r="120" spans="2:2">
      <c r="B120" s="9"/>
    </row>
    <row r="121" spans="2:2">
      <c r="B121" s="9"/>
    </row>
    <row r="122" spans="2:2">
      <c r="B122" s="9"/>
    </row>
    <row r="123" spans="2:2">
      <c r="B123" s="9"/>
    </row>
    <row r="124" spans="2:2">
      <c r="B124" s="9"/>
    </row>
    <row r="125" spans="2:2">
      <c r="B125" s="9"/>
    </row>
    <row r="126" spans="2:2">
      <c r="B126" s="9"/>
    </row>
    <row r="127" spans="2:2">
      <c r="B127" s="9"/>
    </row>
    <row r="128" spans="2:2">
      <c r="B128" s="9"/>
    </row>
    <row r="129" spans="2:2">
      <c r="B129" s="9"/>
    </row>
    <row r="130" spans="2:2">
      <c r="B130" s="9"/>
    </row>
    <row r="131" spans="2:2">
      <c r="B131" s="9"/>
    </row>
    <row r="132" spans="2:2">
      <c r="B132" s="9"/>
    </row>
    <row r="133" spans="2:2">
      <c r="B133" s="9"/>
    </row>
    <row r="134" spans="2:2">
      <c r="B134" s="9"/>
    </row>
    <row r="135" spans="2:2">
      <c r="B135" s="9"/>
    </row>
    <row r="136" spans="2:2">
      <c r="B136" s="9"/>
    </row>
    <row r="137" spans="2:2">
      <c r="B137" s="9"/>
    </row>
    <row r="138" spans="2:2">
      <c r="B138" s="9"/>
    </row>
    <row r="139" spans="2:2">
      <c r="B139" s="9"/>
    </row>
    <row r="140" spans="2:2">
      <c r="B140" s="9"/>
    </row>
    <row r="141" spans="2:2">
      <c r="B141" s="9"/>
    </row>
    <row r="142" spans="2:2">
      <c r="B142" s="9"/>
    </row>
    <row r="143" spans="2:2">
      <c r="B143" s="9"/>
    </row>
    <row r="144" spans="2:2">
      <c r="B144" s="9"/>
    </row>
    <row r="145" spans="2:2">
      <c r="B145" s="9"/>
    </row>
    <row r="146" spans="2:2">
      <c r="B146" s="9"/>
    </row>
    <row r="147" spans="2:2">
      <c r="B147" s="9"/>
    </row>
    <row r="148" spans="2:2">
      <c r="B148" s="9"/>
    </row>
    <row r="149" spans="2:2">
      <c r="B149" s="9"/>
    </row>
    <row r="150" spans="2:2">
      <c r="B150" s="9"/>
    </row>
    <row r="151" spans="2:2">
      <c r="B151" s="9"/>
    </row>
    <row r="152" spans="2:2">
      <c r="B152" s="9"/>
    </row>
    <row r="153" spans="2:2">
      <c r="B153" s="9"/>
    </row>
    <row r="154" spans="2:2">
      <c r="B154" s="9"/>
    </row>
    <row r="155" spans="2:2">
      <c r="B155" s="9"/>
    </row>
    <row r="156" spans="2:2">
      <c r="B156" s="9"/>
    </row>
    <row r="157" spans="2:2">
      <c r="B157" s="9"/>
    </row>
    <row r="158" spans="2:2">
      <c r="B158" s="9"/>
    </row>
    <row r="159" spans="2:2">
      <c r="B159" s="9"/>
    </row>
    <row r="160" spans="2:2">
      <c r="B160" s="9"/>
    </row>
    <row r="161" spans="2:2">
      <c r="B161" s="9"/>
    </row>
    <row r="162" spans="2:2">
      <c r="B162" s="9"/>
    </row>
    <row r="163" spans="2:2">
      <c r="B163" s="9"/>
    </row>
    <row r="164" spans="2:2">
      <c r="B164" s="9"/>
    </row>
    <row r="165" spans="2:2">
      <c r="B165" s="9"/>
    </row>
    <row r="166" spans="2:2">
      <c r="B166" s="9"/>
    </row>
    <row r="167" spans="2:2">
      <c r="B167" s="9"/>
    </row>
    <row r="168" spans="2:2">
      <c r="B168" s="9"/>
    </row>
    <row r="169" spans="2:2">
      <c r="B169" s="9"/>
    </row>
    <row r="170" spans="2:2">
      <c r="B170" s="9"/>
    </row>
    <row r="171" spans="2:2">
      <c r="B171" s="9"/>
    </row>
    <row r="172" spans="2:2">
      <c r="B172" s="9"/>
    </row>
    <row r="173" spans="2:2">
      <c r="B173" s="9"/>
    </row>
    <row r="174" spans="2:2">
      <c r="B174" s="9"/>
    </row>
    <row r="175" spans="2:2">
      <c r="B175" s="9"/>
    </row>
    <row r="176" spans="2:2">
      <c r="B176" s="9"/>
    </row>
  </sheetData>
  <phoneticPr fontId="5" type="noConversion"/>
  <pageMargins left="0.69930555555555596" right="0.69930555555555596" top="0.75" bottom="0.75" header="0.3" footer="0.3"/>
  <pageSetup paperSize="9" orientation="portrait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5"/>
  <sheetViews>
    <sheetView topLeftCell="A20" workbookViewId="0">
      <selection activeCell="A39" sqref="A39:B45"/>
    </sheetView>
  </sheetViews>
  <sheetFormatPr defaultColWidth="9" defaultRowHeight="13.5"/>
  <cols>
    <col min="1" max="1" width="11" customWidth="1"/>
    <col min="2" max="2" width="13.875" customWidth="1"/>
    <col min="5" max="5" width="10.875" customWidth="1"/>
  </cols>
  <sheetData>
    <row r="1" spans="1:7">
      <c r="A1" t="s">
        <v>0</v>
      </c>
      <c r="B1">
        <v>11246</v>
      </c>
      <c r="C1" t="s">
        <v>1</v>
      </c>
      <c r="D1">
        <v>729.5</v>
      </c>
    </row>
    <row r="2" spans="1:7">
      <c r="A2" t="s">
        <v>2</v>
      </c>
      <c r="B2" s="10">
        <v>5.6221999999999999E-11</v>
      </c>
    </row>
    <row r="3" spans="1:7">
      <c r="A3" t="s">
        <v>3</v>
      </c>
      <c r="B3">
        <v>-1.5935E-4</v>
      </c>
    </row>
    <row r="4" spans="1:7">
      <c r="A4" t="s">
        <v>4</v>
      </c>
      <c r="B4">
        <v>1.3588541700000001</v>
      </c>
    </row>
    <row r="5" spans="1:7">
      <c r="A5" t="s">
        <v>5</v>
      </c>
      <c r="B5">
        <v>-2.9077819999999998E-3</v>
      </c>
    </row>
    <row r="6" spans="1:7">
      <c r="A6" t="s">
        <v>6</v>
      </c>
      <c r="B6" t="s">
        <v>7</v>
      </c>
      <c r="C6" t="s">
        <v>8</v>
      </c>
      <c r="D6" t="s">
        <v>9</v>
      </c>
      <c r="E6" t="s">
        <v>10</v>
      </c>
      <c r="F6" t="s">
        <v>11</v>
      </c>
      <c r="G6" t="s">
        <v>12</v>
      </c>
    </row>
    <row r="7" spans="1:7">
      <c r="A7" s="7">
        <v>42590</v>
      </c>
      <c r="B7" s="1">
        <v>0.63541666666666696</v>
      </c>
      <c r="C7" s="2">
        <v>8437.2000000000007</v>
      </c>
      <c r="D7" s="2">
        <v>16.600000000000001</v>
      </c>
      <c r="E7" s="3">
        <f>($B$2*C7^2+$B$3*C7+$B$4)-$B$5*D7</f>
        <v>6.6657769823372348E-2</v>
      </c>
      <c r="G7" t="s">
        <v>13</v>
      </c>
    </row>
    <row r="8" spans="1:7">
      <c r="A8" s="7">
        <v>42590</v>
      </c>
      <c r="B8" s="1">
        <v>0.75</v>
      </c>
      <c r="C8" s="2">
        <v>8106.3</v>
      </c>
      <c r="D8" s="2">
        <v>8.4</v>
      </c>
      <c r="E8" s="3">
        <f t="shared" ref="E8:E45" si="0">($B$2*C8^2+$B$3*C8+$B$4)-$B$5*D8-$E$7</f>
        <v>2.8577329645398816E-2</v>
      </c>
      <c r="F8" s="4">
        <f>$D$1+102*E8</f>
        <v>732.41488762383062</v>
      </c>
      <c r="G8" t="s">
        <v>25</v>
      </c>
    </row>
    <row r="9" spans="1:7">
      <c r="A9" s="7">
        <v>42591</v>
      </c>
      <c r="B9" s="1">
        <v>0.33333333333333298</v>
      </c>
      <c r="C9" s="2">
        <v>8126.4</v>
      </c>
      <c r="D9" s="2">
        <v>9</v>
      </c>
      <c r="E9" s="3">
        <f t="shared" si="0"/>
        <v>2.7137407806073044E-2</v>
      </c>
      <c r="F9" s="4">
        <f t="shared" ref="F9:F27" si="1">$D$1+102*E9</f>
        <v>732.26801559621947</v>
      </c>
    </row>
    <row r="10" spans="1:7">
      <c r="A10" s="7">
        <v>42592</v>
      </c>
      <c r="B10" s="1">
        <v>0.33333333333333298</v>
      </c>
      <c r="C10" s="2">
        <v>8127.2</v>
      </c>
      <c r="D10" s="2">
        <v>9.1999999999999993</v>
      </c>
      <c r="E10" s="3">
        <f t="shared" si="0"/>
        <v>2.7592215253992386E-2</v>
      </c>
      <c r="F10" s="4">
        <f t="shared" si="1"/>
        <v>732.3144059559072</v>
      </c>
    </row>
    <row r="11" spans="1:7">
      <c r="A11" s="7">
        <v>42593</v>
      </c>
      <c r="B11" s="1">
        <v>0.33333333333333298</v>
      </c>
      <c r="C11" s="2">
        <v>8129.1</v>
      </c>
      <c r="D11" s="2">
        <v>9.4</v>
      </c>
      <c r="E11" s="3">
        <f t="shared" si="0"/>
        <v>2.7872743181219475E-2</v>
      </c>
      <c r="F11" s="4">
        <f t="shared" si="1"/>
        <v>732.34301980448436</v>
      </c>
    </row>
    <row r="12" spans="1:7">
      <c r="A12" s="7">
        <v>42594</v>
      </c>
      <c r="B12" s="1">
        <v>0.33333333333333298</v>
      </c>
      <c r="C12" s="2">
        <v>8133.4</v>
      </c>
      <c r="D12" s="2">
        <v>9.6</v>
      </c>
      <c r="E12" s="3">
        <f t="shared" si="0"/>
        <v>2.7773026115402E-2</v>
      </c>
      <c r="F12" s="4">
        <f t="shared" si="1"/>
        <v>732.33284866377096</v>
      </c>
    </row>
    <row r="13" spans="1:7">
      <c r="A13" s="7">
        <v>42595</v>
      </c>
      <c r="B13" s="1">
        <v>0.33333333333333298</v>
      </c>
      <c r="C13" s="2">
        <v>8135.7</v>
      </c>
      <c r="D13" s="2">
        <v>9.6</v>
      </c>
      <c r="E13" s="3">
        <f t="shared" si="0"/>
        <v>2.7408624882484633E-2</v>
      </c>
      <c r="F13" s="4">
        <f t="shared" si="1"/>
        <v>732.2956797380134</v>
      </c>
    </row>
    <row r="14" spans="1:7">
      <c r="A14" s="7">
        <v>42596</v>
      </c>
      <c r="B14" s="1">
        <v>0.33333333333333298</v>
      </c>
      <c r="C14" s="2">
        <v>8136.5</v>
      </c>
      <c r="D14" s="2">
        <v>9.6999999999999993</v>
      </c>
      <c r="E14" s="3">
        <f t="shared" si="0"/>
        <v>2.7572654966987228E-2</v>
      </c>
      <c r="F14" s="4">
        <f t="shared" si="1"/>
        <v>732.31241080663267</v>
      </c>
    </row>
    <row r="15" spans="1:7">
      <c r="A15" s="7">
        <v>42602</v>
      </c>
      <c r="B15" s="1">
        <v>0.33333333333333298</v>
      </c>
      <c r="C15" s="2">
        <v>8157.1</v>
      </c>
      <c r="D15" s="2">
        <v>10.7</v>
      </c>
      <c r="E15" s="3">
        <f t="shared" si="0"/>
        <v>2.7216697777838875E-2</v>
      </c>
      <c r="F15" s="4">
        <f t="shared" si="1"/>
        <v>732.27610317333961</v>
      </c>
    </row>
    <row r="16" spans="1:7">
      <c r="A16" s="7">
        <v>42612</v>
      </c>
      <c r="B16" s="1">
        <v>0.33333333333333298</v>
      </c>
      <c r="C16" s="2">
        <v>8158</v>
      </c>
      <c r="D16" s="2">
        <v>10.3</v>
      </c>
      <c r="E16" s="3">
        <f t="shared" si="0"/>
        <v>2.5910995518635793E-2</v>
      </c>
      <c r="F16" s="4">
        <f t="shared" si="1"/>
        <v>732.14292154290081</v>
      </c>
    </row>
    <row r="17" spans="1:7">
      <c r="A17" s="7">
        <v>42623</v>
      </c>
      <c r="B17" s="1">
        <v>0.33333333333333298</v>
      </c>
      <c r="C17" s="2">
        <v>8157.1</v>
      </c>
      <c r="D17" s="2">
        <v>10.5</v>
      </c>
      <c r="E17" s="3">
        <f t="shared" si="0"/>
        <v>2.6635141377838886E-2</v>
      </c>
      <c r="F17" s="4">
        <f t="shared" si="1"/>
        <v>732.21678442053951</v>
      </c>
    </row>
    <row r="18" spans="1:7">
      <c r="A18" s="7">
        <v>42937</v>
      </c>
      <c r="B18" s="1">
        <v>0.33333333333333331</v>
      </c>
      <c r="C18" s="2">
        <v>8088.6</v>
      </c>
      <c r="D18" s="2">
        <v>8.6</v>
      </c>
      <c r="E18" s="3">
        <f t="shared" si="0"/>
        <v>3.1963265024278903E-2</v>
      </c>
      <c r="F18" s="4">
        <f t="shared" si="1"/>
        <v>732.7602530324765</v>
      </c>
    </row>
    <row r="19" spans="1:7">
      <c r="A19" s="7">
        <v>43240</v>
      </c>
      <c r="B19" s="1">
        <v>0.33333333333333331</v>
      </c>
      <c r="C19" s="2">
        <v>7870.1</v>
      </c>
      <c r="D19" s="2">
        <v>7.3</v>
      </c>
      <c r="E19" s="3">
        <f t="shared" si="0"/>
        <v>6.2805078662417885E-2</v>
      </c>
      <c r="F19" s="4">
        <f t="shared" si="1"/>
        <v>735.90611802356659</v>
      </c>
    </row>
    <row r="20" spans="1:7">
      <c r="A20" s="7">
        <v>43250</v>
      </c>
      <c r="B20" s="1">
        <v>0.33333333333333331</v>
      </c>
      <c r="C20" s="2">
        <v>7868.7</v>
      </c>
      <c r="D20" s="2">
        <v>7.7</v>
      </c>
      <c r="E20" s="3">
        <f t="shared" si="0"/>
        <v>6.4190042648878787E-2</v>
      </c>
      <c r="F20" s="4">
        <f t="shared" si="1"/>
        <v>736.04738435018567</v>
      </c>
      <c r="G20" s="2"/>
    </row>
    <row r="21" spans="1:7">
      <c r="A21" s="7">
        <v>43261</v>
      </c>
      <c r="B21" s="1">
        <v>0.33333333333333331</v>
      </c>
      <c r="C21" s="2">
        <v>7819.7</v>
      </c>
      <c r="D21" s="2">
        <v>9.3000000000000007</v>
      </c>
      <c r="E21" s="3">
        <f t="shared" si="0"/>
        <v>7.6607424220863668E-2</v>
      </c>
      <c r="F21" s="4">
        <f t="shared" si="1"/>
        <v>737.31395727052814</v>
      </c>
      <c r="G21" s="2"/>
    </row>
    <row r="22" spans="1:7">
      <c r="A22" s="7">
        <v>43271</v>
      </c>
      <c r="B22" s="1">
        <v>0.33333333333333331</v>
      </c>
      <c r="C22" s="2">
        <v>7799.8</v>
      </c>
      <c r="D22" s="2">
        <v>9.3000000000000007</v>
      </c>
      <c r="E22" s="3">
        <f t="shared" si="0"/>
        <v>7.97610138462366E-2</v>
      </c>
      <c r="F22" s="4">
        <f t="shared" si="1"/>
        <v>737.63562341231614</v>
      </c>
    </row>
    <row r="23" spans="1:7">
      <c r="A23" s="7">
        <v>43281</v>
      </c>
      <c r="B23" s="1">
        <v>0.33333333333333331</v>
      </c>
      <c r="C23" s="2">
        <v>7809.8</v>
      </c>
      <c r="D23" s="2">
        <v>9.1</v>
      </c>
      <c r="E23" s="3">
        <f t="shared" si="0"/>
        <v>7.7594733475548711E-2</v>
      </c>
      <c r="F23" s="4">
        <f t="shared" si="1"/>
        <v>737.41466281450596</v>
      </c>
    </row>
    <row r="24" spans="1:7">
      <c r="A24" s="7">
        <v>43291</v>
      </c>
      <c r="B24" s="1">
        <v>0.33333333333333331</v>
      </c>
      <c r="C24" s="2">
        <v>7821.4</v>
      </c>
      <c r="D24" s="2">
        <v>8.6999999999999993</v>
      </c>
      <c r="E24" s="3">
        <f t="shared" si="0"/>
        <v>7.4593354956535018E-2</v>
      </c>
      <c r="F24" s="4">
        <f t="shared" si="1"/>
        <v>737.1085222055666</v>
      </c>
    </row>
    <row r="25" spans="1:7">
      <c r="A25" s="6">
        <v>43301</v>
      </c>
      <c r="B25" s="1">
        <v>0.33333333333333331</v>
      </c>
      <c r="C25" s="2">
        <v>7819.6</v>
      </c>
      <c r="D25" s="2">
        <v>9.6</v>
      </c>
      <c r="E25" s="3">
        <f t="shared" si="0"/>
        <v>7.7495605893591279E-2</v>
      </c>
      <c r="F25" s="4">
        <f t="shared" si="1"/>
        <v>737.40455180114634</v>
      </c>
    </row>
    <row r="26" spans="1:7">
      <c r="A26" s="7">
        <v>43311</v>
      </c>
      <c r="B26" s="1">
        <v>0.33333333333333331</v>
      </c>
      <c r="C26" s="2">
        <v>7820.4</v>
      </c>
      <c r="D26" s="2">
        <v>8.1999999999999993</v>
      </c>
      <c r="E26" s="3">
        <f t="shared" si="0"/>
        <v>7.3297934543255172E-2</v>
      </c>
      <c r="F26" s="4">
        <f t="shared" si="1"/>
        <v>736.97638932341204</v>
      </c>
    </row>
    <row r="27" spans="1:7">
      <c r="A27" s="7">
        <v>43322</v>
      </c>
      <c r="B27" s="9">
        <v>0.33333333333333331</v>
      </c>
      <c r="C27" s="2">
        <v>7798.9</v>
      </c>
      <c r="D27" s="2">
        <v>9.9</v>
      </c>
      <c r="E27" s="3">
        <f t="shared" si="0"/>
        <v>8.1648308755136262E-2</v>
      </c>
      <c r="F27" s="4">
        <f t="shared" si="1"/>
        <v>737.82812749302389</v>
      </c>
    </row>
    <row r="28" spans="1:7">
      <c r="A28" s="7">
        <v>43332</v>
      </c>
      <c r="B28" s="9">
        <v>0.33333333333333331</v>
      </c>
      <c r="C28" s="2">
        <v>7813.7</v>
      </c>
      <c r="D28" s="2">
        <v>8.6</v>
      </c>
      <c r="E28" s="3">
        <f t="shared" si="0"/>
        <v>7.5522803174774972E-2</v>
      </c>
      <c r="F28" s="4">
        <f t="shared" ref="F28:F45" si="2">$D$1+102*E28</f>
        <v>737.20332592382704</v>
      </c>
    </row>
    <row r="29" spans="1:7">
      <c r="A29" s="7">
        <v>43342</v>
      </c>
      <c r="B29" s="9">
        <v>0.33333333333333331</v>
      </c>
      <c r="C29" s="2">
        <v>7765.3</v>
      </c>
      <c r="D29" s="2">
        <v>8.5</v>
      </c>
      <c r="E29" s="3">
        <f t="shared" si="0"/>
        <v>8.2902172259935764E-2</v>
      </c>
      <c r="F29" s="4">
        <f t="shared" si="2"/>
        <v>737.95602157051349</v>
      </c>
    </row>
    <row r="30" spans="1:7">
      <c r="A30" s="7">
        <v>43353</v>
      </c>
      <c r="B30" s="9">
        <v>0.33333333333333331</v>
      </c>
      <c r="C30" s="2">
        <v>7756.4</v>
      </c>
      <c r="D30" s="2">
        <v>8.3000000000000007</v>
      </c>
      <c r="E30" s="3">
        <f t="shared" si="0"/>
        <v>8.3731064176881032E-2</v>
      </c>
      <c r="F30" s="4">
        <f t="shared" si="2"/>
        <v>738.04056854604187</v>
      </c>
    </row>
    <row r="31" spans="1:7">
      <c r="A31" s="7">
        <v>43363</v>
      </c>
      <c r="B31" s="1">
        <v>0.33333333333333331</v>
      </c>
      <c r="C31" s="2">
        <v>7788</v>
      </c>
      <c r="D31" s="2">
        <v>8.6999999999999993</v>
      </c>
      <c r="E31" s="3">
        <f t="shared" si="0"/>
        <v>7.9886333394195763E-2</v>
      </c>
      <c r="F31" s="4">
        <f t="shared" si="2"/>
        <v>737.64840600620801</v>
      </c>
    </row>
    <row r="32" spans="1:7">
      <c r="A32" s="7">
        <v>43373</v>
      </c>
      <c r="B32" s="1">
        <v>0.33333333333333331</v>
      </c>
      <c r="C32" s="2">
        <v>7796.3</v>
      </c>
      <c r="D32" s="2">
        <v>8.1999999999999993</v>
      </c>
      <c r="E32" s="3">
        <f t="shared" si="0"/>
        <v>7.711710969246699E-2</v>
      </c>
      <c r="F32" s="4">
        <f t="shared" si="2"/>
        <v>737.3659451886316</v>
      </c>
    </row>
    <row r="33" spans="1:6">
      <c r="A33" s="7">
        <v>43383</v>
      </c>
      <c r="B33" s="1">
        <v>0.33333333333333331</v>
      </c>
      <c r="C33" s="2">
        <v>7799.2</v>
      </c>
      <c r="D33" s="2">
        <v>8</v>
      </c>
      <c r="E33" s="3">
        <f t="shared" si="0"/>
        <v>7.6075981042049962E-2</v>
      </c>
      <c r="F33" s="4">
        <f t="shared" si="2"/>
        <v>737.25975006628914</v>
      </c>
    </row>
    <row r="34" spans="1:6">
      <c r="A34" s="7">
        <v>43393</v>
      </c>
      <c r="B34" s="1">
        <v>0.33333333333333331</v>
      </c>
      <c r="C34" s="2">
        <v>7802.6</v>
      </c>
      <c r="D34" s="2">
        <v>7.9</v>
      </c>
      <c r="E34" s="3">
        <f t="shared" si="0"/>
        <v>7.5246395201008426E-2</v>
      </c>
      <c r="F34" s="4">
        <f t="shared" si="2"/>
        <v>737.17513231050282</v>
      </c>
    </row>
    <row r="35" spans="1:6">
      <c r="A35" s="32">
        <v>43605</v>
      </c>
      <c r="B35" s="1">
        <v>0.33333333333333331</v>
      </c>
      <c r="C35" s="2">
        <v>7820.3</v>
      </c>
      <c r="D35" s="2">
        <v>7.2</v>
      </c>
      <c r="E35" s="3">
        <f t="shared" si="0"/>
        <v>7.0405999608111752E-2</v>
      </c>
      <c r="F35" s="4">
        <f t="shared" si="2"/>
        <v>736.68141196002739</v>
      </c>
    </row>
    <row r="36" spans="1:6">
      <c r="A36" s="32">
        <v>43615</v>
      </c>
      <c r="B36" s="1">
        <v>0.33333333333333331</v>
      </c>
      <c r="C36" s="2">
        <v>7821.7</v>
      </c>
      <c r="D36" s="2">
        <v>7.4</v>
      </c>
      <c r="E36" s="3">
        <f t="shared" si="0"/>
        <v>7.0765697202445355E-2</v>
      </c>
      <c r="F36" s="4">
        <f t="shared" si="2"/>
        <v>736.71810111464947</v>
      </c>
    </row>
    <row r="37" spans="1:6">
      <c r="A37" s="32">
        <v>43626</v>
      </c>
      <c r="B37" s="1">
        <v>0.33333333333333331</v>
      </c>
      <c r="C37" s="2">
        <v>7823.2</v>
      </c>
      <c r="D37" s="2">
        <v>7.5</v>
      </c>
      <c r="E37" s="3">
        <f t="shared" si="0"/>
        <v>7.0818769783797142E-2</v>
      </c>
      <c r="F37" s="4">
        <f t="shared" si="2"/>
        <v>736.72351451794736</v>
      </c>
    </row>
    <row r="38" spans="1:6">
      <c r="A38" s="32">
        <v>43636</v>
      </c>
      <c r="B38" s="1">
        <v>0.33333333333333331</v>
      </c>
      <c r="C38" s="2">
        <v>7827.4</v>
      </c>
      <c r="D38" s="2">
        <v>7.5</v>
      </c>
      <c r="E38" s="3">
        <f t="shared" si="0"/>
        <v>7.015319539753645E-2</v>
      </c>
      <c r="F38" s="4">
        <f t="shared" si="2"/>
        <v>736.65562593054869</v>
      </c>
    </row>
    <row r="39" spans="1:6">
      <c r="A39" s="7">
        <v>43646</v>
      </c>
      <c r="B39" s="1">
        <v>0.33333333333333331</v>
      </c>
      <c r="C39" s="2">
        <v>7825.6</v>
      </c>
      <c r="D39" s="2">
        <v>7.4</v>
      </c>
      <c r="E39" s="3">
        <f t="shared" si="0"/>
        <v>7.0147663120197656E-2</v>
      </c>
      <c r="F39" s="4">
        <f t="shared" si="2"/>
        <v>736.65506163826012</v>
      </c>
    </row>
    <row r="40" spans="1:6">
      <c r="A40" s="7">
        <v>43656</v>
      </c>
      <c r="B40" s="1">
        <v>0.33333333333333331</v>
      </c>
      <c r="C40" s="2">
        <v>7820.7</v>
      </c>
      <c r="D40" s="2">
        <v>7.3</v>
      </c>
      <c r="E40" s="3">
        <f t="shared" si="0"/>
        <v>7.0633389555432718E-2</v>
      </c>
      <c r="F40" s="4">
        <f t="shared" si="2"/>
        <v>736.70460573465414</v>
      </c>
    </row>
    <row r="41" spans="1:6">
      <c r="A41" s="7">
        <v>43666</v>
      </c>
      <c r="B41" s="1">
        <v>0.33333333333333331</v>
      </c>
      <c r="C41" s="2">
        <v>7810.8</v>
      </c>
      <c r="D41" s="2">
        <v>7.9</v>
      </c>
      <c r="E41" s="3">
        <f t="shared" si="0"/>
        <v>7.394692329692179E-2</v>
      </c>
      <c r="F41" s="4">
        <f t="shared" si="2"/>
        <v>737.04258617628602</v>
      </c>
    </row>
    <row r="42" spans="1:6">
      <c r="A42" s="7">
        <v>43676</v>
      </c>
      <c r="B42" s="1">
        <v>0.33333333333333331</v>
      </c>
      <c r="C42" s="2">
        <v>7812.6</v>
      </c>
      <c r="D42" s="2">
        <v>8.1</v>
      </c>
      <c r="E42" s="3">
        <f t="shared" si="0"/>
        <v>7.4243230778752278E-2</v>
      </c>
      <c r="F42" s="4">
        <f t="shared" si="2"/>
        <v>737.07280953943268</v>
      </c>
    </row>
    <row r="43" spans="1:6">
      <c r="A43" s="7">
        <v>43687</v>
      </c>
      <c r="B43" s="1">
        <v>0.33333333333333331</v>
      </c>
      <c r="C43" s="2">
        <v>7805.3</v>
      </c>
      <c r="D43" s="2">
        <v>8.3000000000000007</v>
      </c>
      <c r="E43" s="3">
        <f t="shared" si="0"/>
        <v>7.598163227086363E-2</v>
      </c>
      <c r="F43" s="4">
        <f t="shared" si="2"/>
        <v>737.25012649162807</v>
      </c>
    </row>
    <row r="44" spans="1:6">
      <c r="A44" s="7">
        <v>43697</v>
      </c>
      <c r="B44" s="1">
        <v>0.33333333333333331</v>
      </c>
      <c r="C44" s="2">
        <v>7785.3</v>
      </c>
      <c r="D44" s="2">
        <v>8.3000000000000007</v>
      </c>
      <c r="E44" s="3">
        <f t="shared" si="0"/>
        <v>7.9151101576599658E-2</v>
      </c>
      <c r="F44" s="4">
        <f t="shared" si="2"/>
        <v>737.57341236081311</v>
      </c>
    </row>
    <row r="45" spans="1:6">
      <c r="A45" s="7">
        <v>43707</v>
      </c>
      <c r="B45" s="1">
        <v>0.33333333333333331</v>
      </c>
      <c r="C45" s="2">
        <v>7783.5</v>
      </c>
      <c r="D45" s="2">
        <v>7.5</v>
      </c>
      <c r="E45" s="3">
        <f t="shared" si="0"/>
        <v>7.7110130420267209E-2</v>
      </c>
      <c r="F45" s="4">
        <f t="shared" si="2"/>
        <v>737.3652333028673</v>
      </c>
    </row>
  </sheetData>
  <phoneticPr fontId="4" type="noConversion"/>
  <pageMargins left="0.69930555555555596" right="0.69930555555555596" top="0.75" bottom="0.75" header="0.3" footer="0.3"/>
  <pageSetup paperSize="9" orientation="portrait"/>
  <drawing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8"/>
  <sheetViews>
    <sheetView topLeftCell="A28" workbookViewId="0">
      <selection activeCell="A39" sqref="A39:B45"/>
    </sheetView>
  </sheetViews>
  <sheetFormatPr defaultColWidth="9" defaultRowHeight="13.5"/>
  <cols>
    <col min="1" max="1" width="10.5" customWidth="1"/>
    <col min="2" max="2" width="13.875" customWidth="1"/>
    <col min="5" max="5" width="10.875" customWidth="1"/>
  </cols>
  <sheetData>
    <row r="1" spans="1:7">
      <c r="A1" t="s">
        <v>0</v>
      </c>
      <c r="B1">
        <v>11251</v>
      </c>
      <c r="C1" t="s">
        <v>1</v>
      </c>
      <c r="D1">
        <v>718.5</v>
      </c>
    </row>
    <row r="2" spans="1:7">
      <c r="A2" t="s">
        <v>2</v>
      </c>
      <c r="B2" s="10">
        <v>-1.15667E-10</v>
      </c>
    </row>
    <row r="3" spans="1:7">
      <c r="A3" t="s">
        <v>3</v>
      </c>
      <c r="B3">
        <v>-1.5626E-4</v>
      </c>
    </row>
    <row r="4" spans="1:7">
      <c r="A4" t="s">
        <v>4</v>
      </c>
      <c r="B4">
        <v>1.2479332599999999</v>
      </c>
    </row>
    <row r="5" spans="1:7">
      <c r="A5" t="s">
        <v>5</v>
      </c>
      <c r="B5">
        <v>-3.1907889999999999E-3</v>
      </c>
    </row>
    <row r="6" spans="1:7">
      <c r="A6" t="s">
        <v>6</v>
      </c>
      <c r="B6" t="s">
        <v>7</v>
      </c>
      <c r="C6" t="s">
        <v>8</v>
      </c>
      <c r="D6" t="s">
        <v>9</v>
      </c>
      <c r="E6" t="s">
        <v>10</v>
      </c>
      <c r="F6" t="s">
        <v>11</v>
      </c>
      <c r="G6" t="s">
        <v>12</v>
      </c>
    </row>
    <row r="7" spans="1:7">
      <c r="A7" s="7">
        <v>42590</v>
      </c>
      <c r="B7" s="1">
        <v>0.63541666666666696</v>
      </c>
      <c r="C7" s="2">
        <v>7847.9</v>
      </c>
      <c r="D7" s="2">
        <v>16.8</v>
      </c>
      <c r="E7" s="3">
        <f>($B$2*C7^2+$B$3*C7+$B$4)-$B$5*D7</f>
        <v>6.8101784523398518E-2</v>
      </c>
      <c r="G7" t="s">
        <v>13</v>
      </c>
    </row>
    <row r="8" spans="1:7">
      <c r="A8" s="7">
        <v>42590</v>
      </c>
      <c r="B8" s="1">
        <v>0.75</v>
      </c>
      <c r="C8" s="2">
        <v>6835</v>
      </c>
      <c r="D8" s="2">
        <v>6.9</v>
      </c>
      <c r="E8" s="3">
        <f t="shared" ref="E8:E28" si="0">($B$2*C8^2+$B$3*C8+$B$4)-$B$5*D8-$E$7</f>
        <v>0.12840717831252646</v>
      </c>
      <c r="F8" s="4">
        <f>$D$1+102*E8</f>
        <v>731.59753218787773</v>
      </c>
      <c r="G8" t="s">
        <v>25</v>
      </c>
    </row>
    <row r="9" spans="1:7">
      <c r="A9" s="7">
        <v>42591</v>
      </c>
      <c r="B9" s="1">
        <v>0.33333333333333298</v>
      </c>
      <c r="C9" s="2">
        <v>6843.6</v>
      </c>
      <c r="D9" s="2">
        <v>6.8</v>
      </c>
      <c r="E9" s="3">
        <f t="shared" si="0"/>
        <v>0.12673065681394105</v>
      </c>
      <c r="F9" s="4">
        <f t="shared" ref="F9:F28" si="1">$D$1+102*E9</f>
        <v>731.42652699502196</v>
      </c>
    </row>
    <row r="10" spans="1:7">
      <c r="A10" s="7">
        <v>42592</v>
      </c>
      <c r="B10" s="1">
        <v>0.33333333333333298</v>
      </c>
      <c r="C10" s="2">
        <v>6841.4</v>
      </c>
      <c r="D10" s="2">
        <v>7.4</v>
      </c>
      <c r="E10" s="3">
        <f t="shared" si="0"/>
        <v>0.12899238460031001</v>
      </c>
      <c r="F10" s="4">
        <f t="shared" si="1"/>
        <v>731.65722322923159</v>
      </c>
    </row>
    <row r="11" spans="1:7">
      <c r="A11" s="7">
        <v>42593</v>
      </c>
      <c r="B11" s="1">
        <v>0.33333333333333298</v>
      </c>
      <c r="C11" s="2">
        <v>6840.3</v>
      </c>
      <c r="D11" s="2">
        <v>8.3000000000000007</v>
      </c>
      <c r="E11" s="3">
        <f t="shared" si="0"/>
        <v>0.13203772147362325</v>
      </c>
      <c r="F11" s="4">
        <f t="shared" si="1"/>
        <v>731.96784759030959</v>
      </c>
    </row>
    <row r="12" spans="1:7">
      <c r="A12" s="7">
        <v>42594</v>
      </c>
      <c r="B12" s="1">
        <v>0.33333333333333298</v>
      </c>
      <c r="C12" s="2">
        <v>6839.1</v>
      </c>
      <c r="D12" s="2">
        <v>9.1999999999999993</v>
      </c>
      <c r="E12" s="3">
        <f t="shared" si="0"/>
        <v>0.1350988422798152</v>
      </c>
      <c r="F12" s="4">
        <f t="shared" si="1"/>
        <v>732.28008191254116</v>
      </c>
    </row>
    <row r="13" spans="1:7">
      <c r="A13" s="7">
        <v>42595</v>
      </c>
      <c r="B13" s="1">
        <v>0.33333333333333298</v>
      </c>
      <c r="C13" s="2">
        <v>6838.3</v>
      </c>
      <c r="D13" s="2">
        <v>9.4</v>
      </c>
      <c r="E13" s="3">
        <f t="shared" si="0"/>
        <v>0.13586327369887577</v>
      </c>
      <c r="F13" s="4">
        <f t="shared" si="1"/>
        <v>732.35805391728536</v>
      </c>
    </row>
    <row r="14" spans="1:7">
      <c r="A14" s="7">
        <v>42596</v>
      </c>
      <c r="B14" s="1">
        <v>0.33333333333333298</v>
      </c>
      <c r="C14" s="2">
        <v>6837.4</v>
      </c>
      <c r="D14" s="2">
        <v>9.6999999999999993</v>
      </c>
      <c r="E14" s="3">
        <f t="shared" si="0"/>
        <v>0.13696256804334861</v>
      </c>
      <c r="F14" s="4">
        <f t="shared" si="1"/>
        <v>732.47018194042153</v>
      </c>
    </row>
    <row r="15" spans="1:7">
      <c r="A15" s="7">
        <v>42602</v>
      </c>
      <c r="B15" s="1">
        <v>0.33333333333333298</v>
      </c>
      <c r="C15" s="2">
        <v>6847</v>
      </c>
      <c r="D15" s="2">
        <v>7.1</v>
      </c>
      <c r="E15" s="3">
        <f t="shared" si="0"/>
        <v>0.12715122544179847</v>
      </c>
      <c r="F15" s="4">
        <f t="shared" si="1"/>
        <v>731.46942499506349</v>
      </c>
    </row>
    <row r="16" spans="1:7">
      <c r="A16" s="7">
        <v>42612</v>
      </c>
      <c r="B16" s="1">
        <v>0.33333333333333298</v>
      </c>
      <c r="C16" s="2">
        <v>6859.3</v>
      </c>
      <c r="D16" s="2">
        <v>7.1</v>
      </c>
      <c r="E16" s="3">
        <f t="shared" si="0"/>
        <v>0.12520972743259262</v>
      </c>
      <c r="F16" s="4">
        <f t="shared" si="1"/>
        <v>731.27139219812443</v>
      </c>
    </row>
    <row r="17" spans="1:7">
      <c r="A17" s="7">
        <v>42623</v>
      </c>
      <c r="B17" s="1">
        <v>0.33333333333333298</v>
      </c>
      <c r="C17" s="2">
        <v>6850.8</v>
      </c>
      <c r="D17" s="2">
        <v>7</v>
      </c>
      <c r="E17" s="3">
        <f t="shared" si="0"/>
        <v>0.12623233788475469</v>
      </c>
      <c r="F17" s="4">
        <f t="shared" si="1"/>
        <v>731.37569846424503</v>
      </c>
    </row>
    <row r="18" spans="1:7">
      <c r="A18" s="7">
        <v>42937</v>
      </c>
      <c r="B18" s="1">
        <v>0.33333333333333331</v>
      </c>
      <c r="C18" s="2">
        <v>6842.7</v>
      </c>
      <c r="D18" s="2">
        <v>8.1</v>
      </c>
      <c r="E18" s="3">
        <f t="shared" si="0"/>
        <v>0.13102074126187721</v>
      </c>
      <c r="F18" s="4">
        <f t="shared" si="1"/>
        <v>731.86411560871147</v>
      </c>
    </row>
    <row r="19" spans="1:7">
      <c r="A19" s="7">
        <v>43240</v>
      </c>
      <c r="B19" s="1">
        <v>0.33333333333333331</v>
      </c>
      <c r="C19" s="2">
        <v>6623.2</v>
      </c>
      <c r="D19" s="2">
        <v>8.5</v>
      </c>
      <c r="E19" s="3">
        <f t="shared" si="0"/>
        <v>0.16693801133791544</v>
      </c>
      <c r="F19" s="4">
        <f t="shared" si="1"/>
        <v>735.52767715646735</v>
      </c>
    </row>
    <row r="20" spans="1:7">
      <c r="A20" s="7">
        <v>43250</v>
      </c>
      <c r="B20" s="1">
        <v>0.33333333333333331</v>
      </c>
      <c r="C20" s="2">
        <v>6609.8</v>
      </c>
      <c r="D20" s="2">
        <v>8.5</v>
      </c>
      <c r="E20" s="3">
        <f t="shared" si="0"/>
        <v>0.16905240566482274</v>
      </c>
      <c r="F20" s="4">
        <f t="shared" si="1"/>
        <v>735.74334537781192</v>
      </c>
      <c r="G20" s="2"/>
    </row>
    <row r="21" spans="1:7">
      <c r="A21" s="7">
        <v>43261</v>
      </c>
      <c r="B21" s="1">
        <v>0.33333333333333331</v>
      </c>
      <c r="C21" s="2">
        <v>6570.4</v>
      </c>
      <c r="D21" s="2">
        <v>8.6</v>
      </c>
      <c r="E21" s="3">
        <f t="shared" si="0"/>
        <v>0.1755881944240428</v>
      </c>
      <c r="F21" s="4">
        <f t="shared" si="1"/>
        <v>736.40999583125233</v>
      </c>
      <c r="G21" s="2"/>
    </row>
    <row r="22" spans="1:7">
      <c r="A22" s="7">
        <v>43271</v>
      </c>
      <c r="B22" s="1">
        <v>0.33333333333333331</v>
      </c>
      <c r="C22" s="2">
        <v>6549.2</v>
      </c>
      <c r="D22" s="2">
        <v>9.1999999999999993</v>
      </c>
      <c r="E22" s="3">
        <f t="shared" si="0"/>
        <v>0.18084755092523455</v>
      </c>
      <c r="F22" s="4">
        <f t="shared" si="1"/>
        <v>736.94645019437394</v>
      </c>
    </row>
    <row r="23" spans="1:7">
      <c r="A23" s="7">
        <v>43281</v>
      </c>
      <c r="B23" s="1">
        <v>0.33333333333333331</v>
      </c>
      <c r="C23" s="2">
        <v>6560.4</v>
      </c>
      <c r="D23" s="2">
        <v>8.6999999999999993</v>
      </c>
      <c r="E23" s="3">
        <f t="shared" si="0"/>
        <v>0.1774850613264787</v>
      </c>
      <c r="F23" s="4">
        <f t="shared" si="1"/>
        <v>736.60347625530085</v>
      </c>
    </row>
    <row r="24" spans="1:7">
      <c r="A24" s="7">
        <v>43291</v>
      </c>
      <c r="B24" s="1">
        <v>0.33333333333333331</v>
      </c>
      <c r="C24" s="2">
        <v>6571.8</v>
      </c>
      <c r="D24" s="2">
        <v>8.3000000000000007</v>
      </c>
      <c r="E24" s="3">
        <f t="shared" si="0"/>
        <v>0.17441006555765637</v>
      </c>
      <c r="F24" s="4">
        <f t="shared" si="1"/>
        <v>736.28982668688093</v>
      </c>
    </row>
    <row r="25" spans="1:7">
      <c r="A25" s="6">
        <v>43301</v>
      </c>
      <c r="B25" s="1">
        <v>0.33333333333333331</v>
      </c>
      <c r="C25" s="2">
        <v>6570.6</v>
      </c>
      <c r="D25" s="2">
        <v>8</v>
      </c>
      <c r="E25" s="3">
        <f t="shared" si="0"/>
        <v>0.17364216502803323</v>
      </c>
      <c r="F25" s="4">
        <f t="shared" si="1"/>
        <v>736.21150083285943</v>
      </c>
    </row>
    <row r="26" spans="1:7">
      <c r="A26" s="7">
        <v>43311</v>
      </c>
      <c r="B26" s="1">
        <v>0.33333333333333331</v>
      </c>
      <c r="C26" s="2">
        <v>6571.4</v>
      </c>
      <c r="D26" s="2">
        <v>8.3000000000000007</v>
      </c>
      <c r="E26" s="3">
        <f t="shared" si="0"/>
        <v>0.17447317765146209</v>
      </c>
      <c r="F26" s="4">
        <f t="shared" si="1"/>
        <v>736.29626412044911</v>
      </c>
    </row>
    <row r="27" spans="1:7">
      <c r="A27" s="7">
        <v>43322</v>
      </c>
      <c r="B27" s="9">
        <v>0.33333333333333331</v>
      </c>
      <c r="C27" s="2">
        <v>6550.2</v>
      </c>
      <c r="D27" s="2">
        <v>8.3000000000000007</v>
      </c>
      <c r="E27" s="3">
        <f t="shared" si="0"/>
        <v>0.17781806565693481</v>
      </c>
      <c r="F27" s="4">
        <f t="shared" si="1"/>
        <v>736.63744269700737</v>
      </c>
    </row>
    <row r="28" spans="1:7">
      <c r="A28" s="7">
        <v>43332</v>
      </c>
      <c r="B28" s="9">
        <v>0.33333333333333331</v>
      </c>
      <c r="C28" s="2">
        <v>6564.9</v>
      </c>
      <c r="D28" s="2">
        <v>8.6</v>
      </c>
      <c r="E28" s="3">
        <f t="shared" si="0"/>
        <v>0.17645598068814081</v>
      </c>
      <c r="F28" s="4">
        <f t="shared" si="1"/>
        <v>736.49851003019035</v>
      </c>
    </row>
    <row r="29" spans="1:7">
      <c r="A29" s="7">
        <v>43342</v>
      </c>
      <c r="B29" s="9">
        <v>0.33333333333333331</v>
      </c>
      <c r="C29" s="2">
        <v>6547</v>
      </c>
      <c r="D29" s="2">
        <v>8.4</v>
      </c>
      <c r="E29" s="3">
        <f t="shared" ref="E29:E45" si="2">($B$2*C29^2+$B$3*C29+$B$4)-$B$5*D29-$E$7</f>
        <v>0.17864202428119852</v>
      </c>
      <c r="F29" s="4">
        <f t="shared" ref="F29:F45" si="3">$D$1+102*E29</f>
        <v>736.72148647668223</v>
      </c>
    </row>
    <row r="30" spans="1:7">
      <c r="A30" s="7">
        <v>43353</v>
      </c>
      <c r="B30" s="9">
        <v>0.33333333333333331</v>
      </c>
      <c r="C30" s="2">
        <v>6532.4</v>
      </c>
      <c r="D30" s="2">
        <v>8.3000000000000007</v>
      </c>
      <c r="E30" s="3">
        <f t="shared" si="2"/>
        <v>0.1806264290636117</v>
      </c>
      <c r="F30" s="4">
        <f t="shared" si="3"/>
        <v>736.92389576448841</v>
      </c>
    </row>
    <row r="31" spans="1:7">
      <c r="A31" s="7">
        <v>43363</v>
      </c>
      <c r="B31" s="1">
        <v>0.33333333333333331</v>
      </c>
      <c r="C31" s="2">
        <v>6538.8</v>
      </c>
      <c r="D31" s="2">
        <v>8.5</v>
      </c>
      <c r="E31" s="3">
        <f t="shared" si="2"/>
        <v>0.18025484666207295</v>
      </c>
      <c r="F31" s="4">
        <f t="shared" si="3"/>
        <v>736.88599435953142</v>
      </c>
    </row>
    <row r="32" spans="1:7">
      <c r="A32" s="7">
        <v>43373</v>
      </c>
      <c r="B32" s="1">
        <v>0.33333333333333331</v>
      </c>
      <c r="C32" s="2">
        <v>6549.2</v>
      </c>
      <c r="D32" s="2">
        <v>8.4</v>
      </c>
      <c r="E32" s="3">
        <f t="shared" si="2"/>
        <v>0.17829491972523454</v>
      </c>
      <c r="F32" s="4">
        <f t="shared" si="3"/>
        <v>736.68608181197396</v>
      </c>
    </row>
    <row r="33" spans="1:6">
      <c r="A33" s="30">
        <v>43383</v>
      </c>
      <c r="B33" s="1">
        <v>0.33333333333333331</v>
      </c>
      <c r="C33" s="2">
        <v>6551.3</v>
      </c>
      <c r="D33" s="2">
        <v>8.4</v>
      </c>
      <c r="E33" s="3">
        <f t="shared" si="2"/>
        <v>0.177963591604614</v>
      </c>
      <c r="F33" s="4">
        <f t="shared" si="3"/>
        <v>736.65228634367065</v>
      </c>
    </row>
    <row r="34" spans="1:6">
      <c r="A34" s="30">
        <v>43393</v>
      </c>
      <c r="B34" s="1">
        <v>0.33333333333333331</v>
      </c>
      <c r="C34" s="2">
        <v>6560.7</v>
      </c>
      <c r="D34" s="2">
        <v>8</v>
      </c>
      <c r="E34" s="3">
        <f t="shared" si="2"/>
        <v>0.17520417572299665</v>
      </c>
      <c r="F34" s="4">
        <f t="shared" si="3"/>
        <v>736.37082592374566</v>
      </c>
    </row>
    <row r="35" spans="1:6">
      <c r="A35" s="32">
        <v>43605</v>
      </c>
      <c r="B35" s="1">
        <v>0.33333333333333331</v>
      </c>
      <c r="C35" s="2">
        <v>6571.3</v>
      </c>
      <c r="D35" s="2">
        <v>7.5</v>
      </c>
      <c r="E35" s="3">
        <f t="shared" si="2"/>
        <v>0.17193632446913026</v>
      </c>
      <c r="F35" s="4">
        <f t="shared" si="3"/>
        <v>736.03750509585132</v>
      </c>
    </row>
    <row r="36" spans="1:6">
      <c r="A36" s="32">
        <v>43615</v>
      </c>
      <c r="B36" s="1">
        <v>0.33333333333333331</v>
      </c>
      <c r="C36" s="2">
        <v>6572.1</v>
      </c>
      <c r="D36" s="2">
        <v>7.5</v>
      </c>
      <c r="E36" s="3">
        <f t="shared" si="2"/>
        <v>0.17181010026301208</v>
      </c>
      <c r="F36" s="4">
        <f t="shared" si="3"/>
        <v>736.02463022682718</v>
      </c>
    </row>
    <row r="37" spans="1:6">
      <c r="A37" s="32">
        <v>43626</v>
      </c>
      <c r="B37" s="1">
        <v>0.33333333333333331</v>
      </c>
      <c r="C37" s="2">
        <v>6573.4</v>
      </c>
      <c r="D37" s="2">
        <v>7.6</v>
      </c>
      <c r="E37" s="3">
        <f t="shared" si="2"/>
        <v>0.17192406451229891</v>
      </c>
      <c r="F37" s="4">
        <f t="shared" si="3"/>
        <v>736.03625458025454</v>
      </c>
    </row>
    <row r="38" spans="1:6">
      <c r="A38" s="32">
        <v>43636</v>
      </c>
      <c r="B38" s="1">
        <v>0.33333333333333331</v>
      </c>
      <c r="C38" s="2">
        <v>6574.3</v>
      </c>
      <c r="D38" s="2">
        <v>7.7</v>
      </c>
      <c r="E38" s="3">
        <f t="shared" si="2"/>
        <v>0.17210114073278443</v>
      </c>
      <c r="F38" s="4">
        <f t="shared" si="3"/>
        <v>736.05431635474406</v>
      </c>
    </row>
    <row r="39" spans="1:6">
      <c r="A39" s="7">
        <v>43646</v>
      </c>
      <c r="B39" s="1">
        <v>0.33333333333333331</v>
      </c>
      <c r="C39" s="2">
        <v>6572.3</v>
      </c>
      <c r="D39" s="2">
        <v>7.7</v>
      </c>
      <c r="E39" s="3">
        <f t="shared" si="2"/>
        <v>0.17241670198834896</v>
      </c>
      <c r="F39" s="4">
        <f t="shared" si="3"/>
        <v>736.0865036028116</v>
      </c>
    </row>
    <row r="40" spans="1:6">
      <c r="A40" s="7">
        <v>43656</v>
      </c>
      <c r="B40" s="1">
        <v>0.33333333333333331</v>
      </c>
      <c r="C40" s="2">
        <v>6570.6</v>
      </c>
      <c r="D40" s="2">
        <v>7.6</v>
      </c>
      <c r="E40" s="3">
        <f t="shared" si="2"/>
        <v>0.17236584942803324</v>
      </c>
      <c r="F40" s="4">
        <f t="shared" si="3"/>
        <v>736.08131664165944</v>
      </c>
    </row>
    <row r="41" spans="1:6">
      <c r="A41" s="7">
        <v>43666</v>
      </c>
      <c r="B41" s="1">
        <v>0.33333333333333331</v>
      </c>
      <c r="C41" s="2">
        <v>6565.2</v>
      </c>
      <c r="D41" s="2">
        <v>7.4</v>
      </c>
      <c r="E41" s="3">
        <f t="shared" si="2"/>
        <v>0.17257970027235767</v>
      </c>
      <c r="F41" s="4">
        <f t="shared" si="3"/>
        <v>736.10312942778046</v>
      </c>
    </row>
    <row r="42" spans="1:6">
      <c r="A42" s="7">
        <v>43676</v>
      </c>
      <c r="B42" s="1">
        <v>0.33333333333333331</v>
      </c>
      <c r="C42" s="2">
        <v>6560.7</v>
      </c>
      <c r="D42" s="2">
        <v>7.3</v>
      </c>
      <c r="E42" s="3">
        <f t="shared" si="2"/>
        <v>0.17297062342299666</v>
      </c>
      <c r="F42" s="4">
        <f t="shared" si="3"/>
        <v>736.14300358914568</v>
      </c>
    </row>
    <row r="43" spans="1:6">
      <c r="A43" s="7">
        <v>43687</v>
      </c>
      <c r="B43" s="1">
        <v>0.33333333333333331</v>
      </c>
      <c r="C43" s="2">
        <v>6520.7</v>
      </c>
      <c r="D43" s="2">
        <v>7.3</v>
      </c>
      <c r="E43" s="3">
        <f t="shared" si="2"/>
        <v>0.17928154687474865</v>
      </c>
      <c r="F43" s="4">
        <f t="shared" si="3"/>
        <v>736.78671778122441</v>
      </c>
    </row>
    <row r="44" spans="1:6">
      <c r="A44" s="7">
        <v>43697</v>
      </c>
      <c r="B44" s="1">
        <v>0.33333333333333331</v>
      </c>
      <c r="C44" s="2">
        <v>6510.8</v>
      </c>
      <c r="D44" s="2">
        <v>7</v>
      </c>
      <c r="E44" s="3">
        <f t="shared" si="2"/>
        <v>0.17988620658840254</v>
      </c>
      <c r="F44" s="4">
        <f t="shared" si="3"/>
        <v>736.84839307201707</v>
      </c>
    </row>
    <row r="45" spans="1:6">
      <c r="A45" s="7">
        <v>43707</v>
      </c>
      <c r="B45" s="1">
        <v>0.33333333333333331</v>
      </c>
      <c r="C45" s="2">
        <v>6527.4</v>
      </c>
      <c r="D45" s="2">
        <v>8</v>
      </c>
      <c r="E45" s="3">
        <f t="shared" si="2"/>
        <v>0.18045804530304457</v>
      </c>
      <c r="F45" s="4">
        <f t="shared" si="3"/>
        <v>736.90672062091051</v>
      </c>
    </row>
    <row r="46" spans="1:6">
      <c r="A46" s="31"/>
    </row>
    <row r="47" spans="1:6">
      <c r="A47" s="31"/>
    </row>
    <row r="48" spans="1:6">
      <c r="A48" s="31"/>
    </row>
  </sheetData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A16" sqref="A16"/>
    </sheetView>
  </sheetViews>
  <sheetFormatPr defaultColWidth="9" defaultRowHeight="13.5"/>
  <cols>
    <col min="1" max="1" width="10.5" customWidth="1"/>
    <col min="2" max="2" width="13.875" customWidth="1"/>
    <col min="5" max="5" width="10.875" customWidth="1"/>
  </cols>
  <sheetData>
    <row r="1" spans="1:7">
      <c r="A1" t="s">
        <v>0</v>
      </c>
      <c r="B1">
        <v>11265</v>
      </c>
      <c r="C1" t="s">
        <v>1</v>
      </c>
      <c r="D1">
        <v>707.5</v>
      </c>
    </row>
    <row r="2" spans="1:7">
      <c r="A2" t="s">
        <v>2</v>
      </c>
      <c r="B2" s="10">
        <v>5.2219499999999997E-10</v>
      </c>
    </row>
    <row r="3" spans="1:7">
      <c r="A3" t="s">
        <v>3</v>
      </c>
      <c r="B3">
        <v>-1.7097600000000001E-4</v>
      </c>
    </row>
    <row r="4" spans="1:7">
      <c r="A4" t="s">
        <v>4</v>
      </c>
      <c r="B4">
        <v>1.56800801</v>
      </c>
    </row>
    <row r="5" spans="1:7">
      <c r="A5" t="s">
        <v>5</v>
      </c>
      <c r="B5">
        <v>-2.9486650000000001E-3</v>
      </c>
    </row>
    <row r="6" spans="1:7">
      <c r="A6" t="s">
        <v>6</v>
      </c>
      <c r="B6" t="s">
        <v>7</v>
      </c>
      <c r="C6" t="s">
        <v>8</v>
      </c>
      <c r="D6" t="s">
        <v>9</v>
      </c>
      <c r="E6" t="s">
        <v>10</v>
      </c>
      <c r="F6" t="s">
        <v>11</v>
      </c>
      <c r="G6" t="s">
        <v>12</v>
      </c>
    </row>
    <row r="7" spans="1:7">
      <c r="A7" s="7">
        <v>42590</v>
      </c>
      <c r="B7" s="1">
        <v>0.63541666666666696</v>
      </c>
      <c r="C7" s="2">
        <v>9347.7999999999993</v>
      </c>
      <c r="D7" s="2">
        <v>16.399999999999999</v>
      </c>
      <c r="E7" s="3">
        <f>($B$2*C7^2+$B$3*C7+$B$4)-$B$5*D7</f>
        <v>6.3746775012623921E-2</v>
      </c>
      <c r="G7" t="s">
        <v>13</v>
      </c>
    </row>
    <row r="8" spans="1:7">
      <c r="A8" s="7">
        <v>42590</v>
      </c>
      <c r="B8" s="1">
        <v>0.75</v>
      </c>
      <c r="C8" s="2">
        <v>7688.2</v>
      </c>
      <c r="D8" s="2">
        <v>6.5</v>
      </c>
      <c r="E8" s="3">
        <f t="shared" ref="E8:E15" si="0">($B$2*C8^2+$B$3*C8+$B$4)-$B$5*D8-$E$7</f>
        <v>0.23979599527240775</v>
      </c>
      <c r="F8" s="4">
        <f>$D$1+102*E8</f>
        <v>731.9591915177856</v>
      </c>
      <c r="G8" t="s">
        <v>25</v>
      </c>
    </row>
    <row r="9" spans="1:7">
      <c r="A9" s="7">
        <v>42591</v>
      </c>
      <c r="B9" s="1">
        <v>0.33333333333333298</v>
      </c>
      <c r="C9" s="2">
        <v>7697.9</v>
      </c>
      <c r="D9" s="2">
        <v>6.3</v>
      </c>
      <c r="E9" s="3">
        <f t="shared" si="0"/>
        <v>0.23762573015395588</v>
      </c>
      <c r="F9" s="4">
        <f t="shared" ref="F9:F15" si="1">$D$1+102*E9</f>
        <v>731.73782447570352</v>
      </c>
    </row>
    <row r="10" spans="1:7">
      <c r="A10" s="7">
        <v>42592</v>
      </c>
      <c r="B10" s="1">
        <v>0.33333333333333298</v>
      </c>
      <c r="C10" s="2">
        <v>7694.5</v>
      </c>
      <c r="D10" s="2">
        <v>6.3</v>
      </c>
      <c r="E10" s="3">
        <f t="shared" si="0"/>
        <v>0.23817971991727477</v>
      </c>
      <c r="F10" s="4">
        <f t="shared" si="1"/>
        <v>731.794331431562</v>
      </c>
    </row>
    <row r="11" spans="1:7">
      <c r="A11" s="7">
        <v>42593</v>
      </c>
      <c r="B11" s="1">
        <v>0.33333333333333298</v>
      </c>
      <c r="C11" s="2">
        <v>7692.6</v>
      </c>
      <c r="D11" s="2">
        <v>6.2</v>
      </c>
      <c r="E11" s="3">
        <f t="shared" si="0"/>
        <v>0.23819444119057398</v>
      </c>
      <c r="F11" s="4">
        <f t="shared" si="1"/>
        <v>731.7958330014385</v>
      </c>
    </row>
    <row r="12" spans="1:7">
      <c r="A12" s="7">
        <v>42594</v>
      </c>
      <c r="B12" s="1">
        <v>0.33333333333333298</v>
      </c>
      <c r="C12" s="2">
        <v>7691.7</v>
      </c>
      <c r="D12" s="2">
        <v>6.2</v>
      </c>
      <c r="E12" s="3">
        <f t="shared" si="0"/>
        <v>0.23834108934648957</v>
      </c>
      <c r="F12" s="4">
        <f t="shared" si="1"/>
        <v>731.81079111334191</v>
      </c>
    </row>
    <row r="13" spans="1:7">
      <c r="A13" s="7">
        <v>42595</v>
      </c>
      <c r="B13" s="1">
        <v>0.33333333333333298</v>
      </c>
      <c r="C13" s="2">
        <v>7690.4</v>
      </c>
      <c r="D13" s="2">
        <v>6.2</v>
      </c>
      <c r="E13" s="3">
        <f t="shared" si="0"/>
        <v>0.23855291595406725</v>
      </c>
      <c r="F13" s="4">
        <f t="shared" si="1"/>
        <v>731.83239742731485</v>
      </c>
    </row>
    <row r="14" spans="1:7">
      <c r="A14" s="7">
        <v>42596</v>
      </c>
      <c r="B14" s="1">
        <v>0.33333333333333298</v>
      </c>
      <c r="C14" s="2">
        <v>7689.3</v>
      </c>
      <c r="D14" s="2">
        <v>6.1</v>
      </c>
      <c r="E14" s="3">
        <f t="shared" si="0"/>
        <v>0.23843728873138159</v>
      </c>
      <c r="F14" s="4">
        <f t="shared" si="1"/>
        <v>731.82060345060097</v>
      </c>
    </row>
    <row r="15" spans="1:7">
      <c r="A15" s="7">
        <v>42602</v>
      </c>
      <c r="B15" s="1">
        <v>0.33333333333333298</v>
      </c>
      <c r="C15" s="2">
        <v>7696.2</v>
      </c>
      <c r="D15" s="2">
        <v>6.1</v>
      </c>
      <c r="E15" s="3">
        <f t="shared" si="0"/>
        <v>0.23731299052647181</v>
      </c>
      <c r="F15" s="4">
        <f t="shared" si="1"/>
        <v>731.70592503370017</v>
      </c>
    </row>
    <row r="16" spans="1:7">
      <c r="B16" s="1"/>
      <c r="C16" s="2"/>
      <c r="D16" s="2"/>
      <c r="E16" s="8"/>
      <c r="F16" s="4"/>
    </row>
    <row r="17" spans="1:7">
      <c r="B17" s="1"/>
      <c r="C17" s="2"/>
      <c r="D17" s="2"/>
      <c r="E17" s="8"/>
      <c r="F17" s="4"/>
    </row>
    <row r="18" spans="1:7">
      <c r="B18" s="1"/>
      <c r="C18" s="2"/>
      <c r="D18" s="2"/>
      <c r="E18" s="8"/>
      <c r="F18" s="4"/>
    </row>
    <row r="19" spans="1:7">
      <c r="B19" s="1"/>
      <c r="C19" s="2"/>
      <c r="D19" s="2"/>
      <c r="E19" s="8"/>
      <c r="F19" s="4"/>
    </row>
    <row r="20" spans="1:7">
      <c r="B20" s="1"/>
      <c r="C20" s="2"/>
      <c r="D20" s="2"/>
      <c r="E20" s="8"/>
      <c r="F20" s="4"/>
      <c r="G20" s="2"/>
    </row>
    <row r="21" spans="1:7">
      <c r="B21" s="1"/>
      <c r="C21" s="2"/>
      <c r="D21" s="2"/>
      <c r="E21" s="8"/>
      <c r="F21" s="4"/>
      <c r="G21" s="2"/>
    </row>
    <row r="22" spans="1:7">
      <c r="B22" s="1"/>
      <c r="C22" s="2"/>
      <c r="E22" s="8"/>
      <c r="F22" s="4"/>
    </row>
    <row r="23" spans="1:7">
      <c r="B23" s="1"/>
      <c r="C23" s="2"/>
      <c r="E23" s="8"/>
      <c r="F23" s="4"/>
    </row>
    <row r="24" spans="1:7">
      <c r="B24" s="1"/>
      <c r="C24" s="2"/>
      <c r="E24" s="8"/>
      <c r="F24" s="4"/>
    </row>
    <row r="25" spans="1:7">
      <c r="A25" s="5"/>
      <c r="B25" s="1"/>
      <c r="C25" s="2"/>
      <c r="E25" s="8"/>
      <c r="F25" s="4"/>
    </row>
    <row r="26" spans="1:7">
      <c r="A26" s="7"/>
      <c r="B26" s="1"/>
      <c r="C26" s="2"/>
      <c r="E26" s="8"/>
      <c r="F26" s="4"/>
    </row>
    <row r="27" spans="1:7">
      <c r="A27" s="7"/>
      <c r="B27" s="9"/>
      <c r="E27" s="8"/>
      <c r="F27" s="4"/>
    </row>
    <row r="28" spans="1:7">
      <c r="A28" s="7"/>
      <c r="B28" s="9"/>
      <c r="E28" s="8"/>
      <c r="F28" s="4"/>
    </row>
    <row r="29" spans="1:7">
      <c r="A29" s="7"/>
      <c r="B29" s="9"/>
      <c r="C29" s="2"/>
      <c r="E29" s="8"/>
      <c r="F29" s="4"/>
    </row>
    <row r="30" spans="1:7">
      <c r="A30" s="7"/>
      <c r="B30" s="9"/>
      <c r="C30" s="2"/>
      <c r="E30" s="8"/>
      <c r="F30" s="4"/>
    </row>
    <row r="31" spans="1:7">
      <c r="A31" s="7"/>
      <c r="B31" s="1"/>
    </row>
  </sheetData>
  <phoneticPr fontId="4" type="noConversion"/>
  <pageMargins left="0.69930555555555596" right="0.69930555555555596" top="0.75" bottom="0.75" header="0.3" footer="0.3"/>
  <pageSetup paperSize="9" orientation="portrait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2"/>
  <sheetViews>
    <sheetView topLeftCell="A55" workbookViewId="0">
      <selection activeCell="A76" sqref="A76:B82"/>
    </sheetView>
  </sheetViews>
  <sheetFormatPr defaultColWidth="9" defaultRowHeight="13.5"/>
  <cols>
    <col min="1" max="1" width="12.125" customWidth="1"/>
    <col min="2" max="2" width="13.875" customWidth="1"/>
    <col min="5" max="5" width="10.875" customWidth="1"/>
  </cols>
  <sheetData>
    <row r="1" spans="1:7">
      <c r="A1" t="s">
        <v>0</v>
      </c>
      <c r="B1">
        <v>50348</v>
      </c>
      <c r="C1" t="s">
        <v>1</v>
      </c>
      <c r="D1">
        <v>728.5</v>
      </c>
    </row>
    <row r="2" spans="1:7">
      <c r="A2" t="s">
        <v>2</v>
      </c>
      <c r="B2">
        <f>3.74734*10^-10</f>
        <v>3.7473399999999999E-10</v>
      </c>
    </row>
    <row r="3" spans="1:7">
      <c r="A3" t="s">
        <v>3</v>
      </c>
      <c r="B3">
        <v>-7.7372000000000004E-5</v>
      </c>
    </row>
    <row r="4" spans="1:7">
      <c r="A4" t="s">
        <v>4</v>
      </c>
      <c r="B4">
        <v>0.69863732000000001</v>
      </c>
    </row>
    <row r="5" spans="1:7">
      <c r="A5" t="s">
        <v>5</v>
      </c>
      <c r="B5">
        <v>-1.0093610000000001E-3</v>
      </c>
    </row>
    <row r="6" spans="1:7">
      <c r="A6" t="s">
        <v>6</v>
      </c>
      <c r="B6" t="s">
        <v>7</v>
      </c>
      <c r="C6" t="s">
        <v>8</v>
      </c>
      <c r="D6" t="s">
        <v>9</v>
      </c>
      <c r="E6" t="s">
        <v>10</v>
      </c>
      <c r="F6" t="s">
        <v>11</v>
      </c>
      <c r="G6" t="s">
        <v>12</v>
      </c>
    </row>
    <row r="7" spans="1:7">
      <c r="A7" s="7">
        <v>42249</v>
      </c>
      <c r="B7" s="1">
        <v>0.91666666666666696</v>
      </c>
      <c r="C7" s="2">
        <v>9423.1</v>
      </c>
      <c r="D7" s="2">
        <v>16.5</v>
      </c>
      <c r="E7" s="3">
        <f>($B$2*C7^2+$B$3*C7+$B$4)-$B$5*D7</f>
        <v>1.9482118983329664E-2</v>
      </c>
      <c r="G7" t="s">
        <v>13</v>
      </c>
    </row>
    <row r="8" spans="1:7">
      <c r="A8" s="7">
        <v>42249</v>
      </c>
      <c r="B8" s="1">
        <v>0.95833333333333304</v>
      </c>
      <c r="C8" s="2">
        <v>9151.2999999999993</v>
      </c>
      <c r="D8" s="2">
        <v>23.5</v>
      </c>
      <c r="E8" s="3">
        <f>($B$2*C8^2+$B$3*C8+$B$4)-$B$5*D8-$E$7</f>
        <v>2.6203383786830885E-2</v>
      </c>
      <c r="F8" s="4">
        <f>$D$1+102*E8</f>
        <v>731.17274514625672</v>
      </c>
      <c r="G8" t="s">
        <v>17</v>
      </c>
    </row>
    <row r="9" spans="1:7">
      <c r="A9" s="7">
        <v>42250</v>
      </c>
      <c r="B9" s="1">
        <v>0.33333333333333298</v>
      </c>
      <c r="C9" s="2">
        <v>9178.1</v>
      </c>
      <c r="D9" s="2">
        <v>23.5</v>
      </c>
      <c r="E9" s="3">
        <f>($B$2*C9^2+$B$3*C9+$B$4)-$B$5*D9-$E$7</f>
        <v>2.4313893990203932E-2</v>
      </c>
      <c r="F9" s="4">
        <f t="shared" ref="F9:F64" si="0">$D$1+102*E9</f>
        <v>730.98001718700084</v>
      </c>
      <c r="G9" t="s">
        <v>25</v>
      </c>
    </row>
    <row r="10" spans="1:7">
      <c r="A10" s="7">
        <v>42251</v>
      </c>
      <c r="B10" s="1">
        <v>0.33333333333333298</v>
      </c>
      <c r="C10" s="2">
        <v>9168.6</v>
      </c>
      <c r="D10" s="2">
        <v>22.8</v>
      </c>
      <c r="E10" s="3">
        <f>($B$2*C10^2+$B$3*C10+$B$4)-$B$5*D10-$E$7</f>
        <v>2.4277061533564914E-2</v>
      </c>
      <c r="F10" s="4">
        <f t="shared" si="0"/>
        <v>730.97626027642366</v>
      </c>
    </row>
    <row r="11" spans="1:7">
      <c r="A11" s="7">
        <v>42252</v>
      </c>
      <c r="B11" s="1">
        <v>0.33333333333333298</v>
      </c>
      <c r="C11" s="2">
        <v>9082.9</v>
      </c>
      <c r="D11" s="2">
        <v>23</v>
      </c>
      <c r="E11" s="3">
        <f t="shared" ref="E11:E19" si="1">($B$2*C11^2+$B$3*C11+$B$4)-$B$5*D11-$E$7</f>
        <v>3.0523572617159222E-2</v>
      </c>
      <c r="F11" s="4">
        <f t="shared" si="0"/>
        <v>731.61340440695028</v>
      </c>
    </row>
    <row r="12" spans="1:7">
      <c r="A12" s="7">
        <v>42253</v>
      </c>
      <c r="B12" s="1">
        <v>0.33333333333333298</v>
      </c>
      <c r="C12" s="2">
        <v>9119.9</v>
      </c>
      <c r="D12" s="2">
        <v>22.7</v>
      </c>
      <c r="E12" s="3">
        <f t="shared" si="1"/>
        <v>2.7610385015201706E-2</v>
      </c>
      <c r="F12" s="4">
        <f t="shared" si="0"/>
        <v>731.31625927155062</v>
      </c>
    </row>
    <row r="13" spans="1:7">
      <c r="A13" s="7">
        <v>42254</v>
      </c>
      <c r="B13" s="1">
        <v>0.33333333333333298</v>
      </c>
      <c r="C13" s="2">
        <v>9101.7999999999993</v>
      </c>
      <c r="D13" s="2">
        <v>22.5</v>
      </c>
      <c r="E13" s="3">
        <f t="shared" si="1"/>
        <v>2.8685353956648587E-2</v>
      </c>
      <c r="F13" s="4">
        <f t="shared" si="0"/>
        <v>731.4259061035782</v>
      </c>
    </row>
    <row r="14" spans="1:7">
      <c r="A14" s="7">
        <v>42255</v>
      </c>
      <c r="B14" s="1">
        <v>0.33333333333333298</v>
      </c>
      <c r="C14" s="2">
        <v>9101.6</v>
      </c>
      <c r="D14" s="2">
        <v>22.5</v>
      </c>
      <c r="E14" s="3">
        <f t="shared" si="1"/>
        <v>2.8699464070069371E-2</v>
      </c>
      <c r="F14" s="4">
        <f t="shared" si="0"/>
        <v>731.42734533514704</v>
      </c>
    </row>
    <row r="15" spans="1:7">
      <c r="A15" s="7">
        <v>42259</v>
      </c>
      <c r="B15" s="1">
        <v>0.33333333333333298</v>
      </c>
      <c r="C15" s="2">
        <v>9080.5</v>
      </c>
      <c r="D15" s="2">
        <v>22.3</v>
      </c>
      <c r="E15" s="3">
        <f t="shared" si="1"/>
        <v>2.9986377252673817E-2</v>
      </c>
      <c r="F15" s="4">
        <f t="shared" si="0"/>
        <v>731.55861047977271</v>
      </c>
    </row>
    <row r="16" spans="1:7">
      <c r="A16" s="7">
        <v>42266</v>
      </c>
      <c r="B16" s="1">
        <v>0.33333333333333298</v>
      </c>
      <c r="C16" s="2">
        <v>9077.9</v>
      </c>
      <c r="D16" s="2">
        <v>22.1</v>
      </c>
      <c r="E16" s="3">
        <f t="shared" si="1"/>
        <v>2.9967980371023207E-2</v>
      </c>
      <c r="F16" s="4">
        <f t="shared" si="0"/>
        <v>731.55673399784439</v>
      </c>
    </row>
    <row r="17" spans="1:7">
      <c r="A17" s="7">
        <v>42273</v>
      </c>
      <c r="B17" s="1">
        <v>0.33333333333333298</v>
      </c>
      <c r="C17" s="2">
        <v>9091.9</v>
      </c>
      <c r="D17" s="2">
        <v>21.4</v>
      </c>
      <c r="E17" s="3">
        <f t="shared" si="1"/>
        <v>2.8273543456688043E-2</v>
      </c>
      <c r="F17" s="4">
        <f t="shared" si="0"/>
        <v>731.38390143258221</v>
      </c>
    </row>
    <row r="18" spans="1:7">
      <c r="A18" s="7">
        <v>42280</v>
      </c>
      <c r="B18" s="1">
        <v>0.33333333333333298</v>
      </c>
      <c r="C18" s="2">
        <v>9094.7000000000007</v>
      </c>
      <c r="D18" s="2">
        <v>20.5</v>
      </c>
      <c r="E18" s="3">
        <f t="shared" si="1"/>
        <v>2.7167559341308264E-2</v>
      </c>
      <c r="F18" s="4">
        <f t="shared" si="0"/>
        <v>731.2710910528134</v>
      </c>
    </row>
    <row r="19" spans="1:7">
      <c r="A19" s="7">
        <v>42287</v>
      </c>
      <c r="B19" s="1">
        <v>0.33333333333333298</v>
      </c>
      <c r="C19" s="2">
        <v>9080.1</v>
      </c>
      <c r="D19" s="2">
        <v>20</v>
      </c>
      <c r="E19" s="3">
        <f t="shared" si="1"/>
        <v>2.7693073594961672E-2</v>
      </c>
      <c r="F19" s="4">
        <f t="shared" si="0"/>
        <v>731.32469350668612</v>
      </c>
    </row>
    <row r="20" spans="1:7">
      <c r="A20" s="7">
        <v>42294</v>
      </c>
      <c r="B20" s="1">
        <v>0.33333333333333298</v>
      </c>
      <c r="C20" s="2">
        <v>9051.2999999999993</v>
      </c>
      <c r="D20" s="2">
        <v>18.899999999999999</v>
      </c>
      <c r="E20" s="3">
        <f t="shared" ref="E20:E26" si="2">($B$2*C20^2+$B$3*C20+$B$4)-$B$5*D20-$E$7</f>
        <v>2.8615409875990882E-2</v>
      </c>
      <c r="F20" s="4">
        <f t="shared" si="0"/>
        <v>731.41877180735105</v>
      </c>
      <c r="G20" s="2"/>
    </row>
    <row r="21" spans="1:7">
      <c r="A21" s="7">
        <v>42301</v>
      </c>
      <c r="B21" s="1">
        <v>0.33333333333333298</v>
      </c>
      <c r="C21" s="2">
        <v>8986.1</v>
      </c>
      <c r="D21" s="2">
        <v>18.5</v>
      </c>
      <c r="E21" s="3">
        <f t="shared" si="2"/>
        <v>3.2815618272226482E-2</v>
      </c>
      <c r="F21" s="4">
        <f t="shared" si="0"/>
        <v>731.84719306376712</v>
      </c>
      <c r="G21" s="2"/>
    </row>
    <row r="22" spans="1:7">
      <c r="A22" s="7">
        <v>42485</v>
      </c>
      <c r="B22" s="1">
        <v>0.33333333333333298</v>
      </c>
      <c r="C22" s="2">
        <v>8883</v>
      </c>
      <c r="D22">
        <v>11.5</v>
      </c>
      <c r="E22" s="3">
        <f t="shared" si="2"/>
        <v>3.3036770446396288E-2</v>
      </c>
      <c r="F22" s="4">
        <f t="shared" si="0"/>
        <v>731.86975058553242</v>
      </c>
    </row>
    <row r="23" spans="1:7">
      <c r="A23" s="7">
        <v>42501</v>
      </c>
      <c r="B23" s="1">
        <v>0.33333333333333298</v>
      </c>
      <c r="C23" s="2">
        <v>8881.5</v>
      </c>
      <c r="D23">
        <v>10.6</v>
      </c>
      <c r="E23" s="3">
        <f t="shared" si="2"/>
        <v>3.2234418103181811E-2</v>
      </c>
      <c r="F23" s="4">
        <f t="shared" si="0"/>
        <v>731.78791064652455</v>
      </c>
    </row>
    <row r="24" spans="1:7">
      <c r="A24" s="7">
        <v>42520</v>
      </c>
      <c r="B24" s="1">
        <v>0.33333333333333298</v>
      </c>
      <c r="C24" s="2">
        <v>8875</v>
      </c>
      <c r="D24">
        <v>9.9</v>
      </c>
      <c r="E24" s="3">
        <f t="shared" si="2"/>
        <v>3.1987532635420368E-2</v>
      </c>
      <c r="F24" s="4">
        <f t="shared" si="0"/>
        <v>731.76272832881284</v>
      </c>
    </row>
    <row r="25" spans="1:7">
      <c r="A25" s="7">
        <v>42531</v>
      </c>
      <c r="B25" s="1">
        <v>0.33333333333333298</v>
      </c>
      <c r="C25" s="2">
        <v>8864.4</v>
      </c>
      <c r="D25">
        <v>9.5</v>
      </c>
      <c r="E25" s="3">
        <f t="shared" si="2"/>
        <v>3.2333467338432523E-2</v>
      </c>
      <c r="F25" s="4">
        <f t="shared" si="0"/>
        <v>731.79801366852007</v>
      </c>
    </row>
    <row r="26" spans="1:7">
      <c r="A26" s="7">
        <v>42544</v>
      </c>
      <c r="B26" s="1">
        <v>0.33333333333333298</v>
      </c>
      <c r="C26" s="2">
        <v>8724</v>
      </c>
      <c r="D26">
        <v>9.3000000000000007</v>
      </c>
      <c r="E26" s="3">
        <f t="shared" si="2"/>
        <v>4.2069251541854341E-2</v>
      </c>
      <c r="F26" s="4">
        <f t="shared" si="0"/>
        <v>732.79106365726909</v>
      </c>
    </row>
    <row r="27" spans="1:7">
      <c r="A27" s="7">
        <v>42551</v>
      </c>
      <c r="B27" s="9">
        <v>0.33333333333333298</v>
      </c>
      <c r="C27">
        <v>8815.4</v>
      </c>
      <c r="D27">
        <v>9.1999999999999993</v>
      </c>
      <c r="E27" s="3">
        <f>($B$2*C27^2+$B$3*C27+$B$4)-$B$5*D27-$E$7</f>
        <v>3.5497251151945713E-2</v>
      </c>
      <c r="F27" s="4">
        <f t="shared" si="0"/>
        <v>732.12071961749848</v>
      </c>
    </row>
    <row r="28" spans="1:7">
      <c r="A28" s="7">
        <v>42561</v>
      </c>
      <c r="B28" s="9">
        <v>0.33333333333333298</v>
      </c>
      <c r="C28">
        <v>8793.4</v>
      </c>
      <c r="D28">
        <v>9.1</v>
      </c>
      <c r="E28" s="3">
        <f>($B$2*C28^2+$B$3*C28+$B$4)-$B$5*D28-$E$7</f>
        <v>3.6953329498643356E-2</v>
      </c>
      <c r="F28" s="4">
        <f t="shared" si="0"/>
        <v>732.26923960886165</v>
      </c>
    </row>
    <row r="29" spans="1:7">
      <c r="A29" s="7">
        <v>42571</v>
      </c>
      <c r="B29" s="9">
        <v>0.33333333333333298</v>
      </c>
      <c r="C29" s="2">
        <v>8778.9</v>
      </c>
      <c r="D29">
        <v>9</v>
      </c>
      <c r="E29" s="3">
        <f>($B$2*C29^2+$B$3*C29+$B$4)-$B$5*D29-$E$7</f>
        <v>3.7878805793754508E-2</v>
      </c>
      <c r="F29" s="4">
        <f t="shared" si="0"/>
        <v>732.363638190963</v>
      </c>
    </row>
    <row r="30" spans="1:7">
      <c r="A30" s="7">
        <v>42581</v>
      </c>
      <c r="B30" s="9">
        <v>0.33333333333333298</v>
      </c>
      <c r="C30" s="2">
        <v>8778.7000000000007</v>
      </c>
      <c r="D30">
        <v>9.8000000000000007</v>
      </c>
      <c r="E30" s="3">
        <f>($B$2*C30^2+$B$3*C30+$B$4)-$B$5*D30-$E$7</f>
        <v>3.8700453107818666E-2</v>
      </c>
      <c r="F30" s="4">
        <f t="shared" si="0"/>
        <v>732.44744621699749</v>
      </c>
    </row>
    <row r="31" spans="1:7">
      <c r="A31" s="7">
        <v>42592</v>
      </c>
      <c r="B31" s="1">
        <v>0.33333333333333298</v>
      </c>
      <c r="C31">
        <v>8789.4</v>
      </c>
      <c r="D31">
        <v>9.1</v>
      </c>
      <c r="E31" s="3">
        <f t="shared" ref="E31:E64" si="3">($B$2*C31^2+$B$3*C31+$B$4)-$B$5*D31-$E$7</f>
        <v>3.723646200674266E-2</v>
      </c>
      <c r="F31" s="4">
        <f t="shared" si="0"/>
        <v>732.29811912468779</v>
      </c>
    </row>
    <row r="32" spans="1:7">
      <c r="A32" s="7">
        <v>42602</v>
      </c>
      <c r="B32" s="1">
        <v>0.33333333333333298</v>
      </c>
      <c r="C32">
        <v>8837.6</v>
      </c>
      <c r="D32">
        <v>9.1999999999999993</v>
      </c>
      <c r="E32" s="3">
        <f t="shared" si="3"/>
        <v>3.3926449732450098E-2</v>
      </c>
      <c r="F32" s="4">
        <f t="shared" si="0"/>
        <v>731.96049787270988</v>
      </c>
    </row>
    <row r="33" spans="1:6">
      <c r="A33" s="7">
        <v>42612</v>
      </c>
      <c r="B33" s="1">
        <v>0.33333333333333298</v>
      </c>
      <c r="C33">
        <v>8807.2000000000007</v>
      </c>
      <c r="D33">
        <v>9.3000000000000007</v>
      </c>
      <c r="E33" s="3">
        <f t="shared" si="3"/>
        <v>3.6178486595360909E-2</v>
      </c>
      <c r="F33" s="4">
        <f t="shared" si="0"/>
        <v>732.19020563272682</v>
      </c>
    </row>
    <row r="34" spans="1:6">
      <c r="A34" s="7">
        <v>42623</v>
      </c>
      <c r="B34" s="1">
        <v>0.33333333333333298</v>
      </c>
      <c r="C34">
        <v>8787.7000000000007</v>
      </c>
      <c r="D34">
        <v>9.5</v>
      </c>
      <c r="E34" s="3">
        <f t="shared" si="3"/>
        <v>3.7760541353857049E-2</v>
      </c>
      <c r="F34" s="4">
        <f t="shared" si="0"/>
        <v>732.35157521809344</v>
      </c>
    </row>
    <row r="35" spans="1:6">
      <c r="A35" s="7">
        <v>42633</v>
      </c>
      <c r="B35" s="1">
        <v>0.33333333333333331</v>
      </c>
      <c r="C35">
        <v>8728.2000000000007</v>
      </c>
      <c r="D35">
        <v>9.6</v>
      </c>
      <c r="E35" s="3">
        <f t="shared" si="3"/>
        <v>4.2074565159256352E-2</v>
      </c>
      <c r="F35" s="4">
        <f t="shared" si="0"/>
        <v>732.79160564624419</v>
      </c>
    </row>
    <row r="36" spans="1:6">
      <c r="A36" s="7">
        <v>42643</v>
      </c>
      <c r="B36" s="1">
        <v>0.33333333333333331</v>
      </c>
      <c r="C36">
        <v>8221</v>
      </c>
      <c r="D36">
        <v>9.8000000000000007</v>
      </c>
      <c r="E36" s="3">
        <f t="shared" si="3"/>
        <v>7.829806462396427E-2</v>
      </c>
      <c r="F36" s="4">
        <f t="shared" si="0"/>
        <v>736.48640259164438</v>
      </c>
    </row>
    <row r="37" spans="1:6">
      <c r="A37" s="7">
        <v>42653</v>
      </c>
      <c r="B37" s="1">
        <v>0.33333333333333331</v>
      </c>
      <c r="C37">
        <v>8249.2000000000007</v>
      </c>
      <c r="D37">
        <v>9.9</v>
      </c>
      <c r="E37" s="3">
        <f t="shared" si="3"/>
        <v>7.6391159142699949E-2</v>
      </c>
      <c r="F37" s="4">
        <f t="shared" si="0"/>
        <v>736.29189823255535</v>
      </c>
    </row>
    <row r="38" spans="1:6">
      <c r="A38" s="7">
        <v>42855</v>
      </c>
      <c r="B38" s="1">
        <v>0.33333333333333331</v>
      </c>
      <c r="C38">
        <v>8356.2999999999993</v>
      </c>
      <c r="D38">
        <v>10.199999999999999</v>
      </c>
      <c r="E38" s="3">
        <f t="shared" si="3"/>
        <v>6.9073871569002895E-2</v>
      </c>
      <c r="F38" s="4">
        <f t="shared" si="0"/>
        <v>735.54553490003832</v>
      </c>
    </row>
    <row r="39" spans="1:6">
      <c r="A39" s="7">
        <v>42865</v>
      </c>
      <c r="B39" s="1">
        <v>0.33333333333333331</v>
      </c>
      <c r="C39">
        <v>8242.2999999999993</v>
      </c>
      <c r="D39">
        <v>10.1</v>
      </c>
      <c r="E39" s="3">
        <f t="shared" si="3"/>
        <v>7.7084256654949168E-2</v>
      </c>
      <c r="F39" s="4">
        <f t="shared" si="0"/>
        <v>736.36259417880478</v>
      </c>
    </row>
    <row r="40" spans="1:6">
      <c r="A40" s="7">
        <v>42875</v>
      </c>
      <c r="B40" s="1">
        <v>0.33333333333333331</v>
      </c>
      <c r="C40">
        <v>8364.4</v>
      </c>
      <c r="D40">
        <v>9.9</v>
      </c>
      <c r="E40" s="3">
        <f t="shared" si="3"/>
        <v>6.8195103168832538E-2</v>
      </c>
      <c r="F40" s="4">
        <f t="shared" si="0"/>
        <v>735.45590052322086</v>
      </c>
    </row>
    <row r="41" spans="1:6">
      <c r="A41" s="7">
        <v>42885</v>
      </c>
      <c r="B41" s="1">
        <v>0.33333333333333331</v>
      </c>
      <c r="C41">
        <v>8328.2999999999993</v>
      </c>
      <c r="D41">
        <v>9.8000000000000007</v>
      </c>
      <c r="E41" s="3">
        <f t="shared" si="3"/>
        <v>7.0661479135903704E-2</v>
      </c>
      <c r="F41" s="4">
        <f t="shared" si="0"/>
        <v>735.70747087186214</v>
      </c>
    </row>
    <row r="42" spans="1:6">
      <c r="A42" s="7">
        <v>42896</v>
      </c>
      <c r="B42" s="1">
        <v>0.33333333333333331</v>
      </c>
      <c r="C42">
        <v>8342.9</v>
      </c>
      <c r="D42">
        <v>9.6</v>
      </c>
      <c r="E42" s="3">
        <f t="shared" si="3"/>
        <v>6.9421185811631272E-2</v>
      </c>
      <c r="F42" s="4">
        <f t="shared" si="0"/>
        <v>735.58096095278643</v>
      </c>
    </row>
    <row r="43" spans="1:6">
      <c r="A43" s="7">
        <v>42906</v>
      </c>
      <c r="B43" s="1">
        <v>0.33333333333333331</v>
      </c>
      <c r="C43">
        <v>8307.9</v>
      </c>
      <c r="D43">
        <v>9.5</v>
      </c>
      <c r="E43" s="3">
        <f t="shared" si="3"/>
        <v>7.180988298057929E-2</v>
      </c>
      <c r="F43" s="4">
        <f t="shared" si="0"/>
        <v>735.82460806401912</v>
      </c>
    </row>
    <row r="44" spans="1:6">
      <c r="A44" s="7">
        <v>42916</v>
      </c>
      <c r="B44" s="1">
        <v>0.33333333333333331</v>
      </c>
      <c r="C44">
        <v>8152.6</v>
      </c>
      <c r="D44">
        <v>9.3000000000000007</v>
      </c>
      <c r="E44" s="3">
        <f t="shared" si="3"/>
        <v>8.266594399179214E-2</v>
      </c>
      <c r="F44" s="4">
        <f t="shared" si="0"/>
        <v>736.93192628716281</v>
      </c>
    </row>
    <row r="45" spans="1:6">
      <c r="A45" s="7">
        <v>42926</v>
      </c>
      <c r="B45" s="1">
        <v>0.33333333333333331</v>
      </c>
      <c r="C45">
        <v>8288.4</v>
      </c>
      <c r="D45">
        <v>9.1999999999999993</v>
      </c>
      <c r="E45" s="3">
        <f t="shared" si="3"/>
        <v>7.2894554321837363E-2</v>
      </c>
      <c r="F45" s="4">
        <f t="shared" si="0"/>
        <v>735.9352445408274</v>
      </c>
    </row>
    <row r="46" spans="1:6">
      <c r="A46" s="7">
        <v>42936</v>
      </c>
      <c r="B46" s="1">
        <v>0.33333333333333331</v>
      </c>
      <c r="C46">
        <v>8425.6</v>
      </c>
      <c r="D46">
        <v>9.1999999999999993</v>
      </c>
      <c r="E46" s="3">
        <f t="shared" si="3"/>
        <v>6.3138441241064519E-2</v>
      </c>
      <c r="F46" s="4">
        <f t="shared" si="0"/>
        <v>734.94012100658858</v>
      </c>
    </row>
    <row r="47" spans="1:6">
      <c r="A47" s="7">
        <v>42946</v>
      </c>
      <c r="B47" s="1">
        <v>0.33333333333333331</v>
      </c>
      <c r="C47">
        <v>8203</v>
      </c>
      <c r="D47">
        <v>9</v>
      </c>
      <c r="E47" s="3">
        <f t="shared" si="3"/>
        <v>7.8772488462076337E-2</v>
      </c>
      <c r="F47" s="4">
        <f t="shared" si="0"/>
        <v>736.53479382313174</v>
      </c>
    </row>
    <row r="48" spans="1:6">
      <c r="A48" s="7">
        <v>42957</v>
      </c>
      <c r="B48" s="1">
        <v>0.33333333333333331</v>
      </c>
      <c r="C48">
        <v>8159.3</v>
      </c>
      <c r="D48">
        <v>8.9</v>
      </c>
      <c r="E48" s="3">
        <f t="shared" si="3"/>
        <v>8.178476176947401E-2</v>
      </c>
      <c r="F48" s="4">
        <f t="shared" si="0"/>
        <v>736.84204570048632</v>
      </c>
    </row>
    <row r="49" spans="1:6">
      <c r="A49" s="7">
        <v>42967</v>
      </c>
      <c r="B49" s="1">
        <v>0.33333333333333331</v>
      </c>
      <c r="C49">
        <v>8183.1</v>
      </c>
      <c r="D49">
        <v>9</v>
      </c>
      <c r="E49" s="3">
        <f t="shared" si="3"/>
        <v>8.0189996729007992E-2</v>
      </c>
      <c r="F49" s="4">
        <f t="shared" si="0"/>
        <v>736.67937966635884</v>
      </c>
    </row>
    <row r="50" spans="1:6">
      <c r="A50" s="7">
        <v>42977</v>
      </c>
      <c r="B50" s="1">
        <v>0.33333333333333331</v>
      </c>
      <c r="C50">
        <v>8155.9</v>
      </c>
      <c r="D50">
        <v>9.1</v>
      </c>
      <c r="E50" s="3">
        <f t="shared" si="3"/>
        <v>8.2228911644940922E-2</v>
      </c>
      <c r="F50" s="4">
        <f t="shared" si="0"/>
        <v>736.88734898778398</v>
      </c>
    </row>
    <row r="51" spans="1:6">
      <c r="A51" s="7">
        <v>42988</v>
      </c>
      <c r="B51" s="1">
        <v>0.33333333333333331</v>
      </c>
      <c r="C51">
        <v>8156</v>
      </c>
      <c r="D51">
        <v>9</v>
      </c>
      <c r="E51" s="3">
        <f t="shared" si="3"/>
        <v>8.2120849607294419E-2</v>
      </c>
      <c r="F51" s="4">
        <f t="shared" si="0"/>
        <v>736.87632665994408</v>
      </c>
    </row>
    <row r="52" spans="1:6">
      <c r="A52" s="7">
        <v>42998</v>
      </c>
      <c r="B52" s="1">
        <v>0.33333333333333331</v>
      </c>
      <c r="C52">
        <v>8163.4</v>
      </c>
      <c r="D52">
        <v>8.8000000000000007</v>
      </c>
      <c r="E52" s="3">
        <f t="shared" si="3"/>
        <v>8.1391678819187352E-2</v>
      </c>
      <c r="F52" s="4">
        <f t="shared" si="0"/>
        <v>736.80195123955707</v>
      </c>
    </row>
    <row r="53" spans="1:6">
      <c r="A53" s="7">
        <v>43008</v>
      </c>
      <c r="B53" s="1">
        <v>0.33333333333333331</v>
      </c>
      <c r="C53">
        <v>8174.3</v>
      </c>
      <c r="D53">
        <v>8.8000000000000007</v>
      </c>
      <c r="E53" s="3">
        <f t="shared" si="3"/>
        <v>8.0615056998409929E-2</v>
      </c>
      <c r="F53" s="4">
        <f t="shared" si="0"/>
        <v>736.72273581383786</v>
      </c>
    </row>
    <row r="54" spans="1:6">
      <c r="A54" s="7">
        <v>43018</v>
      </c>
      <c r="B54" s="1">
        <v>0.33333333333333331</v>
      </c>
      <c r="C54">
        <v>8166.3</v>
      </c>
      <c r="D54">
        <v>8.8000000000000007</v>
      </c>
      <c r="E54" s="3">
        <f t="shared" si="3"/>
        <v>8.1185045971206737E-2</v>
      </c>
      <c r="F54" s="4">
        <f t="shared" si="0"/>
        <v>736.78087468906313</v>
      </c>
    </row>
    <row r="55" spans="1:6">
      <c r="A55" s="7">
        <v>43230</v>
      </c>
      <c r="B55" s="1">
        <v>0.33333333333333331</v>
      </c>
      <c r="C55">
        <v>8167.6</v>
      </c>
      <c r="D55">
        <v>8.6999999999999993</v>
      </c>
      <c r="E55" s="3">
        <f t="shared" si="3"/>
        <v>8.0991483399194153E-2</v>
      </c>
      <c r="F55" s="4">
        <f t="shared" si="0"/>
        <v>736.76113130671786</v>
      </c>
    </row>
    <row r="56" spans="1:6">
      <c r="A56" s="7">
        <v>43240</v>
      </c>
      <c r="B56" s="1">
        <v>0.33333333333333331</v>
      </c>
      <c r="C56">
        <v>8178.2</v>
      </c>
      <c r="D56">
        <v>8.6999999999999993</v>
      </c>
      <c r="E56" s="3">
        <f t="shared" si="3"/>
        <v>8.0236268665576538E-2</v>
      </c>
      <c r="F56" s="4">
        <f t="shared" si="0"/>
        <v>736.68409940388881</v>
      </c>
    </row>
    <row r="57" spans="1:6">
      <c r="A57" s="7">
        <v>43250</v>
      </c>
      <c r="B57" s="1">
        <v>0.33333333333333331</v>
      </c>
      <c r="C57">
        <v>8200.9</v>
      </c>
      <c r="D57">
        <v>8.6</v>
      </c>
      <c r="E57" s="3">
        <f t="shared" si="3"/>
        <v>7.8518316354044881E-2</v>
      </c>
      <c r="F57" s="4">
        <f t="shared" si="0"/>
        <v>736.50886826811256</v>
      </c>
    </row>
    <row r="58" spans="1:6">
      <c r="A58" s="7">
        <v>43261</v>
      </c>
      <c r="B58" s="1">
        <v>0.33333333333333331</v>
      </c>
      <c r="C58">
        <v>8106.2</v>
      </c>
      <c r="D58">
        <v>8.6</v>
      </c>
      <c r="E58" s="3">
        <f t="shared" si="3"/>
        <v>8.5266749644405226E-2</v>
      </c>
      <c r="F58" s="4">
        <f t="shared" si="0"/>
        <v>737.19720846372934</v>
      </c>
    </row>
    <row r="59" spans="1:6">
      <c r="A59" s="7">
        <v>43271</v>
      </c>
      <c r="B59" s="1">
        <v>0.33333333333333331</v>
      </c>
      <c r="C59">
        <v>7989.5</v>
      </c>
      <c r="D59">
        <v>8.6</v>
      </c>
      <c r="E59" s="3">
        <f t="shared" si="3"/>
        <v>9.3592173619093832E-2</v>
      </c>
      <c r="F59" s="4">
        <f t="shared" si="0"/>
        <v>738.04640170914752</v>
      </c>
    </row>
    <row r="60" spans="1:6">
      <c r="A60" s="7">
        <v>43281</v>
      </c>
      <c r="B60" s="1">
        <v>0.33333333333333331</v>
      </c>
      <c r="C60">
        <v>8053.3</v>
      </c>
      <c r="D60">
        <v>8.8000000000000007</v>
      </c>
      <c r="E60" s="3">
        <f t="shared" si="3"/>
        <v>8.9241263949943639E-2</v>
      </c>
      <c r="F60" s="4">
        <f t="shared" si="0"/>
        <v>737.60260892289421</v>
      </c>
    </row>
    <row r="61" spans="1:6">
      <c r="A61" s="7">
        <v>43291</v>
      </c>
      <c r="B61" s="1">
        <v>0.33333333333333331</v>
      </c>
      <c r="C61">
        <v>8117.2</v>
      </c>
      <c r="D61">
        <v>8.6</v>
      </c>
      <c r="E61" s="3">
        <f t="shared" si="3"/>
        <v>8.4482531699736907E-2</v>
      </c>
      <c r="F61" s="4">
        <f t="shared" si="0"/>
        <v>737.11721823337314</v>
      </c>
    </row>
    <row r="62" spans="1:6">
      <c r="A62" s="7">
        <v>43301</v>
      </c>
      <c r="B62" s="1">
        <v>0.33333333333333331</v>
      </c>
      <c r="C62">
        <v>8103.4</v>
      </c>
      <c r="D62">
        <v>8.5</v>
      </c>
      <c r="E62" s="3">
        <f t="shared" si="3"/>
        <v>8.5365447137315309E-2</v>
      </c>
      <c r="F62" s="4">
        <f t="shared" si="0"/>
        <v>737.20727560800617</v>
      </c>
    </row>
    <row r="63" spans="1:6">
      <c r="A63" s="7">
        <v>43311</v>
      </c>
      <c r="B63" s="1">
        <v>0.33333333333333331</v>
      </c>
      <c r="C63">
        <v>8102.1</v>
      </c>
      <c r="D63">
        <v>8.3000000000000007</v>
      </c>
      <c r="E63" s="3">
        <f t="shared" si="3"/>
        <v>8.5256263959927261E-2</v>
      </c>
      <c r="F63" s="4">
        <f t="shared" si="0"/>
        <v>737.1961389239126</v>
      </c>
    </row>
    <row r="64" spans="1:6">
      <c r="A64" s="7">
        <v>43322</v>
      </c>
      <c r="B64" s="1">
        <v>0.33333333333333331</v>
      </c>
      <c r="C64">
        <v>8061.6</v>
      </c>
      <c r="D64">
        <v>8.4</v>
      </c>
      <c r="E64" s="3">
        <f t="shared" si="3"/>
        <v>8.8245453997717285E-2</v>
      </c>
      <c r="F64" s="4">
        <f t="shared" si="0"/>
        <v>737.50103630776721</v>
      </c>
    </row>
    <row r="65" spans="1:6">
      <c r="A65" s="7">
        <v>43332</v>
      </c>
      <c r="B65" s="1">
        <v>0.33333333333333331</v>
      </c>
      <c r="C65">
        <v>8092.4</v>
      </c>
      <c r="D65">
        <v>8.1999999999999993</v>
      </c>
      <c r="E65" s="3">
        <f t="shared" ref="E65:E70" si="4">($B$2*C65^2+$B$3*C65+$B$4)-$B$5*D65-$E$7</f>
        <v>8.5846970551226212E-2</v>
      </c>
      <c r="F65" s="4">
        <f t="shared" ref="F65:F70" si="5">$D$1+102*E65</f>
        <v>737.25639099622504</v>
      </c>
    </row>
    <row r="66" spans="1:6">
      <c r="A66" s="7">
        <v>43342</v>
      </c>
      <c r="B66" s="1">
        <v>0.33333333333333331</v>
      </c>
      <c r="C66">
        <v>8025.6</v>
      </c>
      <c r="D66">
        <v>8.4</v>
      </c>
      <c r="E66" s="3">
        <f t="shared" si="4"/>
        <v>9.0813822848744577E-2</v>
      </c>
      <c r="F66" s="4">
        <f t="shared" si="5"/>
        <v>737.76300993057191</v>
      </c>
    </row>
    <row r="67" spans="1:6">
      <c r="A67" s="7">
        <v>43353</v>
      </c>
      <c r="B67" s="1">
        <v>0.33333333333333331</v>
      </c>
      <c r="C67">
        <v>7918</v>
      </c>
      <c r="D67">
        <v>8.6999999999999993</v>
      </c>
      <c r="E67" s="3">
        <f t="shared" si="4"/>
        <v>9.879899042008633E-2</v>
      </c>
      <c r="F67" s="4">
        <f t="shared" si="5"/>
        <v>738.57749702284877</v>
      </c>
    </row>
    <row r="68" spans="1:6">
      <c r="A68" s="7">
        <v>43363</v>
      </c>
      <c r="B68" s="1">
        <v>0.33333333333333331</v>
      </c>
      <c r="C68">
        <v>8038.9</v>
      </c>
      <c r="D68">
        <v>8.1999999999999993</v>
      </c>
      <c r="E68" s="3">
        <f t="shared" si="4"/>
        <v>8.9662967909506522E-2</v>
      </c>
      <c r="F68" s="4">
        <f t="shared" si="5"/>
        <v>737.64562272676972</v>
      </c>
    </row>
    <row r="69" spans="1:6">
      <c r="A69" s="7">
        <v>43373</v>
      </c>
      <c r="B69" s="1">
        <v>0.33333333333333331</v>
      </c>
      <c r="C69">
        <v>8049.2</v>
      </c>
      <c r="D69">
        <v>7.8</v>
      </c>
      <c r="E69" s="3">
        <f t="shared" si="4"/>
        <v>8.8524388117580094E-2</v>
      </c>
      <c r="F69" s="4">
        <f t="shared" si="5"/>
        <v>737.52948758799312</v>
      </c>
    </row>
    <row r="70" spans="1:6">
      <c r="A70" s="7">
        <v>43383</v>
      </c>
      <c r="B70" s="1">
        <v>0.33333333333333331</v>
      </c>
      <c r="C70">
        <v>8049.9</v>
      </c>
      <c r="D70">
        <v>7.8</v>
      </c>
      <c r="E70" s="3">
        <f t="shared" si="4"/>
        <v>8.8474450733677629E-2</v>
      </c>
      <c r="F70" s="4">
        <f t="shared" si="5"/>
        <v>737.52439397483511</v>
      </c>
    </row>
    <row r="71" spans="1:6">
      <c r="A71" s="7">
        <v>43393</v>
      </c>
      <c r="B71" s="1">
        <v>0.33333333333333331</v>
      </c>
      <c r="C71">
        <v>8051.4</v>
      </c>
      <c r="D71">
        <v>7.6</v>
      </c>
      <c r="E71" s="3">
        <f t="shared" ref="E71:E82" si="6">($B$2*C71^2+$B$3*C71+$B$4)-$B$5*D71-$E$7</f>
        <v>8.8165571090509029E-2</v>
      </c>
      <c r="F71" s="4">
        <f t="shared" ref="F71:F82" si="7">$D$1+102*E71</f>
        <v>737.49288825123188</v>
      </c>
    </row>
    <row r="72" spans="1:6">
      <c r="A72" s="32">
        <v>43605</v>
      </c>
      <c r="B72" s="1">
        <v>0.33333333333333331</v>
      </c>
      <c r="C72">
        <v>8148.4</v>
      </c>
      <c r="D72">
        <v>7.4</v>
      </c>
      <c r="E72" s="3">
        <f t="shared" si="6"/>
        <v>8.1047464628269394E-2</v>
      </c>
      <c r="F72" s="4">
        <f t="shared" si="7"/>
        <v>736.76684139208351</v>
      </c>
    </row>
    <row r="73" spans="1:6">
      <c r="A73" s="32">
        <v>43615</v>
      </c>
      <c r="B73" s="1">
        <v>0.33333333333333331</v>
      </c>
      <c r="C73">
        <v>8148</v>
      </c>
      <c r="D73">
        <v>7.5</v>
      </c>
      <c r="E73" s="3">
        <f t="shared" si="6"/>
        <v>8.1176906802206281E-2</v>
      </c>
      <c r="F73" s="4">
        <f t="shared" si="7"/>
        <v>736.78004449382502</v>
      </c>
    </row>
    <row r="74" spans="1:6">
      <c r="A74" s="32">
        <v>43626</v>
      </c>
      <c r="B74" s="1">
        <v>0.33333333333333331</v>
      </c>
      <c r="C74">
        <v>8149.2</v>
      </c>
      <c r="D74">
        <v>7.5</v>
      </c>
      <c r="E74" s="3">
        <f t="shared" si="6"/>
        <v>8.109138894014005E-2</v>
      </c>
      <c r="F74" s="4">
        <f t="shared" si="7"/>
        <v>736.77132167189427</v>
      </c>
    </row>
    <row r="75" spans="1:6">
      <c r="A75" s="32">
        <v>43636</v>
      </c>
      <c r="B75" s="1">
        <v>0.33333333333333331</v>
      </c>
      <c r="C75">
        <v>8150.7</v>
      </c>
      <c r="D75">
        <v>7.6</v>
      </c>
      <c r="E75" s="3">
        <f t="shared" si="6"/>
        <v>8.1085429230229975E-2</v>
      </c>
      <c r="F75" s="4">
        <f t="shared" si="7"/>
        <v>736.77071378148344</v>
      </c>
    </row>
    <row r="76" spans="1:6">
      <c r="A76" s="7">
        <v>43646</v>
      </c>
      <c r="B76" s="1">
        <v>0.33333333333333331</v>
      </c>
      <c r="C76">
        <v>8027.6</v>
      </c>
      <c r="D76">
        <v>7.7</v>
      </c>
      <c r="E76" s="3">
        <f t="shared" si="6"/>
        <v>8.9964557508442053E-2</v>
      </c>
      <c r="F76" s="4">
        <f t="shared" si="7"/>
        <v>737.67638486586111</v>
      </c>
    </row>
    <row r="77" spans="1:6">
      <c r="A77" s="7">
        <v>43656</v>
      </c>
      <c r="B77" s="1">
        <v>0.33333333333333331</v>
      </c>
      <c r="C77">
        <v>8027.3</v>
      </c>
      <c r="D77">
        <v>7.6</v>
      </c>
      <c r="E77" s="3">
        <f t="shared" si="6"/>
        <v>8.9885028113373164E-2</v>
      </c>
      <c r="F77" s="4">
        <f t="shared" si="7"/>
        <v>737.66827286756404</v>
      </c>
    </row>
    <row r="78" spans="1:6">
      <c r="A78" s="7">
        <v>43666</v>
      </c>
      <c r="B78" s="1">
        <v>0.33333333333333331</v>
      </c>
      <c r="C78">
        <v>8015.4</v>
      </c>
      <c r="D78">
        <v>7.6</v>
      </c>
      <c r="E78" s="3">
        <f t="shared" si="6"/>
        <v>9.0734215146185723E-2</v>
      </c>
      <c r="F78" s="4">
        <f t="shared" si="7"/>
        <v>737.75488994491093</v>
      </c>
    </row>
    <row r="79" spans="1:6">
      <c r="A79" s="7">
        <v>43676</v>
      </c>
      <c r="B79" s="1">
        <v>0.33333333333333331</v>
      </c>
      <c r="C79">
        <v>8014.2</v>
      </c>
      <c r="D79">
        <v>7.5</v>
      </c>
      <c r="E79" s="3">
        <f t="shared" si="6"/>
        <v>9.0718917242834138E-2</v>
      </c>
      <c r="F79" s="4">
        <f t="shared" si="7"/>
        <v>737.75332955876911</v>
      </c>
    </row>
    <row r="80" spans="1:6">
      <c r="A80" s="7">
        <v>43687</v>
      </c>
      <c r="B80" s="1">
        <v>0.33333333333333331</v>
      </c>
      <c r="C80">
        <v>8013.9</v>
      </c>
      <c r="D80">
        <v>7.5</v>
      </c>
      <c r="E80" s="3">
        <f t="shared" si="6"/>
        <v>9.0740326960626436E-2</v>
      </c>
      <c r="F80" s="4">
        <f t="shared" si="7"/>
        <v>737.75551334998386</v>
      </c>
    </row>
    <row r="81" spans="1:6">
      <c r="A81" s="7">
        <v>43697</v>
      </c>
      <c r="B81" s="1">
        <v>0.33333333333333331</v>
      </c>
      <c r="C81">
        <v>8001.5</v>
      </c>
      <c r="D81">
        <v>7.4</v>
      </c>
      <c r="E81" s="3">
        <f t="shared" si="6"/>
        <v>9.1524384875821818E-2</v>
      </c>
      <c r="F81" s="4">
        <f t="shared" si="7"/>
        <v>737.83548725733385</v>
      </c>
    </row>
    <row r="82" spans="1:6">
      <c r="A82" s="7">
        <v>43707</v>
      </c>
      <c r="B82" s="1">
        <v>0.33333333333333331</v>
      </c>
      <c r="C82">
        <v>7965.2</v>
      </c>
      <c r="D82">
        <v>7.5</v>
      </c>
      <c r="E82" s="3">
        <f t="shared" si="6"/>
        <v>9.4216732043333737E-2</v>
      </c>
      <c r="F82" s="4">
        <f t="shared" si="7"/>
        <v>738.11010666842003</v>
      </c>
    </row>
  </sheetData>
  <phoneticPr fontId="4" type="noConversion"/>
  <pageMargins left="0.69930555555555596" right="0.69930555555555596" top="0.75" bottom="0.75" header="0.3" footer="0.3"/>
  <pageSetup paperSize="9" orientation="portrait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2"/>
  <sheetViews>
    <sheetView topLeftCell="A56" workbookViewId="0">
      <selection activeCell="A76" sqref="A76:B82"/>
    </sheetView>
  </sheetViews>
  <sheetFormatPr defaultColWidth="9" defaultRowHeight="13.5"/>
  <cols>
    <col min="1" max="1" width="12.75" customWidth="1"/>
    <col min="2" max="2" width="13.875" customWidth="1"/>
    <col min="5" max="5" width="10.875" customWidth="1"/>
  </cols>
  <sheetData>
    <row r="1" spans="1:7">
      <c r="A1" t="s">
        <v>0</v>
      </c>
      <c r="B1">
        <v>50301</v>
      </c>
      <c r="C1" t="s">
        <v>1</v>
      </c>
      <c r="D1">
        <v>728.5</v>
      </c>
    </row>
    <row r="2" spans="1:7">
      <c r="A2" t="s">
        <v>2</v>
      </c>
      <c r="B2">
        <f>-5.67994*10^-10</f>
        <v>-5.6799400000000006E-10</v>
      </c>
    </row>
    <row r="3" spans="1:7">
      <c r="A3" t="s">
        <v>3</v>
      </c>
      <c r="B3">
        <v>-5.2117000000000003E-5</v>
      </c>
    </row>
    <row r="4" spans="1:7">
      <c r="A4" t="s">
        <v>4</v>
      </c>
      <c r="B4">
        <v>0.51786430999999999</v>
      </c>
    </row>
    <row r="5" spans="1:7">
      <c r="A5" t="s">
        <v>5</v>
      </c>
      <c r="B5">
        <v>-1.4710140000000001E-3</v>
      </c>
    </row>
    <row r="6" spans="1:7">
      <c r="A6" t="s">
        <v>6</v>
      </c>
      <c r="B6" t="s">
        <v>7</v>
      </c>
      <c r="C6" t="s">
        <v>8</v>
      </c>
      <c r="D6" t="s">
        <v>9</v>
      </c>
      <c r="E6" t="s">
        <v>10</v>
      </c>
      <c r="F6" t="s">
        <v>11</v>
      </c>
      <c r="G6" t="s">
        <v>12</v>
      </c>
    </row>
    <row r="7" spans="1:7">
      <c r="A7" s="7">
        <v>42249</v>
      </c>
      <c r="B7" s="1">
        <v>0.91666666666666696</v>
      </c>
      <c r="C7" s="2">
        <v>9014</v>
      </c>
      <c r="D7" s="2">
        <v>16.7</v>
      </c>
      <c r="E7" s="3">
        <f>($B$2*C7^2+$B$3*C7+$B$4)-$B$5*D7</f>
        <v>2.6496845985175939E-2</v>
      </c>
      <c r="G7" t="s">
        <v>13</v>
      </c>
    </row>
    <row r="8" spans="1:7">
      <c r="A8" s="7">
        <v>42249</v>
      </c>
      <c r="B8" s="1">
        <v>0.95833333333333304</v>
      </c>
      <c r="C8" s="2">
        <v>8985.6</v>
      </c>
      <c r="D8" s="2">
        <v>24.3</v>
      </c>
      <c r="E8" s="3">
        <f>($B$2*C8^2+$B$3*C8+$B$4)-$B$5*D8-$E$7</f>
        <v>1.2950181280388176E-2</v>
      </c>
      <c r="F8" s="4">
        <f>$D$1+102*E8</f>
        <v>729.82091849059964</v>
      </c>
      <c r="G8" t="s">
        <v>17</v>
      </c>
    </row>
    <row r="9" spans="1:7">
      <c r="A9" s="7">
        <v>42250</v>
      </c>
      <c r="B9" s="1">
        <v>0.33333333333333298</v>
      </c>
      <c r="C9" s="2">
        <v>8943.4</v>
      </c>
      <c r="D9" s="2">
        <v>24.5</v>
      </c>
      <c r="E9" s="3">
        <f>($B$2*C9^2+$B$3*C9+$B$4)-$B$5*D9-$E$7</f>
        <v>1.5873467899165418E-2</v>
      </c>
      <c r="F9" s="4">
        <f t="shared" ref="F9:F64" si="0">$D$1+102*E9</f>
        <v>730.11909372571483</v>
      </c>
      <c r="G9" t="s">
        <v>25</v>
      </c>
    </row>
    <row r="10" spans="1:7">
      <c r="A10" s="7">
        <v>42251</v>
      </c>
      <c r="B10" s="1">
        <v>0.33333333333333298</v>
      </c>
      <c r="C10" s="2">
        <v>8910.4</v>
      </c>
      <c r="D10" s="2">
        <v>24.2</v>
      </c>
      <c r="E10" s="3">
        <f>($B$2*C10^2+$B$3*C10+$B$4)-$B$5*D10-$E$7</f>
        <v>1.7486672791312968E-2</v>
      </c>
      <c r="F10" s="4">
        <f t="shared" si="0"/>
        <v>730.28364062471394</v>
      </c>
    </row>
    <row r="11" spans="1:7">
      <c r="A11" s="7">
        <v>42252</v>
      </c>
      <c r="B11" s="1">
        <v>0.33333333333333298</v>
      </c>
      <c r="C11" s="2">
        <v>8576.6</v>
      </c>
      <c r="D11" s="2">
        <v>23.9</v>
      </c>
      <c r="E11" s="3">
        <f t="shared" ref="E11:E26" si="1">($B$2*C11^2+$B$3*C11+$B$4)-$B$5*D11-$E$7</f>
        <v>3.7757495389149374E-2</v>
      </c>
      <c r="F11" s="4">
        <f t="shared" si="0"/>
        <v>732.35126452969325</v>
      </c>
      <c r="G11" s="2"/>
    </row>
    <row r="12" spans="1:7">
      <c r="A12" s="7">
        <v>42253</v>
      </c>
      <c r="B12" s="1">
        <v>0.33333333333333298</v>
      </c>
      <c r="C12" s="2">
        <v>8583.4</v>
      </c>
      <c r="D12" s="2">
        <v>23.7</v>
      </c>
      <c r="E12" s="3">
        <f t="shared" si="1"/>
        <v>3.7042618905277429E-2</v>
      </c>
      <c r="F12" s="4">
        <f t="shared" si="0"/>
        <v>732.27834712833828</v>
      </c>
      <c r="G12" s="2"/>
    </row>
    <row r="13" spans="1:7">
      <c r="A13" s="7">
        <v>42254</v>
      </c>
      <c r="B13" s="1">
        <v>0.33333333333333298</v>
      </c>
      <c r="C13" s="2">
        <v>8580.7999999999993</v>
      </c>
      <c r="D13" s="2">
        <v>23.4</v>
      </c>
      <c r="E13" s="3">
        <f t="shared" si="1"/>
        <v>3.6762166728075911E-2</v>
      </c>
      <c r="F13" s="4">
        <f t="shared" si="0"/>
        <v>732.24974100626378</v>
      </c>
      <c r="G13" s="2"/>
    </row>
    <row r="14" spans="1:7">
      <c r="A14" s="7">
        <v>42255</v>
      </c>
      <c r="B14" s="1">
        <v>0.33333333333333298</v>
      </c>
      <c r="C14" s="2">
        <v>8587.2000000000007</v>
      </c>
      <c r="D14" s="2">
        <v>23.4</v>
      </c>
      <c r="E14" s="3">
        <f t="shared" si="1"/>
        <v>3.6366209473727033E-2</v>
      </c>
      <c r="F14" s="4">
        <f t="shared" si="0"/>
        <v>732.2093533663201</v>
      </c>
      <c r="G14" s="2"/>
    </row>
    <row r="15" spans="1:7">
      <c r="A15" s="7">
        <v>42259</v>
      </c>
      <c r="B15" s="1">
        <v>0.33333333333333298</v>
      </c>
      <c r="C15" s="2">
        <v>8567.4</v>
      </c>
      <c r="D15" s="2">
        <v>23</v>
      </c>
      <c r="E15" s="3">
        <f t="shared" si="1"/>
        <v>3.7002645929200655E-2</v>
      </c>
      <c r="F15" s="4">
        <f t="shared" si="0"/>
        <v>732.27426988477851</v>
      </c>
      <c r="G15" s="2"/>
    </row>
    <row r="16" spans="1:7">
      <c r="A16" s="7">
        <v>42266</v>
      </c>
      <c r="B16" s="1">
        <v>0.33333333333333298</v>
      </c>
      <c r="C16" s="2">
        <v>8561.7000000000007</v>
      </c>
      <c r="D16" s="2">
        <v>22.6</v>
      </c>
      <c r="E16" s="3">
        <f t="shared" si="1"/>
        <v>3.6766763817545296E-2</v>
      </c>
      <c r="F16" s="4">
        <f t="shared" si="0"/>
        <v>732.25020990938958</v>
      </c>
      <c r="G16" s="2"/>
    </row>
    <row r="17" spans="1:7">
      <c r="A17" s="7">
        <v>42273</v>
      </c>
      <c r="B17" s="1">
        <v>0.33333333333333298</v>
      </c>
      <c r="C17" s="2">
        <v>8561.2999999999993</v>
      </c>
      <c r="D17" s="2">
        <v>21.8</v>
      </c>
      <c r="E17" s="3">
        <f t="shared" si="1"/>
        <v>3.5614689722050195E-2</v>
      </c>
      <c r="F17" s="4">
        <f t="shared" si="0"/>
        <v>732.13269835164908</v>
      </c>
      <c r="G17" s="2"/>
    </row>
    <row r="18" spans="1:7">
      <c r="A18" s="7">
        <v>42280</v>
      </c>
      <c r="B18" s="1">
        <v>0.33333333333333298</v>
      </c>
      <c r="C18" s="2">
        <v>8619.2999999999993</v>
      </c>
      <c r="D18" s="2">
        <v>20.9</v>
      </c>
      <c r="E18" s="3">
        <f t="shared" si="1"/>
        <v>3.0701999414499019E-2</v>
      </c>
      <c r="F18" s="4">
        <f t="shared" si="0"/>
        <v>731.63160394027886</v>
      </c>
      <c r="G18" s="2"/>
    </row>
    <row r="19" spans="1:7">
      <c r="A19" s="7">
        <v>42287</v>
      </c>
      <c r="B19" s="1">
        <v>0.33333333333333298</v>
      </c>
      <c r="C19" s="2">
        <v>8608.5</v>
      </c>
      <c r="D19" s="2">
        <v>20.6</v>
      </c>
      <c r="E19" s="3">
        <f t="shared" si="1"/>
        <v>3.0929239914457556E-2</v>
      </c>
      <c r="F19" s="4">
        <f t="shared" si="0"/>
        <v>731.65478247127464</v>
      </c>
      <c r="G19" s="2"/>
    </row>
    <row r="20" spans="1:7">
      <c r="A20" s="7">
        <v>42294</v>
      </c>
      <c r="B20" s="1">
        <v>0.33333333333333298</v>
      </c>
      <c r="C20" s="2">
        <v>8594.7999999999993</v>
      </c>
      <c r="D20" s="2">
        <v>19.399999999999999</v>
      </c>
      <c r="E20" s="3">
        <f t="shared" si="1"/>
        <v>3.0011893799626273E-2</v>
      </c>
      <c r="F20" s="4">
        <f t="shared" si="0"/>
        <v>731.56121316756185</v>
      </c>
      <c r="G20" s="2"/>
    </row>
    <row r="21" spans="1:7">
      <c r="A21" s="7">
        <v>42301</v>
      </c>
      <c r="B21" s="1">
        <v>0.33333333333333298</v>
      </c>
      <c r="C21" s="2">
        <v>8540.4</v>
      </c>
      <c r="D21" s="2">
        <v>19</v>
      </c>
      <c r="E21" s="3">
        <f t="shared" si="1"/>
        <v>3.2788111378537009E-2</v>
      </c>
      <c r="F21" s="4">
        <f t="shared" si="0"/>
        <v>731.84438736061077</v>
      </c>
      <c r="G21" s="2"/>
    </row>
    <row r="22" spans="1:7">
      <c r="A22" s="7">
        <v>42485</v>
      </c>
      <c r="B22" s="1">
        <v>0.33333333333333298</v>
      </c>
      <c r="C22" s="2">
        <v>8338.7999999999993</v>
      </c>
      <c r="D22" s="2">
        <v>11.4</v>
      </c>
      <c r="E22" s="3">
        <f t="shared" si="1"/>
        <v>3.4047988698416749E-2</v>
      </c>
      <c r="F22" s="4">
        <f t="shared" si="0"/>
        <v>731.97289484723854</v>
      </c>
      <c r="G22" s="2"/>
    </row>
    <row r="23" spans="1:7">
      <c r="A23" s="7">
        <v>42501</v>
      </c>
      <c r="B23" s="1">
        <v>0.33333333333333298</v>
      </c>
      <c r="C23">
        <v>8354.2999999999993</v>
      </c>
      <c r="D23">
        <v>10.7</v>
      </c>
      <c r="E23" s="3">
        <f t="shared" si="1"/>
        <v>3.2063500898474991E-2</v>
      </c>
      <c r="F23" s="4">
        <f t="shared" si="0"/>
        <v>731.77047709164447</v>
      </c>
    </row>
    <row r="24" spans="1:7">
      <c r="A24" s="7">
        <v>42520</v>
      </c>
      <c r="B24" s="1">
        <v>0.33333333333333298</v>
      </c>
      <c r="C24" s="2">
        <v>8374</v>
      </c>
      <c r="D24">
        <v>10.1</v>
      </c>
      <c r="E24" s="3">
        <f t="shared" si="1"/>
        <v>2.9967006590080052E-2</v>
      </c>
      <c r="F24" s="4">
        <f t="shared" si="0"/>
        <v>731.55663467218812</v>
      </c>
    </row>
    <row r="25" spans="1:7">
      <c r="A25" s="7">
        <v>42531</v>
      </c>
      <c r="B25" s="1">
        <v>0.33333333333333298</v>
      </c>
      <c r="C25" s="2">
        <v>8357.4</v>
      </c>
      <c r="D25" s="2">
        <v>9.8000000000000007</v>
      </c>
      <c r="E25" s="3">
        <f t="shared" si="1"/>
        <v>3.0548599947952601E-2</v>
      </c>
      <c r="F25" s="4">
        <f t="shared" si="0"/>
        <v>731.61595719469119</v>
      </c>
    </row>
    <row r="26" spans="1:7">
      <c r="A26" s="6">
        <v>42544</v>
      </c>
      <c r="B26" s="1">
        <v>0.33333333333333298</v>
      </c>
      <c r="C26" s="2">
        <v>8221.1</v>
      </c>
      <c r="D26" s="2">
        <v>9.8000000000000007</v>
      </c>
      <c r="E26" s="3">
        <f t="shared" si="1"/>
        <v>3.893561443445525E-2</v>
      </c>
      <c r="F26" s="4">
        <f t="shared" si="0"/>
        <v>732.47143267231445</v>
      </c>
    </row>
    <row r="27" spans="1:7">
      <c r="A27" s="7">
        <v>42551</v>
      </c>
      <c r="B27" s="9">
        <v>0.33333333333333298</v>
      </c>
      <c r="C27">
        <v>8317.7999999999993</v>
      </c>
      <c r="D27">
        <v>9.5</v>
      </c>
      <c r="E27" s="3">
        <f>($B$2*C27^2+$B$3*C27+$B$4)-$B$5*D27-$E$7</f>
        <v>3.2546196924485161E-2</v>
      </c>
      <c r="F27" s="4">
        <f t="shared" si="0"/>
        <v>731.8197120862975</v>
      </c>
    </row>
    <row r="28" spans="1:7">
      <c r="A28" s="7">
        <v>42561</v>
      </c>
      <c r="B28" s="9">
        <v>0.33333333333333298</v>
      </c>
      <c r="C28">
        <v>8294.6</v>
      </c>
      <c r="D28">
        <v>9.4</v>
      </c>
      <c r="E28" s="3">
        <f>($B$2*C28^2+$B$3*C28+$B$4)-$B$5*D28-$E$7</f>
        <v>3.382711917427899E-2</v>
      </c>
      <c r="F28" s="4">
        <f t="shared" si="0"/>
        <v>731.95036615577646</v>
      </c>
    </row>
    <row r="29" spans="1:7">
      <c r="A29" s="7">
        <v>42571</v>
      </c>
      <c r="B29" s="9">
        <v>0.33333333333333298</v>
      </c>
      <c r="C29" s="2">
        <v>8290.4</v>
      </c>
      <c r="D29">
        <v>9.4</v>
      </c>
      <c r="E29" s="3">
        <f>($B$2*C29^2+$B$3*C29+$B$4)-$B$5*D29-$E$7</f>
        <v>3.4085575332337019E-2</v>
      </c>
      <c r="F29" s="4">
        <f t="shared" si="0"/>
        <v>731.97672868389839</v>
      </c>
    </row>
    <row r="30" spans="1:7">
      <c r="A30" s="7">
        <v>42581</v>
      </c>
      <c r="B30" s="9">
        <v>0.33333333333333298</v>
      </c>
      <c r="C30" s="2">
        <v>8289.5</v>
      </c>
      <c r="D30">
        <v>9.9</v>
      </c>
      <c r="E30" s="3">
        <f>($B$2*C30^2+$B$3*C30+$B$4)-$B$5*D30-$E$7</f>
        <v>3.487646318768553E-2</v>
      </c>
      <c r="F30" s="4">
        <f t="shared" si="0"/>
        <v>732.05739924514387</v>
      </c>
    </row>
    <row r="31" spans="1:7">
      <c r="A31" s="7">
        <v>42592</v>
      </c>
      <c r="B31" s="1">
        <v>0.33333333333333298</v>
      </c>
      <c r="C31">
        <v>8340.2999999999993</v>
      </c>
      <c r="D31">
        <v>9.5</v>
      </c>
      <c r="E31" s="3">
        <f t="shared" ref="E31:E64" si="2">($B$2*C31^2+$B$3*C31+$B$4)-$B$5*D31-$E$7</f>
        <v>3.1160676155328616E-2</v>
      </c>
      <c r="F31" s="4">
        <f t="shared" si="0"/>
        <v>731.67838896784349</v>
      </c>
    </row>
    <row r="32" spans="1:7">
      <c r="A32" s="7">
        <v>42602</v>
      </c>
      <c r="B32" s="1">
        <v>0.33333333333333298</v>
      </c>
      <c r="C32">
        <v>8343.2000000000007</v>
      </c>
      <c r="D32">
        <v>9.6999999999999993</v>
      </c>
      <c r="E32" s="3">
        <f t="shared" si="2"/>
        <v>3.1276258884421426E-2</v>
      </c>
      <c r="F32" s="4">
        <f t="shared" si="0"/>
        <v>731.69017840621098</v>
      </c>
    </row>
    <row r="33" spans="1:6">
      <c r="A33" s="7">
        <v>42612</v>
      </c>
      <c r="B33" s="1">
        <v>0.33333333333333298</v>
      </c>
      <c r="C33">
        <v>8292.2000000000007</v>
      </c>
      <c r="D33">
        <v>9.8000000000000007</v>
      </c>
      <c r="E33" s="3">
        <f t="shared" si="2"/>
        <v>3.4563216461189025E-2</v>
      </c>
      <c r="F33" s="4">
        <f t="shared" si="0"/>
        <v>732.02544807904133</v>
      </c>
    </row>
    <row r="34" spans="1:6">
      <c r="A34" s="7">
        <v>42623</v>
      </c>
      <c r="B34" s="1">
        <v>0.33333333333333298</v>
      </c>
      <c r="C34">
        <v>8267.2000000000007</v>
      </c>
      <c r="D34">
        <v>9.9</v>
      </c>
      <c r="E34" s="3">
        <f t="shared" si="2"/>
        <v>3.6248383857278986E-2</v>
      </c>
      <c r="F34" s="4">
        <f t="shared" si="0"/>
        <v>732.19733515344251</v>
      </c>
    </row>
    <row r="35" spans="1:6">
      <c r="A35" s="7">
        <v>42633</v>
      </c>
      <c r="B35" s="1">
        <v>0.33333333333333331</v>
      </c>
      <c r="C35">
        <v>8272.9</v>
      </c>
      <c r="D35">
        <v>10.1</v>
      </c>
      <c r="E35" s="3">
        <f t="shared" si="2"/>
        <v>3.6191970095190533E-2</v>
      </c>
      <c r="F35" s="4">
        <f t="shared" si="0"/>
        <v>732.19158094970942</v>
      </c>
    </row>
    <row r="36" spans="1:6">
      <c r="A36" s="7">
        <v>42643</v>
      </c>
      <c r="B36" s="1">
        <v>0.33333333333333331</v>
      </c>
      <c r="C36">
        <v>7648.6</v>
      </c>
      <c r="D36">
        <v>10.199999999999999</v>
      </c>
      <c r="E36" s="3">
        <f t="shared" si="2"/>
        <v>7.4521457068035729E-2</v>
      </c>
      <c r="F36" s="4">
        <f t="shared" si="0"/>
        <v>736.10118862093964</v>
      </c>
    </row>
    <row r="37" spans="1:6">
      <c r="A37" s="7">
        <v>42653</v>
      </c>
      <c r="B37" s="1">
        <v>0.33333333333333331</v>
      </c>
      <c r="C37">
        <v>7680.5</v>
      </c>
      <c r="D37">
        <v>10.3</v>
      </c>
      <c r="E37" s="3">
        <f t="shared" si="2"/>
        <v>7.2728278073305536E-2</v>
      </c>
      <c r="F37" s="4">
        <f t="shared" si="0"/>
        <v>735.91828436347714</v>
      </c>
    </row>
    <row r="38" spans="1:6">
      <c r="A38" s="7">
        <v>42855</v>
      </c>
      <c r="B38" s="1">
        <v>0.33333333333333331</v>
      </c>
      <c r="C38">
        <v>7817.6</v>
      </c>
      <c r="D38">
        <v>9.6</v>
      </c>
      <c r="E38" s="3">
        <f t="shared" si="2"/>
        <v>6.334645988036261E-2</v>
      </c>
      <c r="F38" s="4">
        <f t="shared" si="0"/>
        <v>734.96133890779697</v>
      </c>
    </row>
    <row r="39" spans="1:6">
      <c r="A39" s="7">
        <v>42865</v>
      </c>
      <c r="B39" s="1">
        <v>0.33333333333333331</v>
      </c>
      <c r="C39">
        <v>7700.7</v>
      </c>
      <c r="D39">
        <v>9.6</v>
      </c>
      <c r="E39" s="3">
        <f t="shared" si="2"/>
        <v>7.0469329001186992E-2</v>
      </c>
      <c r="F39" s="4">
        <f t="shared" si="0"/>
        <v>735.68787155812106</v>
      </c>
    </row>
    <row r="40" spans="1:6">
      <c r="A40" s="7">
        <v>42875</v>
      </c>
      <c r="B40" s="1">
        <v>0.33333333333333331</v>
      </c>
      <c r="C40">
        <v>7804.8</v>
      </c>
      <c r="D40">
        <v>9.5</v>
      </c>
      <c r="E40" s="3">
        <f t="shared" si="2"/>
        <v>6.3980035977522248E-2</v>
      </c>
      <c r="F40" s="4">
        <f t="shared" si="0"/>
        <v>735.02596366970727</v>
      </c>
    </row>
    <row r="41" spans="1:6">
      <c r="A41" s="7">
        <v>42885</v>
      </c>
      <c r="B41" s="1">
        <v>0.33333333333333331</v>
      </c>
      <c r="C41">
        <v>7770.9</v>
      </c>
      <c r="D41">
        <v>9.4</v>
      </c>
      <c r="E41" s="3">
        <f t="shared" si="2"/>
        <v>6.58996109280649E-2</v>
      </c>
      <c r="F41" s="4">
        <f t="shared" si="0"/>
        <v>735.22176031466267</v>
      </c>
    </row>
    <row r="42" spans="1:6">
      <c r="A42" s="7">
        <v>42896</v>
      </c>
      <c r="B42" s="1">
        <v>0.33333333333333331</v>
      </c>
      <c r="C42">
        <v>7797.1</v>
      </c>
      <c r="D42">
        <v>9.3000000000000007</v>
      </c>
      <c r="E42" s="3">
        <f t="shared" si="2"/>
        <v>6.4155369826554454E-2</v>
      </c>
      <c r="F42" s="4">
        <f t="shared" si="0"/>
        <v>735.04384772230856</v>
      </c>
    </row>
    <row r="43" spans="1:6">
      <c r="A43" s="7">
        <v>42906</v>
      </c>
      <c r="B43" s="1">
        <v>0.33333333333333331</v>
      </c>
      <c r="C43">
        <v>7768.5</v>
      </c>
      <c r="D43">
        <v>9.3000000000000007</v>
      </c>
      <c r="E43" s="3">
        <f t="shared" si="2"/>
        <v>6.5898773414377498E-2</v>
      </c>
      <c r="F43" s="4">
        <f t="shared" si="0"/>
        <v>735.22167488826653</v>
      </c>
    </row>
    <row r="44" spans="1:6">
      <c r="A44" s="7">
        <v>42916</v>
      </c>
      <c r="B44" s="1">
        <v>0.33333333333333331</v>
      </c>
      <c r="C44">
        <v>7540.5</v>
      </c>
      <c r="D44">
        <v>9.1999999999999993</v>
      </c>
      <c r="E44" s="3">
        <f t="shared" si="2"/>
        <v>7.9616903807665534E-2</v>
      </c>
      <c r="F44" s="4">
        <f t="shared" si="0"/>
        <v>736.62092418838188</v>
      </c>
    </row>
    <row r="45" spans="1:6">
      <c r="A45" s="7">
        <v>42926</v>
      </c>
      <c r="B45" s="1">
        <v>0.33333333333333331</v>
      </c>
      <c r="C45">
        <v>7616.4</v>
      </c>
      <c r="D45">
        <v>9.1999999999999993</v>
      </c>
      <c r="E45" s="3">
        <f t="shared" si="2"/>
        <v>7.5007798262837794E-2</v>
      </c>
      <c r="F45" s="4">
        <f t="shared" si="0"/>
        <v>736.15079542280944</v>
      </c>
    </row>
    <row r="46" spans="1:6">
      <c r="A46" s="7">
        <v>42936</v>
      </c>
      <c r="B46" s="1">
        <v>0.33333333333333331</v>
      </c>
      <c r="C46">
        <v>7752.8</v>
      </c>
      <c r="D46">
        <v>9.1</v>
      </c>
      <c r="E46" s="3">
        <f t="shared" si="2"/>
        <v>6.65612187971511E-2</v>
      </c>
      <c r="F46" s="4">
        <f t="shared" si="0"/>
        <v>735.28924431730945</v>
      </c>
    </row>
    <row r="47" spans="1:6">
      <c r="A47" s="7">
        <v>42946</v>
      </c>
      <c r="B47" s="1">
        <v>0.33333333333333331</v>
      </c>
      <c r="C47">
        <v>7607.3</v>
      </c>
      <c r="D47">
        <v>9.1</v>
      </c>
      <c r="E47" s="3">
        <f t="shared" si="2"/>
        <v>7.5413648992183779E-2</v>
      </c>
      <c r="F47" s="4">
        <f t="shared" si="0"/>
        <v>736.19219219720276</v>
      </c>
    </row>
    <row r="48" spans="1:6">
      <c r="A48" s="7">
        <v>42957</v>
      </c>
      <c r="B48" s="1">
        <v>0.33333333333333331</v>
      </c>
      <c r="C48">
        <v>7567.5</v>
      </c>
      <c r="D48">
        <v>9.1999999999999993</v>
      </c>
      <c r="E48" s="3">
        <f t="shared" si="2"/>
        <v>7.7978050967161511E-2</v>
      </c>
      <c r="F48" s="4">
        <f t="shared" si="0"/>
        <v>736.45376119865045</v>
      </c>
    </row>
    <row r="49" spans="1:6">
      <c r="A49" s="7">
        <v>42967</v>
      </c>
      <c r="B49" s="1">
        <v>0.33333333333333331</v>
      </c>
      <c r="C49">
        <v>7578.2</v>
      </c>
      <c r="D49">
        <v>9.1999999999999993</v>
      </c>
      <c r="E49" s="3">
        <f t="shared" si="2"/>
        <v>7.732835053319545E-2</v>
      </c>
      <c r="F49" s="4">
        <f t="shared" si="0"/>
        <v>736.38749175438591</v>
      </c>
    </row>
    <row r="50" spans="1:6">
      <c r="A50" s="7">
        <v>42977</v>
      </c>
      <c r="B50" s="1">
        <v>0.33333333333333331</v>
      </c>
      <c r="C50">
        <v>7552.6</v>
      </c>
      <c r="D50">
        <v>9.3000000000000007</v>
      </c>
      <c r="E50" s="3">
        <f t="shared" si="2"/>
        <v>7.902965874574458E-2</v>
      </c>
      <c r="F50" s="4">
        <f t="shared" si="0"/>
        <v>736.56102519206593</v>
      </c>
    </row>
    <row r="51" spans="1:6">
      <c r="A51" s="7">
        <v>42988</v>
      </c>
      <c r="B51" s="1">
        <v>0.33333333333333331</v>
      </c>
      <c r="C51">
        <v>7554.2</v>
      </c>
      <c r="D51">
        <v>9.1999999999999993</v>
      </c>
      <c r="E51" s="3">
        <f t="shared" si="2"/>
        <v>7.8785441230929926E-2</v>
      </c>
      <c r="F51" s="4">
        <f t="shared" si="0"/>
        <v>736.53611500555485</v>
      </c>
    </row>
    <row r="52" spans="1:6">
      <c r="A52" s="7">
        <v>42998</v>
      </c>
      <c r="B52" s="1">
        <v>0.33333333333333331</v>
      </c>
      <c r="C52">
        <v>7572.3</v>
      </c>
      <c r="D52">
        <v>9.1999999999999993</v>
      </c>
      <c r="E52" s="3">
        <f t="shared" si="2"/>
        <v>7.7686612652467762E-2</v>
      </c>
      <c r="F52" s="4">
        <f t="shared" si="0"/>
        <v>736.42403449055166</v>
      </c>
    </row>
    <row r="53" spans="1:6">
      <c r="A53" s="7">
        <v>43008</v>
      </c>
      <c r="B53" s="1">
        <v>0.33333333333333331</v>
      </c>
      <c r="C53">
        <v>7591</v>
      </c>
      <c r="D53">
        <v>9.1999999999999993</v>
      </c>
      <c r="E53" s="3">
        <f t="shared" si="2"/>
        <v>7.6550967946510035E-2</v>
      </c>
      <c r="F53" s="4">
        <f t="shared" si="0"/>
        <v>736.30819873054406</v>
      </c>
    </row>
    <row r="54" spans="1:6">
      <c r="A54" s="7">
        <v>43018</v>
      </c>
      <c r="B54" s="1">
        <v>0.33333333333333331</v>
      </c>
      <c r="C54">
        <v>7560.9</v>
      </c>
      <c r="D54">
        <v>9.1999999999999993</v>
      </c>
      <c r="E54" s="3">
        <f t="shared" si="2"/>
        <v>7.8378735913996939E-2</v>
      </c>
      <c r="F54" s="4">
        <f t="shared" si="0"/>
        <v>736.49463106322764</v>
      </c>
    </row>
    <row r="55" spans="1:6">
      <c r="A55" s="7">
        <v>43230</v>
      </c>
      <c r="B55" s="1">
        <v>0.33333333333333331</v>
      </c>
      <c r="C55">
        <v>7568</v>
      </c>
      <c r="D55">
        <v>9</v>
      </c>
      <c r="E55" s="3">
        <f t="shared" si="2"/>
        <v>7.7653491230568028E-2</v>
      </c>
      <c r="F55" s="4">
        <f t="shared" si="0"/>
        <v>736.42065610551799</v>
      </c>
    </row>
    <row r="56" spans="1:6">
      <c r="A56" s="7">
        <v>43240</v>
      </c>
      <c r="B56" s="1">
        <v>0.33333333333333331</v>
      </c>
      <c r="C56">
        <v>7571.1</v>
      </c>
      <c r="D56">
        <v>8.9</v>
      </c>
      <c r="E56" s="3">
        <f t="shared" si="2"/>
        <v>7.7318170484875243E-2</v>
      </c>
      <c r="F56" s="4">
        <f t="shared" si="0"/>
        <v>736.3864533894573</v>
      </c>
    </row>
    <row r="57" spans="1:6">
      <c r="A57" s="7">
        <v>43250</v>
      </c>
      <c r="B57" s="1">
        <v>0.33333333333333331</v>
      </c>
      <c r="C57">
        <v>7591.2</v>
      </c>
      <c r="D57">
        <v>8.9</v>
      </c>
      <c r="E57" s="3">
        <f t="shared" si="2"/>
        <v>7.6097515666808696E-2</v>
      </c>
      <c r="F57" s="4">
        <f t="shared" si="0"/>
        <v>736.26194659801445</v>
      </c>
    </row>
    <row r="58" spans="1:6">
      <c r="A58" s="7">
        <v>43261</v>
      </c>
      <c r="B58" s="1">
        <v>0.33333333333333331</v>
      </c>
      <c r="C58">
        <v>7498.9</v>
      </c>
      <c r="D58">
        <v>8.8000000000000007</v>
      </c>
      <c r="E58" s="3">
        <f t="shared" si="2"/>
        <v>8.1551924628551292E-2</v>
      </c>
      <c r="F58" s="4">
        <f t="shared" si="0"/>
        <v>736.81829631211224</v>
      </c>
    </row>
    <row r="59" spans="1:6">
      <c r="A59" s="7">
        <v>43271</v>
      </c>
      <c r="B59" s="1">
        <v>0.33333333333333331</v>
      </c>
      <c r="C59">
        <v>7344.2</v>
      </c>
      <c r="D59">
        <v>8.9</v>
      </c>
      <c r="E59" s="3">
        <f t="shared" si="2"/>
        <v>9.1065769410945879E-2</v>
      </c>
      <c r="F59" s="4">
        <f t="shared" si="0"/>
        <v>737.78870847991652</v>
      </c>
    </row>
    <row r="60" spans="1:6">
      <c r="A60" s="7">
        <v>43281</v>
      </c>
      <c r="B60" s="1">
        <v>0.33333333333333331</v>
      </c>
      <c r="C60">
        <v>7418.5</v>
      </c>
      <c r="D60">
        <v>8.9</v>
      </c>
      <c r="E60" s="3">
        <f t="shared" si="2"/>
        <v>8.657046152167755E-2</v>
      </c>
      <c r="F60" s="4">
        <f t="shared" si="0"/>
        <v>737.33018707521114</v>
      </c>
    </row>
    <row r="61" spans="1:6">
      <c r="A61" s="7">
        <v>43291</v>
      </c>
      <c r="B61" s="1">
        <v>0.33333333333333331</v>
      </c>
      <c r="C61">
        <v>7502.8</v>
      </c>
      <c r="D61">
        <v>8.9</v>
      </c>
      <c r="E61" s="3">
        <f t="shared" si="2"/>
        <v>8.1462538313751082E-2</v>
      </c>
      <c r="F61" s="4">
        <f t="shared" si="0"/>
        <v>736.80917890800265</v>
      </c>
    </row>
    <row r="62" spans="1:6">
      <c r="A62" s="7">
        <v>43301</v>
      </c>
      <c r="B62" s="1">
        <v>0.33333333333333331</v>
      </c>
      <c r="C62">
        <v>7485.2</v>
      </c>
      <c r="D62">
        <v>8.6</v>
      </c>
      <c r="E62" s="3">
        <f t="shared" si="2"/>
        <v>8.208832376941827E-2</v>
      </c>
      <c r="F62" s="4">
        <f t="shared" si="0"/>
        <v>736.87300902448067</v>
      </c>
    </row>
    <row r="63" spans="1:6">
      <c r="A63" s="7">
        <v>43311</v>
      </c>
      <c r="B63" s="1">
        <v>0.33333333333333331</v>
      </c>
      <c r="C63">
        <v>7483.2</v>
      </c>
      <c r="D63">
        <v>8.4</v>
      </c>
      <c r="E63" s="3">
        <f t="shared" si="2"/>
        <v>8.1915358892197476E-2</v>
      </c>
      <c r="F63" s="4">
        <f t="shared" si="0"/>
        <v>736.85536660700416</v>
      </c>
    </row>
    <row r="64" spans="1:6">
      <c r="A64" s="7">
        <v>43322</v>
      </c>
      <c r="B64" s="1">
        <v>0.33333333333333331</v>
      </c>
      <c r="C64">
        <v>7431.3</v>
      </c>
      <c r="D64">
        <v>8.5</v>
      </c>
      <c r="E64" s="3">
        <f t="shared" si="2"/>
        <v>8.5206995476222153E-2</v>
      </c>
      <c r="F64" s="4">
        <f t="shared" si="0"/>
        <v>737.19111353857465</v>
      </c>
    </row>
    <row r="65" spans="1:6">
      <c r="A65" s="7">
        <v>43332</v>
      </c>
      <c r="B65" s="1">
        <v>0.33333333333333331</v>
      </c>
      <c r="C65">
        <v>7465.7</v>
      </c>
      <c r="D65">
        <v>8.3000000000000007</v>
      </c>
      <c r="E65" s="3">
        <f t="shared" ref="E65:E78" si="3">($B$2*C65^2+$B$3*C65+$B$4)-$B$5*D65-$E$7</f>
        <v>8.2828895488562981E-2</v>
      </c>
      <c r="F65" s="4">
        <f t="shared" ref="F65:F78" si="4">$D$1+102*E65</f>
        <v>736.94854733983345</v>
      </c>
    </row>
    <row r="66" spans="1:6">
      <c r="A66" s="7">
        <v>43342</v>
      </c>
      <c r="B66" s="1">
        <v>0.33333333333333331</v>
      </c>
      <c r="C66">
        <v>7356.7</v>
      </c>
      <c r="D66">
        <v>8.4</v>
      </c>
      <c r="E66" s="3">
        <f t="shared" si="3"/>
        <v>8.9574424623513393E-2</v>
      </c>
      <c r="F66" s="4">
        <f t="shared" si="4"/>
        <v>737.63659131159841</v>
      </c>
    </row>
    <row r="67" spans="1:6">
      <c r="A67" s="7">
        <v>43353</v>
      </c>
      <c r="B67" s="1">
        <v>0.33333333333333331</v>
      </c>
      <c r="C67">
        <v>7292.1</v>
      </c>
      <c r="D67">
        <v>8.8000000000000007</v>
      </c>
      <c r="E67" s="3">
        <f t="shared" si="3"/>
        <v>9.4067088234278479E-2</v>
      </c>
      <c r="F67" s="4">
        <f t="shared" si="4"/>
        <v>738.0948429998964</v>
      </c>
    </row>
    <row r="68" spans="1:6">
      <c r="A68" s="7">
        <v>43363</v>
      </c>
      <c r="B68" s="1">
        <v>0.33333333333333331</v>
      </c>
      <c r="C68">
        <v>7404.5</v>
      </c>
      <c r="D68">
        <v>8.6999999999999993</v>
      </c>
      <c r="E68" s="3">
        <f t="shared" si="3"/>
        <v>8.7123767972545563E-2</v>
      </c>
      <c r="F68" s="4">
        <f t="shared" si="4"/>
        <v>737.38662433319962</v>
      </c>
    </row>
    <row r="69" spans="1:6">
      <c r="A69" s="7">
        <v>43373</v>
      </c>
      <c r="B69" s="1">
        <v>0.33333333333333331</v>
      </c>
      <c r="C69">
        <v>7427.6</v>
      </c>
      <c r="D69">
        <v>8.6</v>
      </c>
      <c r="E69" s="3">
        <f t="shared" si="3"/>
        <v>8.5578156910594561E-2</v>
      </c>
      <c r="F69" s="4">
        <f t="shared" si="4"/>
        <v>737.22897200488069</v>
      </c>
    </row>
    <row r="70" spans="1:6">
      <c r="A70" s="7">
        <v>43383</v>
      </c>
      <c r="B70" s="1">
        <v>0.33333333333333331</v>
      </c>
      <c r="C70">
        <v>7431.3</v>
      </c>
      <c r="D70">
        <v>8.5</v>
      </c>
      <c r="E70" s="3">
        <f t="shared" si="3"/>
        <v>8.5206995476222153E-2</v>
      </c>
      <c r="F70" s="4">
        <f t="shared" si="4"/>
        <v>737.19111353857465</v>
      </c>
    </row>
    <row r="71" spans="1:6">
      <c r="A71" s="7">
        <v>43393</v>
      </c>
      <c r="B71" s="1">
        <v>0.33333333333333331</v>
      </c>
      <c r="C71">
        <v>7437.8</v>
      </c>
      <c r="D71">
        <v>8.4</v>
      </c>
      <c r="E71" s="3">
        <f t="shared" si="3"/>
        <v>8.4666237438917102E-2</v>
      </c>
      <c r="F71" s="4">
        <f t="shared" si="4"/>
        <v>737.13595621876959</v>
      </c>
    </row>
    <row r="72" spans="1:6">
      <c r="A72" s="32">
        <v>43605</v>
      </c>
      <c r="B72" s="1">
        <v>0.33333333333333331</v>
      </c>
      <c r="C72">
        <v>7459.3</v>
      </c>
      <c r="D72">
        <v>8.1999999999999993</v>
      </c>
      <c r="E72" s="3">
        <f t="shared" si="3"/>
        <v>8.3069597675442947E-2</v>
      </c>
      <c r="F72" s="4">
        <f t="shared" si="4"/>
        <v>736.97309896289516</v>
      </c>
    </row>
    <row r="73" spans="1:6">
      <c r="A73" s="32">
        <v>43615</v>
      </c>
      <c r="B73" s="1">
        <v>0.33333333333333331</v>
      </c>
      <c r="C73">
        <v>7461.4</v>
      </c>
      <c r="D73">
        <v>8.1999999999999993</v>
      </c>
      <c r="E73" s="3">
        <f t="shared" si="3"/>
        <v>8.2942354752483877E-2</v>
      </c>
      <c r="F73" s="4">
        <f t="shared" si="4"/>
        <v>736.96012018475335</v>
      </c>
    </row>
    <row r="74" spans="1:6">
      <c r="A74" s="32">
        <v>43626</v>
      </c>
      <c r="B74" s="1">
        <v>0.33333333333333331</v>
      </c>
      <c r="C74">
        <v>7460.8</v>
      </c>
      <c r="D74">
        <v>8.4</v>
      </c>
      <c r="E74" s="3">
        <f t="shared" si="3"/>
        <v>8.3272913184523845E-2</v>
      </c>
      <c r="F74" s="4">
        <f t="shared" si="4"/>
        <v>736.99383714482144</v>
      </c>
    </row>
    <row r="75" spans="1:6">
      <c r="A75" s="32">
        <v>43636</v>
      </c>
      <c r="B75" s="1">
        <v>0.33333333333333331</v>
      </c>
      <c r="C75">
        <v>7462.7</v>
      </c>
      <c r="D75">
        <v>8.6</v>
      </c>
      <c r="E75" s="3">
        <f t="shared" si="3"/>
        <v>8.345198841345175E-2</v>
      </c>
      <c r="F75" s="4">
        <f t="shared" si="4"/>
        <v>737.01210281817202</v>
      </c>
    </row>
    <row r="76" spans="1:6">
      <c r="A76" s="7">
        <v>43646</v>
      </c>
      <c r="B76" s="1">
        <v>0.33333333333333331</v>
      </c>
      <c r="C76">
        <v>7390</v>
      </c>
      <c r="D76">
        <v>8</v>
      </c>
      <c r="E76" s="3">
        <f t="shared" si="3"/>
        <v>8.6971600887424005E-2</v>
      </c>
      <c r="F76" s="4">
        <f t="shared" si="4"/>
        <v>737.37110329051723</v>
      </c>
    </row>
    <row r="77" spans="1:6">
      <c r="A77" s="7">
        <v>43656</v>
      </c>
      <c r="B77" s="1">
        <v>0.33333333333333331</v>
      </c>
      <c r="C77">
        <v>7387.5</v>
      </c>
      <c r="D77">
        <v>7.9</v>
      </c>
      <c r="E77" s="3">
        <f t="shared" si="3"/>
        <v>8.6975775815761491E-2</v>
      </c>
      <c r="F77" s="4">
        <f t="shared" si="4"/>
        <v>737.37152913320767</v>
      </c>
    </row>
    <row r="78" spans="1:6">
      <c r="A78" s="7">
        <v>43666</v>
      </c>
      <c r="B78" s="1">
        <v>0.33333333333333331</v>
      </c>
      <c r="C78">
        <v>7385.2</v>
      </c>
      <c r="D78">
        <v>7.8</v>
      </c>
      <c r="E78" s="3">
        <f t="shared" si="3"/>
        <v>8.6967842367178277E-2</v>
      </c>
      <c r="F78" s="4">
        <f t="shared" si="4"/>
        <v>737.37071992145218</v>
      </c>
    </row>
    <row r="79" spans="1:6">
      <c r="A79" s="7">
        <v>43676</v>
      </c>
      <c r="B79" s="1">
        <v>0.33333333333333331</v>
      </c>
      <c r="C79">
        <v>7381</v>
      </c>
      <c r="D79">
        <v>7.8</v>
      </c>
    </row>
    <row r="80" spans="1:6">
      <c r="A80" s="7">
        <v>43687</v>
      </c>
      <c r="B80" s="1">
        <v>0.33333333333333331</v>
      </c>
      <c r="C80">
        <v>7350.7</v>
      </c>
      <c r="D80">
        <v>7.6</v>
      </c>
    </row>
    <row r="81" spans="1:4">
      <c r="A81" s="7">
        <v>43697</v>
      </c>
      <c r="B81" s="1">
        <v>0.33333333333333331</v>
      </c>
      <c r="C81">
        <v>7335.7</v>
      </c>
      <c r="D81">
        <v>7.5</v>
      </c>
    </row>
    <row r="82" spans="1:4">
      <c r="A82" s="7">
        <v>43707</v>
      </c>
      <c r="B82" s="1">
        <v>0.33333333333333331</v>
      </c>
      <c r="C82">
        <v>7299.4</v>
      </c>
      <c r="D82">
        <v>7.7</v>
      </c>
    </row>
  </sheetData>
  <phoneticPr fontId="4" type="noConversion"/>
  <pageMargins left="0.69930555555555596" right="0.69930555555555596" top="0.75" bottom="0.75" header="0.3" footer="0.3"/>
  <pageSetup paperSize="9" orientation="portrait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2"/>
  <sheetViews>
    <sheetView topLeftCell="A55" workbookViewId="0">
      <selection activeCell="E82" sqref="E82"/>
    </sheetView>
  </sheetViews>
  <sheetFormatPr defaultColWidth="9" defaultRowHeight="13.5"/>
  <cols>
    <col min="1" max="1" width="11.625" customWidth="1"/>
    <col min="2" max="2" width="13.875" customWidth="1"/>
    <col min="5" max="5" width="10.875" customWidth="1"/>
  </cols>
  <sheetData>
    <row r="1" spans="1:7">
      <c r="A1" t="s">
        <v>0</v>
      </c>
      <c r="B1">
        <v>50345</v>
      </c>
      <c r="C1" t="s">
        <v>1</v>
      </c>
      <c r="D1">
        <v>728.5</v>
      </c>
    </row>
    <row r="2" spans="1:7">
      <c r="A2" t="s">
        <v>2</v>
      </c>
      <c r="B2">
        <f>2.27583*10^-10</f>
        <v>2.27583E-10</v>
      </c>
    </row>
    <row r="3" spans="1:7">
      <c r="A3" t="s">
        <v>3</v>
      </c>
      <c r="B3">
        <v>-6.7299999999999996E-5</v>
      </c>
    </row>
    <row r="4" spans="1:7">
      <c r="A4" t="s">
        <v>4</v>
      </c>
      <c r="B4">
        <v>0.57048158999999998</v>
      </c>
    </row>
    <row r="5" spans="1:7">
      <c r="A5" t="s">
        <v>5</v>
      </c>
      <c r="B5">
        <v>-1.032296E-3</v>
      </c>
    </row>
    <row r="6" spans="1:7">
      <c r="A6" t="s">
        <v>6</v>
      </c>
      <c r="B6" t="s">
        <v>7</v>
      </c>
      <c r="C6" t="s">
        <v>8</v>
      </c>
      <c r="D6" t="s">
        <v>9</v>
      </c>
      <c r="E6" t="s">
        <v>10</v>
      </c>
      <c r="F6" t="s">
        <v>11</v>
      </c>
      <c r="G6" t="s">
        <v>12</v>
      </c>
    </row>
    <row r="7" spans="1:7">
      <c r="A7" s="7">
        <v>42249</v>
      </c>
      <c r="B7" s="1">
        <v>0.91666666666666696</v>
      </c>
      <c r="C7" s="2">
        <v>8736.7999999999993</v>
      </c>
      <c r="D7" s="2">
        <v>20.9</v>
      </c>
      <c r="E7" s="3">
        <f>($B$2*C7^2+$B$3*C7+$B$4)-$B$5*D7</f>
        <v>2.1441727818562021E-2</v>
      </c>
      <c r="G7" t="s">
        <v>13</v>
      </c>
    </row>
    <row r="8" spans="1:7">
      <c r="A8" s="7">
        <v>42249</v>
      </c>
      <c r="B8" s="1">
        <v>0.95833333333333304</v>
      </c>
      <c r="C8" s="2">
        <v>8229.6</v>
      </c>
      <c r="D8" s="2">
        <v>24</v>
      </c>
      <c r="E8" s="3">
        <f>($B$2*C8^2+$B$3*C8+$B$4)-$B$5*D8-$E$7</f>
        <v>3.5376244392079259E-2</v>
      </c>
      <c r="F8" s="4">
        <f>$D$1+102*E8</f>
        <v>732.10837692799214</v>
      </c>
      <c r="G8" t="s">
        <v>17</v>
      </c>
    </row>
    <row r="9" spans="1:7">
      <c r="A9" s="7">
        <v>42250</v>
      </c>
      <c r="B9" s="1">
        <v>0.33333333333333298</v>
      </c>
      <c r="C9" s="2">
        <v>8354.5</v>
      </c>
      <c r="D9" s="2">
        <v>22.4</v>
      </c>
      <c r="E9" s="3">
        <f>($B$2*C9^2+$B$3*C9+$B$4)-$B$5*D9-$E$7</f>
        <v>2.5790205769943748E-2</v>
      </c>
      <c r="F9" s="4">
        <f t="shared" ref="F9:F66" si="0">$D$1+102*E9</f>
        <v>731.1306009885343</v>
      </c>
      <c r="G9" t="s">
        <v>25</v>
      </c>
    </row>
    <row r="10" spans="1:7">
      <c r="A10" s="7">
        <v>42251</v>
      </c>
      <c r="B10" s="1">
        <v>0.33333333333333298</v>
      </c>
      <c r="C10" s="2">
        <v>8358.1</v>
      </c>
      <c r="D10" s="2">
        <v>22.1</v>
      </c>
      <c r="E10" s="3">
        <f>($B$2*C10^2+$B$3*C10+$B$4)-$B$5*D10-$E$7</f>
        <v>2.525192958306861E-2</v>
      </c>
      <c r="F10" s="4">
        <f t="shared" si="0"/>
        <v>731.07569681747304</v>
      </c>
    </row>
    <row r="11" spans="1:7">
      <c r="A11" s="7">
        <v>42252</v>
      </c>
      <c r="B11" s="1">
        <v>0.33333333333333298</v>
      </c>
      <c r="C11" s="2">
        <v>8354.5</v>
      </c>
      <c r="D11" s="2">
        <v>21.9</v>
      </c>
      <c r="E11" s="3">
        <f t="shared" ref="E11:E19" si="1">($B$2*C11^2+$B$3*C11+$B$4)-$B$5*D11-$E$7</f>
        <v>2.5274057769943747E-2</v>
      </c>
      <c r="F11" s="4">
        <f t="shared" si="0"/>
        <v>731.07795389253431</v>
      </c>
    </row>
    <row r="12" spans="1:7">
      <c r="A12" s="7">
        <v>42253</v>
      </c>
      <c r="B12" s="1">
        <v>0.33333333333333298</v>
      </c>
      <c r="C12" s="2">
        <v>8362.9</v>
      </c>
      <c r="D12" s="2">
        <v>21.6</v>
      </c>
      <c r="E12" s="3">
        <f t="shared" si="1"/>
        <v>2.4431007576715066E-2</v>
      </c>
      <c r="F12" s="4">
        <f t="shared" si="0"/>
        <v>730.99196277282499</v>
      </c>
    </row>
    <row r="13" spans="1:7">
      <c r="A13" s="7">
        <v>42254</v>
      </c>
      <c r="B13" s="1">
        <v>0.33333333333333298</v>
      </c>
      <c r="C13" s="2">
        <v>8365.7999999999993</v>
      </c>
      <c r="D13" s="2">
        <v>21.4</v>
      </c>
      <c r="E13" s="3">
        <f t="shared" si="1"/>
        <v>2.404041916313816E-2</v>
      </c>
      <c r="F13" s="4">
        <f t="shared" si="0"/>
        <v>730.95212275464007</v>
      </c>
    </row>
    <row r="14" spans="1:7">
      <c r="A14" s="7">
        <v>42255</v>
      </c>
      <c r="B14" s="1">
        <v>0.33333333333333298</v>
      </c>
      <c r="C14" s="2">
        <v>8370.9</v>
      </c>
      <c r="D14" s="2">
        <v>21.4</v>
      </c>
      <c r="E14" s="3">
        <f t="shared" si="1"/>
        <v>2.3716615003958174E-2</v>
      </c>
      <c r="F14" s="4">
        <f t="shared" si="0"/>
        <v>730.91909473040369</v>
      </c>
    </row>
    <row r="15" spans="1:7">
      <c r="A15" s="7">
        <v>42259</v>
      </c>
      <c r="B15" s="1">
        <v>0.33333333333333298</v>
      </c>
      <c r="C15" s="2">
        <v>8331</v>
      </c>
      <c r="D15" s="2">
        <v>21.1</v>
      </c>
      <c r="E15" s="3">
        <f t="shared" si="1"/>
        <v>2.5940533570500909E-2</v>
      </c>
      <c r="F15" s="4">
        <f t="shared" si="0"/>
        <v>731.14593442419107</v>
      </c>
    </row>
    <row r="16" spans="1:7">
      <c r="A16" s="7">
        <v>42266</v>
      </c>
      <c r="B16" s="1">
        <v>0.33333333333333298</v>
      </c>
      <c r="C16" s="2">
        <v>8306.2999999999993</v>
      </c>
      <c r="D16" s="2">
        <v>20.8</v>
      </c>
      <c r="E16" s="3">
        <f t="shared" si="1"/>
        <v>2.7199631514347327E-2</v>
      </c>
      <c r="F16" s="4">
        <f t="shared" si="0"/>
        <v>731.27436241446344</v>
      </c>
    </row>
    <row r="17" spans="1:7">
      <c r="A17" s="7">
        <v>42273</v>
      </c>
      <c r="B17" s="1">
        <v>0.33333333333333298</v>
      </c>
      <c r="C17" s="2">
        <v>8347.7999999999993</v>
      </c>
      <c r="D17" s="2">
        <v>19.899999999999999</v>
      </c>
      <c r="E17" s="3">
        <f t="shared" si="1"/>
        <v>2.363490800101985E-2</v>
      </c>
      <c r="F17" s="4">
        <f t="shared" si="0"/>
        <v>730.91076061610397</v>
      </c>
    </row>
    <row r="18" spans="1:7">
      <c r="A18" s="7">
        <v>42280</v>
      </c>
      <c r="B18" s="1">
        <v>0.33333333333333298</v>
      </c>
      <c r="C18" s="2">
        <v>8322.2999999999993</v>
      </c>
      <c r="D18" s="2">
        <v>18.899999999999999</v>
      </c>
      <c r="E18" s="3">
        <f t="shared" si="1"/>
        <v>2.4222019301128082E-2</v>
      </c>
      <c r="F18" s="4">
        <f t="shared" si="0"/>
        <v>730.97064596871508</v>
      </c>
    </row>
    <row r="19" spans="1:7">
      <c r="A19" s="7">
        <v>42287</v>
      </c>
      <c r="B19" s="1">
        <v>0.33333333333333298</v>
      </c>
      <c r="C19" s="2">
        <v>8297.2000000000007</v>
      </c>
      <c r="D19" s="2">
        <v>18</v>
      </c>
      <c r="E19" s="3">
        <f t="shared" si="1"/>
        <v>2.4887246777848693E-2</v>
      </c>
      <c r="F19" s="4">
        <f t="shared" si="0"/>
        <v>731.03849917134062</v>
      </c>
    </row>
    <row r="20" spans="1:7">
      <c r="A20" s="7">
        <v>42294</v>
      </c>
      <c r="B20" s="1">
        <v>0.33333333333333298</v>
      </c>
      <c r="C20" s="2">
        <v>8269.7999999999993</v>
      </c>
      <c r="D20" s="2">
        <v>17.100000000000001</v>
      </c>
      <c r="E20" s="3">
        <f t="shared" ref="E20:E26" si="2">($B$2*C20^2+$B$3*C20+$B$4)-$B$5*D20-$E$7</f>
        <v>2.5698892306677327E-2</v>
      </c>
      <c r="F20" s="4">
        <f t="shared" si="0"/>
        <v>731.12128701528104</v>
      </c>
      <c r="G20" s="2"/>
    </row>
    <row r="21" spans="1:7">
      <c r="A21" s="7">
        <v>42301</v>
      </c>
      <c r="B21" s="1">
        <v>0.33333333333333298</v>
      </c>
      <c r="C21" s="2">
        <v>8201.2000000000007</v>
      </c>
      <c r="D21" s="2">
        <v>16.5</v>
      </c>
      <c r="E21" s="3">
        <f t="shared" si="2"/>
        <v>2.943914626259744E-2</v>
      </c>
      <c r="F21" s="4">
        <f t="shared" si="0"/>
        <v>731.50279291878496</v>
      </c>
      <c r="G21" s="2"/>
    </row>
    <row r="22" spans="1:7">
      <c r="A22" s="7">
        <v>42485</v>
      </c>
      <c r="B22" s="1">
        <v>0.33333333333333298</v>
      </c>
      <c r="C22">
        <v>8098.1</v>
      </c>
      <c r="D22">
        <v>10.1</v>
      </c>
      <c r="E22" s="3">
        <f t="shared" si="2"/>
        <v>2.938863822827267E-2</v>
      </c>
      <c r="F22" s="4">
        <f t="shared" si="0"/>
        <v>731.49764109928378</v>
      </c>
    </row>
    <row r="23" spans="1:7">
      <c r="A23" s="7">
        <v>42501</v>
      </c>
      <c r="B23" s="1">
        <v>0.33333333333333298</v>
      </c>
      <c r="C23">
        <v>8111.7</v>
      </c>
      <c r="D23">
        <v>9.6999999999999993</v>
      </c>
      <c r="E23" s="3">
        <f t="shared" si="2"/>
        <v>2.8110611247094842E-2</v>
      </c>
      <c r="F23" s="4">
        <f t="shared" si="0"/>
        <v>731.36728234720363</v>
      </c>
    </row>
    <row r="24" spans="1:7">
      <c r="A24" s="7">
        <v>42520</v>
      </c>
      <c r="B24" s="1">
        <v>0.33333333333333298</v>
      </c>
      <c r="C24">
        <v>8168.2</v>
      </c>
      <c r="D24">
        <v>9.1999999999999993</v>
      </c>
      <c r="E24" s="3">
        <f t="shared" si="2"/>
        <v>2.4001347356310914E-2</v>
      </c>
      <c r="F24" s="4">
        <f t="shared" si="0"/>
        <v>730.94813743034376</v>
      </c>
    </row>
    <row r="25" spans="1:7">
      <c r="A25" s="7">
        <v>42531</v>
      </c>
      <c r="B25" s="1">
        <v>0.33333333333333298</v>
      </c>
      <c r="C25">
        <v>8155.4</v>
      </c>
      <c r="D25">
        <v>9.1999999999999993</v>
      </c>
      <c r="E25" s="3">
        <f t="shared" si="2"/>
        <v>2.4815235690918296E-2</v>
      </c>
      <c r="F25" s="4">
        <f t="shared" si="0"/>
        <v>731.03115404047367</v>
      </c>
    </row>
    <row r="26" spans="1:7">
      <c r="A26" s="6">
        <v>42544</v>
      </c>
      <c r="B26" s="1">
        <v>0.33333333333333298</v>
      </c>
      <c r="C26">
        <v>8076.3</v>
      </c>
      <c r="D26">
        <v>9.1999999999999993</v>
      </c>
      <c r="E26" s="3">
        <f t="shared" si="2"/>
        <v>2.9846465625513335E-2</v>
      </c>
      <c r="F26" s="4">
        <f t="shared" si="0"/>
        <v>731.54433949380234</v>
      </c>
    </row>
    <row r="27" spans="1:7">
      <c r="A27" s="7">
        <v>42551</v>
      </c>
      <c r="B27" s="9">
        <v>0.33333333333333298</v>
      </c>
      <c r="C27">
        <v>8119</v>
      </c>
      <c r="D27">
        <v>9.1999999999999993</v>
      </c>
      <c r="E27" s="3">
        <f>($B$2*C27^2+$B$3*C27+$B$4)-$B$5*D27-$E$7</f>
        <v>2.7130138216300986E-2</v>
      </c>
      <c r="F27" s="4">
        <f t="shared" si="0"/>
        <v>731.26727409806267</v>
      </c>
    </row>
    <row r="28" spans="1:7">
      <c r="A28" s="7">
        <v>42561</v>
      </c>
      <c r="B28" s="9">
        <v>0.33333333333333298</v>
      </c>
      <c r="C28">
        <v>8116.2</v>
      </c>
      <c r="D28">
        <v>9.1999999999999993</v>
      </c>
      <c r="E28" s="3">
        <f>($B$2*C28^2+$B$3*C28+$B$4)-$B$5*D28-$E$7</f>
        <v>2.7308232620840627E-2</v>
      </c>
      <c r="F28" s="4">
        <f t="shared" si="0"/>
        <v>731.28543972732575</v>
      </c>
    </row>
    <row r="29" spans="1:7">
      <c r="A29" s="7">
        <v>42571</v>
      </c>
      <c r="B29" s="9">
        <v>0.33333333333333298</v>
      </c>
      <c r="C29">
        <v>8112.8</v>
      </c>
      <c r="D29">
        <v>9.3000000000000007</v>
      </c>
      <c r="E29" s="3">
        <f>($B$2*C29^2+$B$3*C29+$B$4)-$B$5*D29-$E$7</f>
        <v>2.7627724509516737E-2</v>
      </c>
      <c r="F29" s="4">
        <f t="shared" si="0"/>
        <v>731.31802789997073</v>
      </c>
    </row>
    <row r="30" spans="1:7">
      <c r="A30" s="7">
        <v>42581</v>
      </c>
      <c r="B30" s="9">
        <v>0.33333333333333298</v>
      </c>
      <c r="C30">
        <v>8111.9</v>
      </c>
      <c r="D30">
        <v>9.8000000000000007</v>
      </c>
      <c r="E30" s="3">
        <f>($B$2*C30^2+$B$3*C30+$B$4)-$B$5*D30-$E$7</f>
        <v>2.8201119290206588E-2</v>
      </c>
      <c r="F30" s="4">
        <f t="shared" si="0"/>
        <v>731.37651416760104</v>
      </c>
    </row>
    <row r="31" spans="1:7">
      <c r="A31" s="7">
        <v>42592</v>
      </c>
      <c r="B31" s="1">
        <v>0.33333333333333298</v>
      </c>
      <c r="C31">
        <v>8095</v>
      </c>
      <c r="D31">
        <v>9.6</v>
      </c>
      <c r="E31" s="3">
        <f t="shared" ref="E31:E66" si="3">($B$2*C31^2+$B$3*C31+$B$4)-$B$5*D31-$E$7</f>
        <v>2.9069695878013026E-2</v>
      </c>
      <c r="F31" s="4">
        <f t="shared" si="0"/>
        <v>731.46510897955739</v>
      </c>
    </row>
    <row r="32" spans="1:7">
      <c r="A32" s="7">
        <v>42602</v>
      </c>
      <c r="B32" s="1">
        <v>0.33333333333333298</v>
      </c>
      <c r="C32">
        <v>8136.1</v>
      </c>
      <c r="D32">
        <v>10.9</v>
      </c>
      <c r="E32" s="3">
        <f t="shared" si="3"/>
        <v>2.7797470889939332E-2</v>
      </c>
      <c r="F32" s="4">
        <f t="shared" si="0"/>
        <v>731.33534203077386</v>
      </c>
    </row>
    <row r="33" spans="1:6">
      <c r="A33" s="7">
        <v>42612</v>
      </c>
      <c r="B33" s="1">
        <v>0.33333333333333298</v>
      </c>
      <c r="C33">
        <v>8125.4</v>
      </c>
      <c r="D33">
        <v>10</v>
      </c>
      <c r="E33" s="3">
        <f t="shared" si="3"/>
        <v>2.7548915491726226E-2</v>
      </c>
      <c r="F33" s="4">
        <f t="shared" si="0"/>
        <v>731.30998938015603</v>
      </c>
    </row>
    <row r="34" spans="1:6">
      <c r="A34" s="7">
        <v>42623</v>
      </c>
      <c r="B34" s="1">
        <v>0.33333333333333298</v>
      </c>
      <c r="C34">
        <v>8106.8</v>
      </c>
      <c r="D34">
        <v>10.1</v>
      </c>
      <c r="E34" s="3">
        <f t="shared" si="3"/>
        <v>2.8835213478155899E-2</v>
      </c>
      <c r="F34" s="4">
        <f t="shared" si="0"/>
        <v>731.44119177477194</v>
      </c>
    </row>
    <row r="35" spans="1:6">
      <c r="A35" s="7">
        <v>42633</v>
      </c>
      <c r="B35" s="1">
        <v>0.33333333333333331</v>
      </c>
      <c r="C35">
        <v>8081.1</v>
      </c>
      <c r="D35">
        <v>10.1</v>
      </c>
      <c r="E35" s="3">
        <f t="shared" si="3"/>
        <v>3.0470142343421405E-2</v>
      </c>
      <c r="F35" s="4">
        <f t="shared" si="0"/>
        <v>731.60795451902902</v>
      </c>
    </row>
    <row r="36" spans="1:6">
      <c r="A36" s="7">
        <v>42643</v>
      </c>
      <c r="B36" s="1">
        <v>0.33333333333333331</v>
      </c>
      <c r="C36">
        <v>7519.7</v>
      </c>
      <c r="D36">
        <v>10.199999999999999</v>
      </c>
      <c r="E36" s="3">
        <f t="shared" si="3"/>
        <v>6.6362354230624532E-2</v>
      </c>
      <c r="F36" s="4">
        <f t="shared" si="0"/>
        <v>735.26896013152373</v>
      </c>
    </row>
    <row r="37" spans="1:6">
      <c r="A37" s="7">
        <v>42653</v>
      </c>
      <c r="B37" s="1">
        <v>0.33333333333333331</v>
      </c>
      <c r="C37">
        <v>7539.4</v>
      </c>
      <c r="D37">
        <v>10.199999999999999</v>
      </c>
      <c r="E37" s="3">
        <f t="shared" si="3"/>
        <v>6.510405997518387E-2</v>
      </c>
      <c r="F37" s="4">
        <f t="shared" si="0"/>
        <v>735.14061411746877</v>
      </c>
    </row>
    <row r="38" spans="1:6">
      <c r="A38" s="7">
        <v>42855</v>
      </c>
      <c r="B38" s="1">
        <v>0.33333333333333331</v>
      </c>
      <c r="C38">
        <v>7716.1</v>
      </c>
      <c r="D38">
        <v>8.6999999999999993</v>
      </c>
      <c r="E38" s="3">
        <f t="shared" si="3"/>
        <v>5.2277189372247387E-2</v>
      </c>
      <c r="F38" s="4">
        <f t="shared" si="0"/>
        <v>733.83227331596925</v>
      </c>
    </row>
    <row r="39" spans="1:6">
      <c r="A39" s="7">
        <v>42865</v>
      </c>
      <c r="B39" s="1">
        <v>0.33333333333333331</v>
      </c>
      <c r="C39">
        <v>7561.8</v>
      </c>
      <c r="D39">
        <v>8.6999999999999993</v>
      </c>
      <c r="E39" s="3">
        <f t="shared" si="3"/>
        <v>6.2125079766534905E-2</v>
      </c>
      <c r="F39" s="4">
        <f t="shared" si="0"/>
        <v>734.83675813618652</v>
      </c>
    </row>
    <row r="40" spans="1:6">
      <c r="A40" s="7">
        <v>42875</v>
      </c>
      <c r="B40" s="1">
        <v>0.33333333333333331</v>
      </c>
      <c r="C40">
        <v>7658.7</v>
      </c>
      <c r="D40">
        <v>8.6999999999999993</v>
      </c>
      <c r="E40" s="3">
        <f t="shared" si="3"/>
        <v>5.5939364297825242E-2</v>
      </c>
      <c r="F40" s="4">
        <f t="shared" si="0"/>
        <v>734.20581515837819</v>
      </c>
    </row>
    <row r="41" spans="1:6">
      <c r="A41" s="7">
        <v>42885</v>
      </c>
      <c r="B41" s="1">
        <v>0.33333333333333331</v>
      </c>
      <c r="C41">
        <v>7606.9</v>
      </c>
      <c r="D41">
        <v>8.6999999999999993</v>
      </c>
      <c r="E41" s="3">
        <f t="shared" si="3"/>
        <v>5.9245541201704652E-2</v>
      </c>
      <c r="F41" s="4">
        <f t="shared" si="0"/>
        <v>734.54304520257392</v>
      </c>
    </row>
    <row r="42" spans="1:6">
      <c r="A42" s="7">
        <v>42896</v>
      </c>
      <c r="B42" s="1">
        <v>0.33333333333333331</v>
      </c>
      <c r="C42">
        <v>7644.7</v>
      </c>
      <c r="D42">
        <v>8.6999999999999993</v>
      </c>
      <c r="E42" s="3">
        <f t="shared" si="3"/>
        <v>5.6832805186274468E-2</v>
      </c>
      <c r="F42" s="4">
        <f t="shared" si="0"/>
        <v>734.29694612900005</v>
      </c>
    </row>
    <row r="43" spans="1:6">
      <c r="A43" s="7">
        <v>42906</v>
      </c>
      <c r="B43" s="1">
        <v>0.33333333333333331</v>
      </c>
      <c r="C43">
        <v>7624.6</v>
      </c>
      <c r="D43">
        <v>8.6999999999999993</v>
      </c>
      <c r="E43" s="3">
        <f t="shared" si="3"/>
        <v>5.8115687020926218E-2</v>
      </c>
      <c r="F43" s="4">
        <f t="shared" si="0"/>
        <v>734.42780007613442</v>
      </c>
    </row>
    <row r="44" spans="1:6">
      <c r="A44" s="7">
        <v>42916</v>
      </c>
      <c r="B44" s="1">
        <v>0.33333333333333331</v>
      </c>
      <c r="C44">
        <v>7310.8</v>
      </c>
      <c r="D44">
        <v>8.6999999999999993</v>
      </c>
      <c r="E44" s="3">
        <f t="shared" si="3"/>
        <v>7.816780728415916E-2</v>
      </c>
      <c r="F44" s="4">
        <f t="shared" si="0"/>
        <v>736.47311634298421</v>
      </c>
    </row>
    <row r="45" spans="1:6">
      <c r="A45" s="7">
        <v>42926</v>
      </c>
      <c r="B45" s="1">
        <v>0.33333333333333331</v>
      </c>
      <c r="C45">
        <v>7351.3</v>
      </c>
      <c r="D45">
        <v>8.6999999999999993</v>
      </c>
      <c r="E45" s="3">
        <f t="shared" si="3"/>
        <v>7.5577299494683267E-2</v>
      </c>
      <c r="F45" s="4">
        <f t="shared" si="0"/>
        <v>736.20888454845772</v>
      </c>
    </row>
    <row r="46" spans="1:6">
      <c r="A46" s="7">
        <v>42936</v>
      </c>
      <c r="B46" s="1">
        <v>0.33333333333333331</v>
      </c>
      <c r="C46">
        <v>7379.4</v>
      </c>
      <c r="D46">
        <v>8.6999999999999993</v>
      </c>
      <c r="E46" s="3">
        <f t="shared" si="3"/>
        <v>7.3780373533519891E-2</v>
      </c>
      <c r="F46" s="4">
        <f t="shared" si="0"/>
        <v>736.02559810041907</v>
      </c>
    </row>
    <row r="47" spans="1:6">
      <c r="A47" s="7">
        <v>42946</v>
      </c>
      <c r="B47" s="1">
        <v>0.33333333333333331</v>
      </c>
      <c r="C47">
        <v>7350</v>
      </c>
      <c r="D47">
        <v>8.8000000000000007</v>
      </c>
      <c r="E47" s="3">
        <f t="shared" si="3"/>
        <v>7.5763669598937988E-2</v>
      </c>
      <c r="F47" s="4">
        <f t="shared" si="0"/>
        <v>736.22789429909164</v>
      </c>
    </row>
    <row r="48" spans="1:6">
      <c r="A48" s="7">
        <v>42957</v>
      </c>
      <c r="B48" s="1">
        <v>0.33333333333333331</v>
      </c>
      <c r="C48">
        <v>7325.2</v>
      </c>
      <c r="D48">
        <v>8.8000000000000007</v>
      </c>
      <c r="E48" s="3">
        <f t="shared" si="3"/>
        <v>7.7349881913106322E-2</v>
      </c>
      <c r="F48" s="4">
        <f t="shared" si="0"/>
        <v>736.38968795513688</v>
      </c>
    </row>
    <row r="49" spans="1:6">
      <c r="A49" s="7">
        <v>42967</v>
      </c>
      <c r="B49" s="1">
        <v>0.33333333333333331</v>
      </c>
      <c r="C49">
        <v>7352.2</v>
      </c>
      <c r="D49">
        <v>9.1</v>
      </c>
      <c r="E49" s="3">
        <f t="shared" si="3"/>
        <v>7.5932659534659733E-2</v>
      </c>
      <c r="F49" s="4">
        <f t="shared" si="0"/>
        <v>736.24513127253533</v>
      </c>
    </row>
    <row r="50" spans="1:6">
      <c r="A50" s="7">
        <v>42977</v>
      </c>
      <c r="B50" s="1">
        <v>0.33333333333333331</v>
      </c>
      <c r="C50">
        <v>7326.6</v>
      </c>
      <c r="D50">
        <v>9.1</v>
      </c>
      <c r="E50" s="3">
        <f t="shared" si="3"/>
        <v>7.757001901394546E-2</v>
      </c>
      <c r="F50" s="4">
        <f t="shared" si="0"/>
        <v>736.41214193942244</v>
      </c>
    </row>
    <row r="51" spans="1:6">
      <c r="A51" s="7">
        <v>42988</v>
      </c>
      <c r="B51" s="1">
        <v>0.33333333333333331</v>
      </c>
      <c r="C51">
        <v>7327.7</v>
      </c>
      <c r="D51">
        <v>9.1999999999999993</v>
      </c>
      <c r="E51" s="3">
        <f t="shared" si="3"/>
        <v>7.7602887190458034E-2</v>
      </c>
      <c r="F51" s="4">
        <f t="shared" si="0"/>
        <v>736.41549449342676</v>
      </c>
    </row>
    <row r="52" spans="1:6">
      <c r="A52" s="7">
        <v>42998</v>
      </c>
      <c r="B52" s="1">
        <v>0.33333333333333331</v>
      </c>
      <c r="C52">
        <v>7335.3</v>
      </c>
      <c r="D52">
        <v>9</v>
      </c>
      <c r="E52" s="3">
        <f t="shared" si="3"/>
        <v>7.6910309566878443E-2</v>
      </c>
      <c r="F52" s="4">
        <f t="shared" si="0"/>
        <v>736.34485157582162</v>
      </c>
    </row>
    <row r="53" spans="1:6">
      <c r="A53" s="7">
        <v>43008</v>
      </c>
      <c r="B53" s="1">
        <v>0.33333333333333331</v>
      </c>
      <c r="C53">
        <v>7357.8</v>
      </c>
      <c r="D53">
        <v>9</v>
      </c>
      <c r="E53" s="3">
        <f t="shared" si="3"/>
        <v>7.5471297311867691E-2</v>
      </c>
      <c r="F53" s="4">
        <f t="shared" si="0"/>
        <v>736.19807232581047</v>
      </c>
    </row>
    <row r="54" spans="1:6">
      <c r="A54" s="7">
        <v>43018</v>
      </c>
      <c r="B54" s="1">
        <v>0.33333333333333331</v>
      </c>
      <c r="C54">
        <v>7339.6</v>
      </c>
      <c r="D54">
        <v>9</v>
      </c>
      <c r="E54" s="3">
        <f t="shared" si="3"/>
        <v>7.663528052527524E-2</v>
      </c>
      <c r="F54" s="4">
        <f t="shared" si="0"/>
        <v>736.31679861357804</v>
      </c>
    </row>
    <row r="55" spans="1:6">
      <c r="A55" s="7">
        <v>43230</v>
      </c>
      <c r="B55" s="1">
        <v>0.33333333333333331</v>
      </c>
      <c r="C55">
        <v>7342.4</v>
      </c>
      <c r="D55">
        <v>8.6999999999999993</v>
      </c>
      <c r="E55" s="3">
        <f t="shared" si="3"/>
        <v>7.6146507571372077E-2</v>
      </c>
      <c r="F55" s="4">
        <f t="shared" si="0"/>
        <v>736.26694377228</v>
      </c>
    </row>
    <row r="56" spans="1:6">
      <c r="A56" s="7">
        <v>43240</v>
      </c>
      <c r="B56" s="1">
        <v>0.33333333333333331</v>
      </c>
      <c r="C56">
        <v>7347.2</v>
      </c>
      <c r="D56">
        <v>8.6999999999999993</v>
      </c>
      <c r="E56" s="3">
        <f t="shared" si="3"/>
        <v>7.5839514466908772E-2</v>
      </c>
      <c r="F56" s="4">
        <f t="shared" si="0"/>
        <v>736.2356304756247</v>
      </c>
    </row>
    <row r="57" spans="1:6">
      <c r="A57" s="7">
        <v>43250</v>
      </c>
      <c r="B57" s="1">
        <v>0.33333333333333331</v>
      </c>
      <c r="C57">
        <v>7337.3</v>
      </c>
      <c r="D57">
        <v>8.6</v>
      </c>
      <c r="E57" s="3">
        <f t="shared" si="3"/>
        <v>7.6369469635530055E-2</v>
      </c>
      <c r="F57" s="4">
        <f t="shared" si="0"/>
        <v>736.28968590282409</v>
      </c>
    </row>
    <row r="58" spans="1:6">
      <c r="A58" s="7">
        <v>43261</v>
      </c>
      <c r="B58" s="1">
        <v>0.33333333333333331</v>
      </c>
      <c r="C58">
        <v>7281.8</v>
      </c>
      <c r="D58">
        <v>8.5</v>
      </c>
      <c r="E58" s="3">
        <f t="shared" si="3"/>
        <v>7.981673828127088E-2</v>
      </c>
      <c r="F58" s="4">
        <f t="shared" si="0"/>
        <v>736.64130730468958</v>
      </c>
    </row>
    <row r="59" spans="1:6">
      <c r="A59" s="7">
        <v>43271</v>
      </c>
      <c r="B59" s="1">
        <v>0.33333333333333331</v>
      </c>
      <c r="C59">
        <v>7119.7</v>
      </c>
      <c r="D59">
        <v>8.6999999999999993</v>
      </c>
      <c r="E59" s="3">
        <f t="shared" si="3"/>
        <v>9.0401238802544456E-2</v>
      </c>
      <c r="F59" s="4">
        <f t="shared" si="0"/>
        <v>737.72092635785953</v>
      </c>
    </row>
    <row r="60" spans="1:6">
      <c r="A60" s="7">
        <v>43281</v>
      </c>
      <c r="B60" s="1">
        <v>0.33333333333333331</v>
      </c>
      <c r="C60">
        <v>7181.7</v>
      </c>
      <c r="D60">
        <v>8.5</v>
      </c>
      <c r="E60" s="3">
        <f t="shared" si="3"/>
        <v>8.6223974444548865E-2</v>
      </c>
      <c r="F60" s="4">
        <f t="shared" si="0"/>
        <v>737.29484539334396</v>
      </c>
    </row>
    <row r="61" spans="1:6">
      <c r="A61" s="7">
        <v>43291</v>
      </c>
      <c r="B61" s="1">
        <v>0.33333333333333331</v>
      </c>
      <c r="C61">
        <v>7292</v>
      </c>
      <c r="D61">
        <v>8.5</v>
      </c>
      <c r="E61" s="3">
        <f t="shared" si="3"/>
        <v>7.9164109122349988E-2</v>
      </c>
      <c r="F61" s="4">
        <f t="shared" si="0"/>
        <v>736.57473913047966</v>
      </c>
    </row>
    <row r="62" spans="1:6">
      <c r="A62" s="7">
        <v>43301</v>
      </c>
      <c r="B62" s="1">
        <v>0.33333333333333331</v>
      </c>
      <c r="C62">
        <v>7270.6</v>
      </c>
      <c r="D62">
        <v>8.5</v>
      </c>
      <c r="E62" s="3">
        <f t="shared" si="3"/>
        <v>8.0533405238159814E-2</v>
      </c>
      <c r="F62" s="4">
        <f t="shared" si="0"/>
        <v>736.71440733429233</v>
      </c>
    </row>
    <row r="63" spans="1:6">
      <c r="A63" s="7">
        <v>43311</v>
      </c>
      <c r="B63" s="1">
        <v>0.33333333333333331</v>
      </c>
      <c r="C63">
        <v>7269.6</v>
      </c>
      <c r="D63">
        <v>8.1999999999999993</v>
      </c>
      <c r="E63" s="3">
        <f t="shared" si="3"/>
        <v>8.0287707335823272E-2</v>
      </c>
      <c r="F63" s="4">
        <f t="shared" si="0"/>
        <v>736.689346148254</v>
      </c>
    </row>
    <row r="64" spans="1:6">
      <c r="A64" s="7">
        <v>43322</v>
      </c>
      <c r="B64" s="1">
        <v>0.33333333333333331</v>
      </c>
      <c r="C64">
        <v>7225.2</v>
      </c>
      <c r="D64">
        <v>8.4</v>
      </c>
      <c r="E64" s="3">
        <f t="shared" si="3"/>
        <v>8.3335821144786354E-2</v>
      </c>
      <c r="F64" s="4">
        <f t="shared" si="0"/>
        <v>737.00025375676819</v>
      </c>
    </row>
    <row r="65" spans="1:6">
      <c r="A65" s="7">
        <v>43332</v>
      </c>
      <c r="B65" s="1">
        <v>0.33333333333333331</v>
      </c>
      <c r="C65">
        <v>7261.5</v>
      </c>
      <c r="D65">
        <v>8.3000000000000007</v>
      </c>
      <c r="E65" s="3">
        <f t="shared" si="3"/>
        <v>8.0909279982039728E-2</v>
      </c>
      <c r="F65" s="4">
        <f t="shared" si="0"/>
        <v>736.75274655816804</v>
      </c>
    </row>
    <row r="66" spans="1:6">
      <c r="A66" s="7">
        <v>43342</v>
      </c>
      <c r="B66" s="1">
        <v>0.33333333333333331</v>
      </c>
      <c r="C66">
        <v>7147.6</v>
      </c>
      <c r="D66">
        <v>8.3000000000000007</v>
      </c>
      <c r="E66" s="3">
        <f t="shared" si="3"/>
        <v>8.8201241561256027E-2</v>
      </c>
      <c r="F66" s="4">
        <f t="shared" si="0"/>
        <v>737.49652663924815</v>
      </c>
    </row>
    <row r="67" spans="1:6">
      <c r="A67" s="7">
        <v>43353</v>
      </c>
      <c r="B67" s="1">
        <v>0.33333333333333331</v>
      </c>
      <c r="C67">
        <v>7073.6</v>
      </c>
      <c r="D67">
        <v>8.5</v>
      </c>
      <c r="E67" s="3">
        <f t="shared" ref="E67:E70" si="4">($B$2*C67^2+$B$3*C67+$B$4)-$B$5*D67-$E$7</f>
        <v>9.3148399512645627E-2</v>
      </c>
      <c r="F67" s="4">
        <f t="shared" ref="F67:F70" si="5">$D$1+102*E67</f>
        <v>738.0011367502899</v>
      </c>
    </row>
    <row r="68" spans="1:6">
      <c r="A68" s="7">
        <v>43363</v>
      </c>
      <c r="B68" s="1">
        <v>0.33333333333333331</v>
      </c>
      <c r="C68">
        <v>7201.9</v>
      </c>
      <c r="D68">
        <v>8.6</v>
      </c>
      <c r="E68" s="3">
        <f t="shared" si="4"/>
        <v>8.5033867993892634E-2</v>
      </c>
      <c r="F68" s="4">
        <f t="shared" si="5"/>
        <v>737.173454535377</v>
      </c>
    </row>
    <row r="69" spans="1:6">
      <c r="A69" s="7">
        <v>43373</v>
      </c>
      <c r="B69" s="1">
        <v>0.33333333333333331</v>
      </c>
      <c r="C69">
        <v>7227.6</v>
      </c>
      <c r="D69">
        <v>8.3000000000000007</v>
      </c>
      <c r="E69" s="3">
        <f t="shared" si="4"/>
        <v>8.3078965652584047E-2</v>
      </c>
      <c r="F69" s="4">
        <f t="shared" si="5"/>
        <v>736.97405449656355</v>
      </c>
    </row>
    <row r="70" spans="1:6">
      <c r="A70" s="7">
        <v>43383</v>
      </c>
      <c r="B70" s="1">
        <v>0.33333333333333331</v>
      </c>
      <c r="C70">
        <v>7230.3</v>
      </c>
      <c r="D70">
        <v>8.3000000000000007</v>
      </c>
      <c r="E70" s="3">
        <f t="shared" si="4"/>
        <v>8.290613965767446E-2</v>
      </c>
      <c r="F70" s="4">
        <f t="shared" si="5"/>
        <v>736.95642624508275</v>
      </c>
    </row>
    <row r="71" spans="1:6">
      <c r="A71" s="7">
        <v>43393</v>
      </c>
      <c r="B71" s="1">
        <v>0.33333333333333331</v>
      </c>
      <c r="C71">
        <v>7236.4</v>
      </c>
      <c r="D71">
        <v>8</v>
      </c>
      <c r="E71" s="3">
        <f t="shared" ref="E71:E82" si="6">($B$2*C71^2+$B$3*C71+$B$4)-$B$5*D71-$E$7</f>
        <v>8.220600434508972E-2</v>
      </c>
      <c r="F71" s="4">
        <f t="shared" ref="F71:F82" si="7">$D$1+102*E71</f>
        <v>736.88501244319912</v>
      </c>
    </row>
    <row r="72" spans="1:6">
      <c r="A72" s="32">
        <v>43605</v>
      </c>
      <c r="B72" s="1">
        <v>0.33333333333333331</v>
      </c>
      <c r="C72">
        <v>7272.6</v>
      </c>
      <c r="D72">
        <v>7.8</v>
      </c>
      <c r="E72" s="3">
        <f t="shared" si="6"/>
        <v>7.9682817608331069E-2</v>
      </c>
      <c r="F72" s="4">
        <f t="shared" si="7"/>
        <v>736.62764739604972</v>
      </c>
    </row>
    <row r="73" spans="1:6">
      <c r="A73" s="32">
        <v>43615</v>
      </c>
      <c r="B73" s="1">
        <v>0.33333333333333331</v>
      </c>
      <c r="C73">
        <v>7273.4</v>
      </c>
      <c r="D73">
        <v>7.9</v>
      </c>
      <c r="E73" s="3">
        <f t="shared" si="6"/>
        <v>7.9734855546185548E-2</v>
      </c>
      <c r="F73" s="4">
        <f t="shared" si="7"/>
        <v>736.63295526571096</v>
      </c>
    </row>
    <row r="74" spans="1:6">
      <c r="A74" s="32">
        <v>43626</v>
      </c>
      <c r="B74" s="1">
        <v>0.33333333333333331</v>
      </c>
      <c r="C74">
        <v>7273.6</v>
      </c>
      <c r="D74">
        <v>8.1</v>
      </c>
      <c r="E74" s="3">
        <f t="shared" si="6"/>
        <v>7.9928516876165645E-2</v>
      </c>
      <c r="F74" s="4">
        <f t="shared" si="7"/>
        <v>736.65270872136887</v>
      </c>
    </row>
    <row r="75" spans="1:6">
      <c r="A75" s="32">
        <v>43636</v>
      </c>
      <c r="B75" s="1">
        <v>0.33333333333333331</v>
      </c>
      <c r="C75">
        <v>7274.3</v>
      </c>
      <c r="D75">
        <v>8.3000000000000007</v>
      </c>
      <c r="E75" s="3">
        <f t="shared" si="6"/>
        <v>8.0090183674473681E-2</v>
      </c>
      <c r="F75" s="4">
        <f t="shared" si="7"/>
        <v>736.66919873479628</v>
      </c>
    </row>
    <row r="76" spans="1:6">
      <c r="A76" s="7">
        <v>43646</v>
      </c>
      <c r="B76" s="1">
        <v>0.33333333333333331</v>
      </c>
      <c r="C76">
        <v>7179</v>
      </c>
      <c r="D76">
        <v>7.8</v>
      </c>
      <c r="E76" s="3">
        <f t="shared" si="6"/>
        <v>8.5674252966341014E-2</v>
      </c>
      <c r="F76" s="4">
        <f t="shared" si="7"/>
        <v>737.23877380256681</v>
      </c>
    </row>
    <row r="77" spans="1:6">
      <c r="A77" s="7">
        <v>43656</v>
      </c>
      <c r="B77" s="1">
        <v>0.33333333333333331</v>
      </c>
      <c r="C77">
        <v>7178.2</v>
      </c>
      <c r="D77">
        <v>7.8</v>
      </c>
      <c r="E77" s="3">
        <f t="shared" si="6"/>
        <v>8.5725479002622951E-2</v>
      </c>
      <c r="F77" s="4">
        <f t="shared" si="7"/>
        <v>737.24399885826756</v>
      </c>
    </row>
    <row r="78" spans="1:6">
      <c r="A78" s="7">
        <v>43666</v>
      </c>
      <c r="B78" s="1">
        <v>0.33333333333333331</v>
      </c>
      <c r="C78">
        <v>7175.7</v>
      </c>
      <c r="D78">
        <v>7.7</v>
      </c>
      <c r="E78" s="3">
        <f t="shared" si="6"/>
        <v>8.5782332643563636E-2</v>
      </c>
      <c r="F78" s="4">
        <f t="shared" si="7"/>
        <v>737.24979792964348</v>
      </c>
    </row>
    <row r="79" spans="1:6">
      <c r="A79" s="7">
        <v>43676</v>
      </c>
      <c r="B79" s="1">
        <v>0.33333333333333331</v>
      </c>
      <c r="C79">
        <v>7170.6</v>
      </c>
      <c r="D79">
        <v>7.6</v>
      </c>
      <c r="E79" s="3">
        <f t="shared" si="6"/>
        <v>8.6005681676199819E-2</v>
      </c>
      <c r="F79" s="4">
        <f t="shared" si="7"/>
        <v>737.27257953097239</v>
      </c>
    </row>
    <row r="80" spans="1:6">
      <c r="A80" s="7">
        <v>43687</v>
      </c>
      <c r="B80" s="1">
        <v>0.33333333333333331</v>
      </c>
      <c r="C80">
        <v>7165.3</v>
      </c>
      <c r="D80">
        <v>7.6</v>
      </c>
      <c r="E80" s="3">
        <f t="shared" si="6"/>
        <v>8.6345079858412499E-2</v>
      </c>
      <c r="F80" s="4">
        <f t="shared" si="7"/>
        <v>737.30719814555812</v>
      </c>
    </row>
    <row r="81" spans="1:6">
      <c r="A81" s="7">
        <v>43697</v>
      </c>
      <c r="B81" s="1">
        <v>0.33333333333333331</v>
      </c>
      <c r="C81">
        <v>7160.6</v>
      </c>
      <c r="D81">
        <v>7.4</v>
      </c>
      <c r="E81" s="3">
        <f t="shared" si="6"/>
        <v>8.6439607101303897E-2</v>
      </c>
      <c r="F81" s="4">
        <f t="shared" si="7"/>
        <v>737.31683992433295</v>
      </c>
    </row>
    <row r="82" spans="1:6">
      <c r="A82" s="7">
        <v>43707</v>
      </c>
      <c r="B82" s="1">
        <v>0.33333333333333331</v>
      </c>
      <c r="C82">
        <v>7077.8</v>
      </c>
      <c r="D82">
        <v>7.5</v>
      </c>
      <c r="E82" s="3">
        <f t="shared" si="6"/>
        <v>9.1846970108523746E-2</v>
      </c>
      <c r="F82" s="4">
        <f t="shared" si="7"/>
        <v>737.86839095106939</v>
      </c>
    </row>
  </sheetData>
  <phoneticPr fontId="4" type="noConversion"/>
  <pageMargins left="0.69930555555555596" right="0.69930555555555596" top="0.75" bottom="0.75" header="0.3" footer="0.3"/>
  <pageSetup paperSize="9" orientation="portrait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5"/>
  <sheetViews>
    <sheetView topLeftCell="A41" workbookViewId="0">
      <selection activeCell="A59" sqref="A59:B65"/>
    </sheetView>
  </sheetViews>
  <sheetFormatPr defaultColWidth="9" defaultRowHeight="13.5"/>
  <cols>
    <col min="1" max="1" width="11" customWidth="1"/>
    <col min="2" max="2" width="13.875" customWidth="1"/>
    <col min="5" max="5" width="10.875" customWidth="1"/>
  </cols>
  <sheetData>
    <row r="1" spans="1:7">
      <c r="A1" t="s">
        <v>0</v>
      </c>
      <c r="B1">
        <v>50412</v>
      </c>
      <c r="C1" t="s">
        <v>1</v>
      </c>
      <c r="D1">
        <v>735</v>
      </c>
    </row>
    <row r="2" spans="1:7">
      <c r="A2" t="s">
        <v>2</v>
      </c>
      <c r="B2" s="11">
        <f>5.70585*10^-10</f>
        <v>5.7058500000000005E-10</v>
      </c>
    </row>
    <row r="3" spans="1:7">
      <c r="A3" t="s">
        <v>3</v>
      </c>
      <c r="B3" s="11">
        <v>-7.7575000000000002E-5</v>
      </c>
    </row>
    <row r="4" spans="1:7">
      <c r="A4" t="s">
        <v>4</v>
      </c>
      <c r="B4" s="11">
        <v>0.70124162000000001</v>
      </c>
    </row>
    <row r="5" spans="1:7">
      <c r="A5" t="s">
        <v>5</v>
      </c>
      <c r="B5" s="11">
        <v>-1.0116470000000001E-3</v>
      </c>
    </row>
    <row r="6" spans="1:7">
      <c r="A6" t="s">
        <v>6</v>
      </c>
      <c r="B6" t="s">
        <v>7</v>
      </c>
      <c r="C6" t="s">
        <v>8</v>
      </c>
      <c r="D6" t="s">
        <v>9</v>
      </c>
      <c r="E6" t="s">
        <v>10</v>
      </c>
      <c r="F6" t="s">
        <v>11</v>
      </c>
      <c r="G6" t="s">
        <v>12</v>
      </c>
    </row>
    <row r="7" spans="1:7">
      <c r="A7" s="7">
        <v>42576</v>
      </c>
      <c r="B7" s="1">
        <v>0.60416666666666696</v>
      </c>
      <c r="C7" s="2">
        <v>9725.7999999999993</v>
      </c>
      <c r="D7" s="2">
        <v>20</v>
      </c>
      <c r="E7" s="3">
        <f>($B$2*C7^2+$B$3*C7+$B$4)-$B$5*D7</f>
        <v>2.0967936658399491E-2</v>
      </c>
      <c r="G7" t="s">
        <v>13</v>
      </c>
    </row>
    <row r="8" spans="1:7">
      <c r="A8" s="7">
        <v>42579</v>
      </c>
      <c r="B8" s="1">
        <v>0.66666666666666696</v>
      </c>
      <c r="C8" s="2">
        <v>9770.5</v>
      </c>
      <c r="D8" s="2">
        <v>24.3</v>
      </c>
      <c r="E8" s="3">
        <f>($B$2*C8^2+$B$3*C8+$B$4)-$B$5*D8-$E$7</f>
        <v>1.3797356461966587E-3</v>
      </c>
      <c r="F8" s="4">
        <f>$D$1+102*E8</f>
        <v>735.14073303591204</v>
      </c>
      <c r="G8" s="5" t="s">
        <v>14</v>
      </c>
    </row>
    <row r="9" spans="1:7">
      <c r="A9" s="7">
        <v>42580</v>
      </c>
      <c r="B9" s="1">
        <v>0.33333333333333298</v>
      </c>
      <c r="C9" s="2">
        <v>9839</v>
      </c>
      <c r="D9" s="2">
        <v>30</v>
      </c>
      <c r="E9" s="3">
        <f>($B$2*C9^2+$B$3*C9+$B$4)-$B$5*D9-$E$7</f>
        <v>2.5986747753855115E-3</v>
      </c>
      <c r="F9" s="4">
        <f t="shared" ref="F9:F47" si="0">$D$1+102*E9</f>
        <v>735.2650648270893</v>
      </c>
    </row>
    <row r="10" spans="1:7">
      <c r="A10" s="7">
        <v>42581</v>
      </c>
      <c r="B10" s="1">
        <v>0.33333333333333298</v>
      </c>
      <c r="C10" s="2">
        <v>9862.5</v>
      </c>
      <c r="D10" s="2">
        <v>32.299999999999997</v>
      </c>
      <c r="E10" s="3">
        <f>($B$2*C10^2+$B$3*C10+$B$4)-$B$5*D10-$E$7</f>
        <v>3.3666228142567901E-3</v>
      </c>
      <c r="F10" s="4">
        <f t="shared" si="0"/>
        <v>735.34339552705421</v>
      </c>
    </row>
    <row r="11" spans="1:7">
      <c r="A11" s="7">
        <v>42583</v>
      </c>
      <c r="B11" s="1">
        <v>0.33333333333333298</v>
      </c>
      <c r="C11" s="2">
        <v>9841.4</v>
      </c>
      <c r="D11" s="2">
        <v>31.4</v>
      </c>
      <c r="E11" s="3">
        <f t="shared" ref="E11:E38" si="1">($B$2*C11^2+$B$3*C11+$B$4)-$B$5*D11-$E$7</f>
        <v>3.8557509938671429E-3</v>
      </c>
      <c r="F11" s="4">
        <f t="shared" si="0"/>
        <v>735.39328660137448</v>
      </c>
    </row>
    <row r="12" spans="1:7">
      <c r="A12" s="7">
        <v>42584</v>
      </c>
      <c r="B12" s="1">
        <v>0.33333333333333298</v>
      </c>
      <c r="C12" s="2">
        <v>9832.4</v>
      </c>
      <c r="D12" s="2">
        <v>28.6</v>
      </c>
      <c r="E12" s="3">
        <f t="shared" si="1"/>
        <v>1.6202842173101174E-3</v>
      </c>
      <c r="F12" s="4">
        <f t="shared" si="0"/>
        <v>735.1652689901656</v>
      </c>
    </row>
    <row r="13" spans="1:7">
      <c r="A13" s="7">
        <v>42585</v>
      </c>
      <c r="B13" s="1">
        <v>0.33333333333333298</v>
      </c>
      <c r="C13" s="2">
        <v>9817.6</v>
      </c>
      <c r="D13" s="2">
        <v>26.3</v>
      </c>
      <c r="E13" s="3">
        <f t="shared" si="1"/>
        <v>2.7566858761008534E-4</v>
      </c>
      <c r="F13" s="4">
        <f t="shared" si="0"/>
        <v>735.02811819593626</v>
      </c>
    </row>
    <row r="14" spans="1:7">
      <c r="A14" s="7">
        <v>42586</v>
      </c>
      <c r="B14" s="9">
        <v>0.33333333333333298</v>
      </c>
      <c r="C14" s="2">
        <v>9798.4</v>
      </c>
      <c r="D14" s="2">
        <v>24.5</v>
      </c>
      <c r="E14" s="3">
        <f t="shared" si="1"/>
        <v>-2.7075384330196156E-4</v>
      </c>
      <c r="F14" s="4">
        <f t="shared" si="0"/>
        <v>734.97238310798321</v>
      </c>
    </row>
    <row r="15" spans="1:7">
      <c r="A15" s="7">
        <v>42589</v>
      </c>
      <c r="B15" s="1">
        <v>0.33333333333333298</v>
      </c>
      <c r="C15" s="2">
        <v>9715</v>
      </c>
      <c r="D15" s="2">
        <v>22.2</v>
      </c>
      <c r="E15" s="3">
        <f t="shared" si="1"/>
        <v>2.9436330082255428E-3</v>
      </c>
      <c r="F15" s="4">
        <f t="shared" si="0"/>
        <v>735.30025056683905</v>
      </c>
    </row>
    <row r="16" spans="1:7">
      <c r="A16" s="7">
        <v>42602</v>
      </c>
      <c r="B16" s="9">
        <v>0.33333333333333298</v>
      </c>
      <c r="C16" s="2">
        <v>9702.2999999999993</v>
      </c>
      <c r="D16" s="2">
        <v>18.899999999999999</v>
      </c>
      <c r="E16" s="3">
        <f t="shared" si="1"/>
        <v>4.4969431269525212E-4</v>
      </c>
      <c r="F16" s="4">
        <f t="shared" si="0"/>
        <v>735.04586881989496</v>
      </c>
    </row>
    <row r="17" spans="1:7">
      <c r="A17" s="7">
        <v>42612</v>
      </c>
      <c r="B17" s="1">
        <v>0.33333333333333298</v>
      </c>
      <c r="C17" s="2">
        <v>9663.2999999999993</v>
      </c>
      <c r="D17" s="2">
        <v>16.899999999999999</v>
      </c>
      <c r="E17" s="3">
        <f t="shared" si="1"/>
        <v>1.0208861985311346E-3</v>
      </c>
      <c r="F17" s="4">
        <f t="shared" si="0"/>
        <v>735.10413039225023</v>
      </c>
      <c r="G17" s="5"/>
    </row>
    <row r="18" spans="1:7">
      <c r="A18" s="7">
        <v>42623</v>
      </c>
      <c r="B18" s="1">
        <v>0.33333333333333298</v>
      </c>
      <c r="C18" s="2">
        <v>9620.1</v>
      </c>
      <c r="D18" s="2">
        <v>15.8</v>
      </c>
      <c r="E18" s="3">
        <f t="shared" si="1"/>
        <v>2.7839927268463703E-3</v>
      </c>
      <c r="F18" s="4">
        <f t="shared" si="0"/>
        <v>735.28396725813832</v>
      </c>
    </row>
    <row r="19" spans="1:7">
      <c r="A19" s="7">
        <v>42633</v>
      </c>
      <c r="B19" s="1">
        <v>0.33333333333333331</v>
      </c>
      <c r="C19" s="2">
        <v>9556</v>
      </c>
      <c r="D19" s="2">
        <v>14.7</v>
      </c>
      <c r="E19" s="3">
        <f t="shared" si="1"/>
        <v>5.9423822861604976E-3</v>
      </c>
      <c r="F19" s="4">
        <f t="shared" si="0"/>
        <v>735.60612299318836</v>
      </c>
    </row>
    <row r="20" spans="1:7">
      <c r="A20" s="7">
        <v>42643</v>
      </c>
      <c r="B20" s="1">
        <v>0.33333333333333331</v>
      </c>
      <c r="C20" s="2">
        <v>9264.6</v>
      </c>
      <c r="D20" s="2">
        <v>12.3</v>
      </c>
      <c r="E20" s="3">
        <f t="shared" si="1"/>
        <v>2.2990512138499074E-2</v>
      </c>
      <c r="F20" s="4">
        <f t="shared" si="0"/>
        <v>737.34503223812692</v>
      </c>
      <c r="G20" s="2"/>
    </row>
    <row r="21" spans="1:7">
      <c r="A21" s="7">
        <v>42653</v>
      </c>
      <c r="B21" s="1">
        <v>0.33333333333333331</v>
      </c>
      <c r="C21" s="2">
        <v>9209.9</v>
      </c>
      <c r="D21" s="2">
        <v>8.6</v>
      </c>
      <c r="E21" s="3">
        <f t="shared" si="1"/>
        <v>2.2914163128236357E-2</v>
      </c>
      <c r="F21" s="4">
        <f t="shared" si="0"/>
        <v>737.33724463908015</v>
      </c>
      <c r="G21" s="2"/>
    </row>
    <row r="22" spans="1:7">
      <c r="A22" s="7">
        <v>42855</v>
      </c>
      <c r="B22" s="1">
        <v>0.33333333333333331</v>
      </c>
      <c r="C22" s="2">
        <v>9107.4</v>
      </c>
      <c r="D22" s="2">
        <v>5</v>
      </c>
      <c r="E22" s="3">
        <f t="shared" si="1"/>
        <v>2.6152384824635066E-2</v>
      </c>
      <c r="F22" s="4">
        <f t="shared" si="0"/>
        <v>737.66754325211275</v>
      </c>
    </row>
    <row r="23" spans="1:7">
      <c r="A23" s="7">
        <v>42865</v>
      </c>
      <c r="B23" s="1">
        <v>0.33333333333333331</v>
      </c>
      <c r="C23" s="2">
        <v>9036.1</v>
      </c>
      <c r="D23" s="2">
        <v>5.7</v>
      </c>
      <c r="E23" s="3">
        <f t="shared" si="1"/>
        <v>3.1653508466678387E-2</v>
      </c>
      <c r="F23" s="4">
        <f t="shared" si="0"/>
        <v>738.22865786360114</v>
      </c>
    </row>
    <row r="24" spans="1:7">
      <c r="A24" s="7">
        <v>42875</v>
      </c>
      <c r="B24" s="1">
        <v>0.33333333333333331</v>
      </c>
      <c r="C24" s="2">
        <v>9174.6</v>
      </c>
      <c r="D24" s="2">
        <v>6.9</v>
      </c>
      <c r="E24" s="3">
        <f t="shared" si="1"/>
        <v>2.3562466554619067E-2</v>
      </c>
      <c r="F24" s="4">
        <f t="shared" si="0"/>
        <v>737.40337158857119</v>
      </c>
    </row>
    <row r="25" spans="1:7">
      <c r="A25" s="6">
        <v>42885</v>
      </c>
      <c r="B25" s="1">
        <v>0.33333333333333331</v>
      </c>
      <c r="C25" s="2">
        <v>9218.6</v>
      </c>
      <c r="D25" s="2">
        <v>6.7</v>
      </c>
      <c r="E25" s="3">
        <f t="shared" si="1"/>
        <v>2.0408612051587196E-2</v>
      </c>
      <c r="F25" s="4">
        <f t="shared" si="0"/>
        <v>737.08167842926184</v>
      </c>
    </row>
    <row r="26" spans="1:7">
      <c r="A26" s="7">
        <v>42896</v>
      </c>
      <c r="B26" s="1">
        <v>0.33333333333333331</v>
      </c>
      <c r="C26" s="2">
        <v>9212.5</v>
      </c>
      <c r="D26" s="2">
        <v>6.3</v>
      </c>
      <c r="E26" s="3">
        <f t="shared" si="1"/>
        <v>2.0413010045506757E-2</v>
      </c>
      <c r="F26" s="4">
        <f t="shared" si="0"/>
        <v>737.08212702464164</v>
      </c>
    </row>
    <row r="27" spans="1:7">
      <c r="A27" s="7">
        <v>42906</v>
      </c>
      <c r="B27" s="1">
        <v>0.33333333333333331</v>
      </c>
      <c r="C27" s="2">
        <v>9209.6</v>
      </c>
      <c r="D27" s="2">
        <v>8.3000000000000007</v>
      </c>
      <c r="E27" s="3">
        <f t="shared" si="1"/>
        <v>2.2630788561114088E-2</v>
      </c>
      <c r="F27" s="4">
        <f t="shared" si="0"/>
        <v>737.30834043323364</v>
      </c>
    </row>
    <row r="28" spans="1:7">
      <c r="A28" s="7">
        <v>42926</v>
      </c>
      <c r="B28" s="1">
        <v>0.33333333333333331</v>
      </c>
      <c r="C28" s="2">
        <v>9271.7999999999993</v>
      </c>
      <c r="D28" s="2">
        <v>10</v>
      </c>
      <c r="E28" s="3">
        <f t="shared" si="1"/>
        <v>2.0181335499415965E-2</v>
      </c>
      <c r="F28" s="4">
        <f t="shared" si="0"/>
        <v>737.05849622094047</v>
      </c>
    </row>
    <row r="29" spans="1:7">
      <c r="A29" s="7">
        <v>42936</v>
      </c>
      <c r="B29" s="1">
        <v>0.33333333333333331</v>
      </c>
      <c r="C29" s="2">
        <v>9271.1</v>
      </c>
      <c r="D29" s="2">
        <v>10.199999999999999</v>
      </c>
      <c r="E29" s="3">
        <f t="shared" si="1"/>
        <v>2.0430561188998397E-2</v>
      </c>
      <c r="F29" s="4">
        <f t="shared" si="0"/>
        <v>737.08391724127785</v>
      </c>
    </row>
    <row r="30" spans="1:7">
      <c r="A30" s="7">
        <v>42946</v>
      </c>
      <c r="B30" s="1">
        <v>0.33333333333333331</v>
      </c>
      <c r="C30" s="2">
        <v>9285.5</v>
      </c>
      <c r="D30" s="2">
        <v>10.5</v>
      </c>
      <c r="E30" s="3">
        <f t="shared" si="1"/>
        <v>1.9769444182596841E-2</v>
      </c>
      <c r="F30" s="4">
        <f t="shared" si="0"/>
        <v>737.01648330662488</v>
      </c>
    </row>
    <row r="31" spans="1:7">
      <c r="A31" s="7">
        <v>42957</v>
      </c>
      <c r="B31" s="1">
        <v>0.33333333333333331</v>
      </c>
      <c r="C31" s="2">
        <v>9282.1</v>
      </c>
      <c r="D31" s="2">
        <v>11</v>
      </c>
      <c r="E31" s="3">
        <f t="shared" si="1"/>
        <v>2.0503001742840404E-2</v>
      </c>
      <c r="F31" s="4">
        <f t="shared" si="0"/>
        <v>737.09130617776975</v>
      </c>
    </row>
    <row r="32" spans="1:7">
      <c r="A32" s="7">
        <v>42967</v>
      </c>
      <c r="B32" s="1">
        <v>0.33333333333333331</v>
      </c>
      <c r="C32" s="2">
        <v>9289.7000000000007</v>
      </c>
      <c r="D32" s="2">
        <v>10.9</v>
      </c>
      <c r="E32" s="3">
        <f t="shared" si="1"/>
        <v>1.9892802650663097E-2</v>
      </c>
      <c r="F32" s="4">
        <f t="shared" si="0"/>
        <v>737.02906587036762</v>
      </c>
    </row>
    <row r="33" spans="1:6">
      <c r="A33" s="7">
        <v>42977</v>
      </c>
      <c r="B33" s="1">
        <v>0.33333333333333331</v>
      </c>
      <c r="C33" s="2">
        <v>9258.1</v>
      </c>
      <c r="D33" s="2">
        <v>10.4</v>
      </c>
      <c r="E33" s="3">
        <f t="shared" si="1"/>
        <v>2.1503923302432313E-2</v>
      </c>
      <c r="F33" s="4">
        <f t="shared" si="0"/>
        <v>737.19340017684806</v>
      </c>
    </row>
    <row r="34" spans="1:6">
      <c r="A34" s="7">
        <v>42988</v>
      </c>
      <c r="B34" s="1">
        <v>0.33333333333333331</v>
      </c>
      <c r="C34" s="2">
        <v>9259.1</v>
      </c>
      <c r="D34" s="2">
        <v>10.4</v>
      </c>
      <c r="E34" s="3">
        <f t="shared" si="1"/>
        <v>2.143691393899436E-2</v>
      </c>
      <c r="F34" s="4">
        <f t="shared" si="0"/>
        <v>737.18656522177741</v>
      </c>
    </row>
    <row r="35" spans="1:6">
      <c r="A35" s="7">
        <v>42998</v>
      </c>
      <c r="B35" s="1">
        <v>0.33333333333333331</v>
      </c>
      <c r="C35" s="2">
        <v>9265.5</v>
      </c>
      <c r="D35" s="2">
        <v>10.3</v>
      </c>
      <c r="E35" s="3">
        <f t="shared" si="1"/>
        <v>2.090691633589677E-2</v>
      </c>
      <c r="F35" s="4">
        <f t="shared" si="0"/>
        <v>737.13250546626148</v>
      </c>
    </row>
    <row r="36" spans="1:6">
      <c r="A36" s="7">
        <v>43008</v>
      </c>
      <c r="B36" s="1">
        <v>0.33333333333333331</v>
      </c>
      <c r="C36" s="2">
        <v>9272.9</v>
      </c>
      <c r="D36" s="2">
        <v>10.7</v>
      </c>
      <c r="E36" s="3">
        <f t="shared" si="1"/>
        <v>2.0815795359830361E-2</v>
      </c>
      <c r="F36" s="4">
        <f t="shared" si="0"/>
        <v>737.1232111267027</v>
      </c>
    </row>
    <row r="37" spans="1:6">
      <c r="A37" s="7">
        <v>43018</v>
      </c>
      <c r="B37" s="1">
        <v>0.33333333333333331</v>
      </c>
      <c r="C37" s="2">
        <v>9269.2999999999993</v>
      </c>
      <c r="D37" s="2">
        <v>10.3</v>
      </c>
      <c r="E37" s="3">
        <f t="shared" si="1"/>
        <v>2.065231891555715E-2</v>
      </c>
      <c r="F37" s="4">
        <f t="shared" si="0"/>
        <v>737.10653652938686</v>
      </c>
    </row>
    <row r="38" spans="1:6">
      <c r="A38" s="7">
        <v>43230</v>
      </c>
      <c r="B38" s="1">
        <v>0.33333333333333331</v>
      </c>
      <c r="C38" s="2">
        <v>9220.2999999999993</v>
      </c>
      <c r="D38" s="2">
        <v>6.4</v>
      </c>
      <c r="E38" s="3">
        <f t="shared" si="1"/>
        <v>1.9991126083173206E-2</v>
      </c>
      <c r="F38" s="4">
        <f t="shared" si="0"/>
        <v>737.03909486048371</v>
      </c>
    </row>
    <row r="39" spans="1:6">
      <c r="A39" s="7">
        <v>43240</v>
      </c>
      <c r="B39" s="1">
        <v>0.33333333333333331</v>
      </c>
      <c r="C39" s="2">
        <v>9226.7000000000007</v>
      </c>
      <c r="D39" s="2">
        <v>6.5</v>
      </c>
      <c r="E39" s="3">
        <f t="shared" ref="E39:E47" si="2">($B$2*C39^2+$B$3*C39+$B$4)-$B$5*D39-$E$7</f>
        <v>1.9663174504741091E-2</v>
      </c>
      <c r="F39" s="4">
        <f t="shared" si="0"/>
        <v>737.00564379948355</v>
      </c>
    </row>
    <row r="40" spans="1:6">
      <c r="A40" s="7">
        <v>43250</v>
      </c>
      <c r="B40" s="1">
        <v>0.33333333333333331</v>
      </c>
      <c r="C40" s="2">
        <v>9206.7999999999993</v>
      </c>
      <c r="D40" s="2">
        <v>6.3</v>
      </c>
      <c r="E40" s="3">
        <f t="shared" si="2"/>
        <v>2.0795281820650918E-2</v>
      </c>
      <c r="F40" s="4">
        <f t="shared" si="0"/>
        <v>737.12111874570644</v>
      </c>
    </row>
    <row r="41" spans="1:6">
      <c r="A41" s="7">
        <v>43261</v>
      </c>
      <c r="B41" s="1">
        <v>0.33333333333333331</v>
      </c>
      <c r="C41" s="2">
        <v>9138.4</v>
      </c>
      <c r="D41" s="2">
        <v>6.2</v>
      </c>
      <c r="E41" s="3">
        <f t="shared" si="2"/>
        <v>2.5284270398218091E-2</v>
      </c>
      <c r="F41" s="4">
        <f t="shared" si="0"/>
        <v>737.5789955806182</v>
      </c>
    </row>
    <row r="42" spans="1:6">
      <c r="A42" s="7">
        <v>43271</v>
      </c>
      <c r="B42" s="1">
        <v>0.33333333333333331</v>
      </c>
      <c r="C42" s="2">
        <v>8904.9</v>
      </c>
      <c r="D42" s="2">
        <v>6.5</v>
      </c>
      <c r="E42" s="3">
        <f t="shared" si="2"/>
        <v>4.1297589315046346E-2</v>
      </c>
      <c r="F42" s="4">
        <f t="shared" si="0"/>
        <v>739.2123541101347</v>
      </c>
    </row>
    <row r="43" spans="1:6">
      <c r="A43" s="7">
        <v>43281</v>
      </c>
      <c r="B43" s="1">
        <v>0.33333333333333331</v>
      </c>
      <c r="C43" s="2">
        <v>9016.4</v>
      </c>
      <c r="D43" s="2">
        <v>6.3</v>
      </c>
      <c r="E43" s="3">
        <f t="shared" si="2"/>
        <v>3.3585804598142185E-2</v>
      </c>
      <c r="F43" s="4">
        <f t="shared" si="0"/>
        <v>738.42575206901051</v>
      </c>
    </row>
    <row r="44" spans="1:6">
      <c r="A44" s="7">
        <v>43291</v>
      </c>
      <c r="B44" s="1">
        <v>0.33333333333333331</v>
      </c>
      <c r="C44" s="2">
        <v>9131</v>
      </c>
      <c r="D44" s="2">
        <v>6.9</v>
      </c>
      <c r="E44" s="3">
        <f t="shared" si="2"/>
        <v>2.6489338880785463E-2</v>
      </c>
      <c r="F44" s="4">
        <f t="shared" si="0"/>
        <v>737.70191256584008</v>
      </c>
    </row>
    <row r="45" spans="1:6">
      <c r="A45" s="7">
        <v>43301</v>
      </c>
      <c r="B45" s="1">
        <v>0.33333333333333331</v>
      </c>
      <c r="C45" s="2">
        <v>9164.2999999999993</v>
      </c>
      <c r="D45" s="2">
        <v>7.2</v>
      </c>
      <c r="E45" s="3">
        <f t="shared" si="2"/>
        <v>2.4557204971677207E-2</v>
      </c>
      <c r="F45" s="4">
        <f t="shared" si="0"/>
        <v>737.5048349071111</v>
      </c>
    </row>
    <row r="46" spans="1:6">
      <c r="A46" s="7">
        <v>43311</v>
      </c>
      <c r="B46" s="1">
        <v>0.33333333333333331</v>
      </c>
      <c r="C46" s="2">
        <v>9166.7999999999993</v>
      </c>
      <c r="D46" s="2">
        <v>7.2</v>
      </c>
      <c r="E46" s="3">
        <f t="shared" si="2"/>
        <v>2.4389416098411023E-2</v>
      </c>
      <c r="F46" s="4">
        <f t="shared" si="0"/>
        <v>737.48772044203793</v>
      </c>
    </row>
    <row r="47" spans="1:6">
      <c r="A47" s="7">
        <v>43322</v>
      </c>
      <c r="B47" s="1">
        <v>0.33333333333333331</v>
      </c>
      <c r="C47" s="2">
        <v>9131.6</v>
      </c>
      <c r="D47" s="2">
        <v>7.7</v>
      </c>
      <c r="E47" s="3">
        <f t="shared" si="2"/>
        <v>2.7258363700158123E-2</v>
      </c>
      <c r="F47" s="4">
        <f t="shared" si="0"/>
        <v>737.78035309741608</v>
      </c>
    </row>
    <row r="48" spans="1:6">
      <c r="A48" s="7">
        <v>43332</v>
      </c>
      <c r="B48" s="1">
        <v>0.33333333333333331</v>
      </c>
      <c r="C48" s="2">
        <v>9168.1</v>
      </c>
      <c r="D48" s="2">
        <v>7.7</v>
      </c>
      <c r="E48" s="3">
        <f t="shared" ref="E48:E49" si="3">($B$2*C48^2+$B$3*C48+$B$4)-$B$5*D48-$E$7</f>
        <v>2.4807992203002244E-2</v>
      </c>
      <c r="F48" s="4">
        <f t="shared" ref="F48:F49" si="4">$D$1+102*E48</f>
        <v>737.53041520470617</v>
      </c>
    </row>
    <row r="49" spans="1:6">
      <c r="A49" s="7">
        <v>43342</v>
      </c>
      <c r="B49" s="1">
        <v>0.33333333333333331</v>
      </c>
      <c r="C49" s="2">
        <v>9097.2000000000007</v>
      </c>
      <c r="D49" s="2">
        <v>7.7</v>
      </c>
      <c r="E49" s="3">
        <f t="shared" si="3"/>
        <v>2.9569146553386844E-2</v>
      </c>
      <c r="F49" s="4">
        <f t="shared" si="4"/>
        <v>738.01605294844546</v>
      </c>
    </row>
    <row r="50" spans="1:6">
      <c r="A50" s="7">
        <v>43353</v>
      </c>
      <c r="B50" s="1">
        <v>0.33333333333333331</v>
      </c>
      <c r="C50" s="2">
        <v>8972.2000000000007</v>
      </c>
      <c r="D50" s="2">
        <v>8.3000000000000007</v>
      </c>
      <c r="E50" s="3">
        <f t="shared" ref="E50:E53" si="5">($B$2*C50^2+$B$3*C50+$B$4)-$B$5*D50-$E$7</f>
        <v>3.8584243678511848E-2</v>
      </c>
      <c r="F50" s="4">
        <f t="shared" ref="F50:F53" si="6">$D$1+102*E50</f>
        <v>738.93559285520826</v>
      </c>
    </row>
    <row r="51" spans="1:6">
      <c r="A51" s="7">
        <v>43363</v>
      </c>
      <c r="B51" s="1">
        <v>0.33333333333333331</v>
      </c>
      <c r="C51" s="2">
        <v>9127.2000000000007</v>
      </c>
      <c r="D51" s="2">
        <v>8.9</v>
      </c>
      <c r="E51" s="3">
        <f t="shared" si="5"/>
        <v>2.8767830031606805E-2</v>
      </c>
      <c r="F51" s="4">
        <f t="shared" si="6"/>
        <v>737.93431866322385</v>
      </c>
    </row>
    <row r="52" spans="1:6">
      <c r="A52" s="7">
        <v>43373</v>
      </c>
      <c r="B52" s="1">
        <v>0.33333333333333331</v>
      </c>
      <c r="C52" s="2">
        <v>9141.2999999999993</v>
      </c>
      <c r="D52" s="2">
        <v>8.1999999999999993</v>
      </c>
      <c r="E52" s="3">
        <f t="shared" si="5"/>
        <v>2.7112844253829167E-2</v>
      </c>
      <c r="F52" s="4">
        <f t="shared" si="6"/>
        <v>737.76551011389063</v>
      </c>
    </row>
    <row r="53" spans="1:6">
      <c r="A53" s="7">
        <v>43383</v>
      </c>
      <c r="B53" s="1">
        <v>0.33333333333333331</v>
      </c>
      <c r="C53" s="2">
        <v>9147.6</v>
      </c>
      <c r="D53" s="2">
        <v>8</v>
      </c>
      <c r="E53" s="3">
        <f t="shared" si="5"/>
        <v>2.6487535197470099E-2</v>
      </c>
      <c r="F53" s="4">
        <f t="shared" si="6"/>
        <v>737.7017285901419</v>
      </c>
    </row>
    <row r="54" spans="1:6">
      <c r="A54" s="7">
        <v>43393</v>
      </c>
      <c r="B54" s="1">
        <v>0.33333333333333331</v>
      </c>
      <c r="C54" s="2">
        <v>9153.2000000000007</v>
      </c>
      <c r="D54" s="2">
        <v>7.9</v>
      </c>
      <c r="E54" s="3">
        <f t="shared" ref="E54:E65" si="7">($B$2*C54^2+$B$3*C54+$B$4)-$B$5*D54-$E$7</f>
        <v>2.6010426604490756E-2</v>
      </c>
      <c r="F54" s="4">
        <f t="shared" ref="F54:F65" si="8">$D$1+102*E54</f>
        <v>737.65306351365803</v>
      </c>
    </row>
    <row r="55" spans="1:6">
      <c r="A55" s="32">
        <v>43605</v>
      </c>
      <c r="B55" s="1">
        <v>0.33333333333333331</v>
      </c>
      <c r="C55" s="2">
        <v>9182.6</v>
      </c>
      <c r="D55" s="2">
        <v>7.1</v>
      </c>
      <c r="E55" s="3">
        <f t="shared" si="7"/>
        <v>2.3227990698315115E-2</v>
      </c>
      <c r="F55" s="4">
        <f t="shared" si="8"/>
        <v>737.36925505122815</v>
      </c>
    </row>
    <row r="56" spans="1:6">
      <c r="A56" s="32">
        <v>43615</v>
      </c>
      <c r="B56" s="1">
        <v>0.33333333333333331</v>
      </c>
      <c r="C56" s="2">
        <v>9179.4</v>
      </c>
      <c r="D56" s="2">
        <v>7.3</v>
      </c>
      <c r="E56" s="3">
        <f t="shared" si="7"/>
        <v>2.3645033436651117E-2</v>
      </c>
      <c r="F56" s="4">
        <f t="shared" si="8"/>
        <v>737.41179341053839</v>
      </c>
    </row>
    <row r="57" spans="1:6">
      <c r="A57" s="32">
        <v>43626</v>
      </c>
      <c r="B57" s="1">
        <v>0.33333333333333331</v>
      </c>
      <c r="C57" s="2">
        <v>9180.2999999999993</v>
      </c>
      <c r="D57" s="2">
        <v>7.3</v>
      </c>
      <c r="E57" s="3">
        <f t="shared" si="7"/>
        <v>2.3584644129133168E-2</v>
      </c>
      <c r="F57" s="4">
        <f t="shared" si="8"/>
        <v>737.40563370117161</v>
      </c>
    </row>
    <row r="58" spans="1:6">
      <c r="A58" s="32">
        <v>43636</v>
      </c>
      <c r="B58" s="1">
        <v>0.33333333333333331</v>
      </c>
      <c r="C58" s="2">
        <v>9181.2999999999993</v>
      </c>
      <c r="D58" s="2">
        <v>7.5</v>
      </c>
      <c r="E58" s="3">
        <f t="shared" si="7"/>
        <v>2.3719875382669172E-2</v>
      </c>
      <c r="F58" s="4">
        <f t="shared" si="8"/>
        <v>737.41942728903223</v>
      </c>
    </row>
    <row r="59" spans="1:6">
      <c r="A59" s="7">
        <v>43646</v>
      </c>
      <c r="B59" s="1">
        <v>0.33333333333333331</v>
      </c>
      <c r="C59" s="2">
        <v>9176</v>
      </c>
      <c r="D59" s="2">
        <v>7.5</v>
      </c>
      <c r="E59" s="3">
        <f t="shared" si="7"/>
        <v>2.4075508562560462E-2</v>
      </c>
      <c r="F59" s="4">
        <f t="shared" si="8"/>
        <v>737.45570187338114</v>
      </c>
    </row>
    <row r="60" spans="1:6">
      <c r="A60" s="7">
        <v>43656</v>
      </c>
      <c r="B60" s="1">
        <v>0.33333333333333331</v>
      </c>
      <c r="C60" s="2">
        <v>9152.7000000000007</v>
      </c>
      <c r="D60" s="2">
        <v>7.4</v>
      </c>
      <c r="E60" s="3">
        <f t="shared" si="7"/>
        <v>2.5538168068515155E-2</v>
      </c>
      <c r="F60" s="4">
        <f t="shared" si="8"/>
        <v>737.60489314298854</v>
      </c>
    </row>
    <row r="61" spans="1:6">
      <c r="A61" s="7">
        <v>43666</v>
      </c>
      <c r="B61" s="1">
        <v>0.33333333333333331</v>
      </c>
      <c r="C61" s="2">
        <v>9131.4</v>
      </c>
      <c r="D61" s="2">
        <v>7.4</v>
      </c>
      <c r="E61" s="3">
        <f t="shared" si="7"/>
        <v>2.6968300481387198E-2</v>
      </c>
      <c r="F61" s="4">
        <f t="shared" si="8"/>
        <v>737.75076664910148</v>
      </c>
    </row>
    <row r="62" spans="1:6">
      <c r="A62" s="7">
        <v>43676</v>
      </c>
      <c r="B62" s="1">
        <v>0.33333333333333331</v>
      </c>
      <c r="C62" s="2">
        <v>9085.2000000000007</v>
      </c>
      <c r="D62" s="2">
        <v>7.3</v>
      </c>
      <c r="E62" s="3">
        <f t="shared" si="7"/>
        <v>2.9970892496938937E-2</v>
      </c>
      <c r="F62" s="4">
        <f t="shared" si="8"/>
        <v>738.05703103468772</v>
      </c>
    </row>
    <row r="63" spans="1:6">
      <c r="A63" s="7">
        <v>43687</v>
      </c>
      <c r="B63" s="1">
        <v>0.33333333333333331</v>
      </c>
      <c r="C63" s="2">
        <v>9080.2000000000007</v>
      </c>
      <c r="D63" s="2">
        <v>7.4</v>
      </c>
      <c r="E63" s="3">
        <f t="shared" si="7"/>
        <v>3.0408107673143826E-2</v>
      </c>
      <c r="F63" s="4">
        <f t="shared" si="8"/>
        <v>738.10162698266072</v>
      </c>
    </row>
    <row r="64" spans="1:6">
      <c r="A64" s="7">
        <v>43697</v>
      </c>
      <c r="B64" s="1">
        <v>0.33333333333333331</v>
      </c>
      <c r="C64" s="2">
        <v>9019.5</v>
      </c>
      <c r="D64" s="2">
        <v>7.4</v>
      </c>
      <c r="E64" s="3">
        <f t="shared" si="7"/>
        <v>3.4490035941546746E-2</v>
      </c>
      <c r="F64" s="4">
        <f t="shared" si="8"/>
        <v>738.51798366603782</v>
      </c>
    </row>
    <row r="65" spans="1:6">
      <c r="A65" s="7">
        <v>43707</v>
      </c>
      <c r="B65" s="1">
        <v>0.33333333333333331</v>
      </c>
      <c r="C65" s="2">
        <v>8998.2000000000007</v>
      </c>
      <c r="D65" s="2">
        <v>7.4</v>
      </c>
      <c r="E65" s="3">
        <f t="shared" si="7"/>
        <v>3.5923406036295832E-2</v>
      </c>
      <c r="F65" s="4">
        <f t="shared" si="8"/>
        <v>738.66418741570214</v>
      </c>
    </row>
  </sheetData>
  <phoneticPr fontId="4" type="noConversion"/>
  <pageMargins left="0.69930555555555596" right="0.69930555555555596" top="0.75" bottom="0.75" header="0.3" footer="0.3"/>
  <pageSetup paperSize="9" orientation="portrait"/>
  <drawing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5"/>
  <sheetViews>
    <sheetView topLeftCell="A41" workbookViewId="0">
      <selection activeCell="A59" sqref="A59:B65"/>
    </sheetView>
  </sheetViews>
  <sheetFormatPr defaultColWidth="9" defaultRowHeight="13.5"/>
  <cols>
    <col min="1" max="1" width="11.125" customWidth="1"/>
    <col min="2" max="2" width="13.875" customWidth="1"/>
    <col min="5" max="5" width="10.875" customWidth="1"/>
  </cols>
  <sheetData>
    <row r="1" spans="1:7">
      <c r="A1" t="s">
        <v>0</v>
      </c>
      <c r="B1">
        <v>50397</v>
      </c>
      <c r="C1" t="s">
        <v>1</v>
      </c>
      <c r="D1">
        <v>735</v>
      </c>
    </row>
    <row r="2" spans="1:7">
      <c r="A2" t="s">
        <v>2</v>
      </c>
      <c r="B2" s="11">
        <f>7.53381*10^-10</f>
        <v>7.5338100000000005E-10</v>
      </c>
    </row>
    <row r="3" spans="1:7">
      <c r="A3" t="s">
        <v>3</v>
      </c>
      <c r="B3" s="11">
        <v>-7.8948000000000004E-5</v>
      </c>
    </row>
    <row r="4" spans="1:7">
      <c r="A4" t="s">
        <v>4</v>
      </c>
      <c r="B4" s="11">
        <v>0.66029190000000004</v>
      </c>
    </row>
    <row r="5" spans="1:7">
      <c r="A5" t="s">
        <v>5</v>
      </c>
      <c r="B5" s="11">
        <v>-9.0041700000000004E-4</v>
      </c>
    </row>
    <row r="6" spans="1:7">
      <c r="A6" t="s">
        <v>6</v>
      </c>
      <c r="B6" t="s">
        <v>7</v>
      </c>
      <c r="C6" t="s">
        <v>8</v>
      </c>
      <c r="D6" t="s">
        <v>9</v>
      </c>
      <c r="E6" t="s">
        <v>10</v>
      </c>
      <c r="F6" t="s">
        <v>11</v>
      </c>
      <c r="G6" t="s">
        <v>12</v>
      </c>
    </row>
    <row r="7" spans="1:7">
      <c r="A7" s="7">
        <v>42576</v>
      </c>
      <c r="B7" s="1">
        <v>0.60416666666666696</v>
      </c>
      <c r="C7" s="2">
        <v>9173.2000000000007</v>
      </c>
      <c r="D7" s="2">
        <v>20.5</v>
      </c>
      <c r="E7" s="3">
        <f>($B$2*C7^2+$B$3*C7+$B$4)-$B$5*D7</f>
        <v>1.7939856609649304E-2</v>
      </c>
      <c r="G7" t="s">
        <v>13</v>
      </c>
    </row>
    <row r="8" spans="1:7">
      <c r="A8" s="7">
        <v>42579</v>
      </c>
      <c r="B8" s="1">
        <v>0.66666666666666696</v>
      </c>
      <c r="C8" s="2">
        <v>9178.1</v>
      </c>
      <c r="D8" s="2">
        <v>22</v>
      </c>
      <c r="E8" s="3">
        <f>($B$2*C8^2+$B$3*C8+$B$4)-$B$5*D8-$E$7</f>
        <v>1.0315253516520947E-3</v>
      </c>
      <c r="F8" s="4">
        <f>$D$1+102*E8</f>
        <v>735.10521558586856</v>
      </c>
      <c r="G8" s="5" t="s">
        <v>14</v>
      </c>
    </row>
    <row r="9" spans="1:7">
      <c r="A9" s="7">
        <v>42580</v>
      </c>
      <c r="B9" s="1">
        <v>0.33333333333333298</v>
      </c>
      <c r="C9" s="2">
        <v>9281.2999999999993</v>
      </c>
      <c r="D9" s="2">
        <v>30.3</v>
      </c>
      <c r="E9" s="3">
        <f>($B$2*C9^2+$B$3*C9+$B$4)-$B$5*D9-$E$7</f>
        <v>1.7927512507326347E-3</v>
      </c>
      <c r="F9" s="4">
        <f t="shared" ref="F9:F47" si="0">$D$1+102*E9</f>
        <v>735.18286062757477</v>
      </c>
    </row>
    <row r="10" spans="1:7">
      <c r="A10" s="7">
        <v>42581</v>
      </c>
      <c r="B10" s="1">
        <v>0.33333333333333298</v>
      </c>
      <c r="C10" s="2">
        <v>9351.5</v>
      </c>
      <c r="D10" s="2">
        <v>35.5</v>
      </c>
      <c r="E10" s="3">
        <f>($B$2*C10^2+$B$3*C10+$B$4)-$B$5*D10-$E$7</f>
        <v>1.9182093950079505E-3</v>
      </c>
      <c r="F10" s="4">
        <f t="shared" si="0"/>
        <v>735.19565735829076</v>
      </c>
    </row>
    <row r="11" spans="1:7">
      <c r="A11" s="7">
        <v>42583</v>
      </c>
      <c r="B11" s="1">
        <v>0.33333333333333298</v>
      </c>
      <c r="C11" s="2">
        <v>9315.7000000000007</v>
      </c>
      <c r="D11" s="2">
        <v>34.700000000000003</v>
      </c>
      <c r="E11" s="3">
        <f t="shared" ref="E11:E47" si="1">($B$2*C11^2+$B$3*C11+$B$4)-$B$5*D11-$E$7</f>
        <v>3.5207404008532547E-3</v>
      </c>
      <c r="F11" s="4">
        <f t="shared" si="0"/>
        <v>735.35911552088703</v>
      </c>
    </row>
    <row r="12" spans="1:7">
      <c r="A12" s="7">
        <v>42584</v>
      </c>
      <c r="B12" s="1">
        <v>0.33333333333333298</v>
      </c>
      <c r="C12" s="2">
        <v>9300.1</v>
      </c>
      <c r="D12" s="2">
        <v>33.1</v>
      </c>
      <c r="E12" s="3">
        <f t="shared" si="1"/>
        <v>3.0928752765444628E-3</v>
      </c>
      <c r="F12" s="4">
        <f t="shared" si="0"/>
        <v>735.31547327820749</v>
      </c>
    </row>
    <row r="13" spans="1:7">
      <c r="A13" s="7">
        <v>42585</v>
      </c>
      <c r="B13" s="1">
        <v>0.33333333333333298</v>
      </c>
      <c r="C13" s="2">
        <v>9287.2999999999993</v>
      </c>
      <c r="D13" s="2">
        <v>31.4</v>
      </c>
      <c r="E13" s="3">
        <f t="shared" si="1"/>
        <v>2.3934573333522433E-3</v>
      </c>
      <c r="F13" s="4">
        <f t="shared" si="0"/>
        <v>735.24413264800194</v>
      </c>
    </row>
    <row r="14" spans="1:7">
      <c r="A14" s="7">
        <v>42586</v>
      </c>
      <c r="B14" s="9">
        <v>0.33333333333333298</v>
      </c>
      <c r="C14" s="2">
        <v>9264.1</v>
      </c>
      <c r="D14" s="2">
        <v>30</v>
      </c>
      <c r="E14" s="3">
        <f t="shared" si="1"/>
        <v>2.6402176163773522E-3</v>
      </c>
      <c r="F14" s="4">
        <f t="shared" si="0"/>
        <v>735.26930219687051</v>
      </c>
    </row>
    <row r="15" spans="1:7">
      <c r="A15" s="7">
        <v>42589</v>
      </c>
      <c r="B15" s="1">
        <v>0.33333333333333298</v>
      </c>
      <c r="C15" s="2">
        <v>9249.2999999999993</v>
      </c>
      <c r="D15" s="2">
        <v>28</v>
      </c>
      <c r="E15" s="3">
        <f t="shared" si="1"/>
        <v>1.8013888880574654E-3</v>
      </c>
      <c r="F15" s="4">
        <f t="shared" si="0"/>
        <v>735.18374166658191</v>
      </c>
    </row>
    <row r="16" spans="1:7">
      <c r="A16" s="7">
        <v>42602</v>
      </c>
      <c r="B16" s="9">
        <v>0.33333333333333298</v>
      </c>
      <c r="C16" s="2">
        <v>9145.2000000000007</v>
      </c>
      <c r="D16" s="2">
        <v>19.8</v>
      </c>
      <c r="E16" s="3">
        <f t="shared" si="1"/>
        <v>1.1938315337089687E-3</v>
      </c>
      <c r="F16" s="4">
        <f t="shared" si="0"/>
        <v>735.12177081643836</v>
      </c>
    </row>
    <row r="17" spans="1:7">
      <c r="A17" s="7">
        <v>42612</v>
      </c>
      <c r="B17" s="1">
        <v>0.33333333333333298</v>
      </c>
      <c r="C17" s="2">
        <v>9110.7999999999993</v>
      </c>
      <c r="D17" s="2">
        <v>17.3</v>
      </c>
      <c r="E17" s="3">
        <f t="shared" si="1"/>
        <v>1.1854721440706546E-3</v>
      </c>
      <c r="F17" s="4">
        <f t="shared" si="0"/>
        <v>735.12091815869519</v>
      </c>
      <c r="G17" s="5"/>
    </row>
    <row r="18" spans="1:7">
      <c r="A18" s="7">
        <v>42623</v>
      </c>
      <c r="B18" s="1">
        <v>0.33333333333333298</v>
      </c>
      <c r="C18" s="2">
        <v>9095.9</v>
      </c>
      <c r="D18" s="2">
        <v>16.3</v>
      </c>
      <c r="E18" s="3">
        <f t="shared" si="1"/>
        <v>1.2570032744653493E-3</v>
      </c>
      <c r="F18" s="4">
        <f t="shared" si="0"/>
        <v>735.12821433399552</v>
      </c>
    </row>
    <row r="19" spans="1:7">
      <c r="A19" s="7">
        <v>42633</v>
      </c>
      <c r="B19" s="1">
        <v>0.33333333333333331</v>
      </c>
      <c r="C19" s="2">
        <v>9044.2000000000007</v>
      </c>
      <c r="D19" s="2">
        <v>15</v>
      </c>
      <c r="E19" s="3">
        <f t="shared" si="1"/>
        <v>3.4615195492075194E-3</v>
      </c>
      <c r="F19" s="4">
        <f t="shared" si="0"/>
        <v>735.35307499401915</v>
      </c>
    </row>
    <row r="20" spans="1:7">
      <c r="A20" s="7">
        <v>42643</v>
      </c>
      <c r="B20" s="1">
        <v>0.33333333333333331</v>
      </c>
      <c r="C20" s="2">
        <v>8641.2000000000007</v>
      </c>
      <c r="D20" s="2">
        <v>12.1</v>
      </c>
      <c r="E20" s="3">
        <f t="shared" si="1"/>
        <v>2.7296844981235368E-2</v>
      </c>
      <c r="F20" s="4">
        <f t="shared" si="0"/>
        <v>737.78427818808598</v>
      </c>
      <c r="G20" s="2"/>
    </row>
    <row r="21" spans="1:7">
      <c r="A21" s="7">
        <v>42653</v>
      </c>
      <c r="B21" s="1">
        <v>0.33333333333333331</v>
      </c>
      <c r="C21" s="2">
        <v>8600.2000000000007</v>
      </c>
      <c r="D21" s="2">
        <v>8</v>
      </c>
      <c r="E21" s="3">
        <f t="shared" si="1"/>
        <v>2.6309440211125964E-2</v>
      </c>
      <c r="F21" s="4">
        <f t="shared" si="0"/>
        <v>737.68356290153486</v>
      </c>
      <c r="G21" s="2"/>
    </row>
    <row r="22" spans="1:7">
      <c r="A22" s="7">
        <v>42855</v>
      </c>
      <c r="B22" s="1">
        <v>0.33333333333333331</v>
      </c>
      <c r="C22" s="2">
        <v>8528.2999999999993</v>
      </c>
      <c r="D22" s="2">
        <v>5.3</v>
      </c>
      <c r="E22" s="3">
        <f t="shared" si="1"/>
        <v>2.8626857314759776E-2</v>
      </c>
      <c r="F22" s="4">
        <f t="shared" si="0"/>
        <v>737.91993944610545</v>
      </c>
    </row>
    <row r="23" spans="1:7">
      <c r="A23" s="7">
        <v>42865</v>
      </c>
      <c r="B23" s="1">
        <v>0.33333333333333331</v>
      </c>
      <c r="C23" s="2">
        <v>8452.9</v>
      </c>
      <c r="D23" s="2">
        <v>6.2</v>
      </c>
      <c r="E23" s="3">
        <f t="shared" si="1"/>
        <v>3.4425295981594883E-2</v>
      </c>
      <c r="F23" s="4">
        <f t="shared" si="0"/>
        <v>738.51138019012262</v>
      </c>
    </row>
    <row r="24" spans="1:7">
      <c r="A24" s="7">
        <v>42875</v>
      </c>
      <c r="B24" s="1">
        <v>0.33333333333333331</v>
      </c>
      <c r="C24" s="2">
        <v>8614.7000000000007</v>
      </c>
      <c r="D24" s="2">
        <v>7.6</v>
      </c>
      <c r="E24" s="3">
        <f t="shared" si="1"/>
        <v>2.4992583400490934E-2</v>
      </c>
      <c r="F24" s="4">
        <f t="shared" si="0"/>
        <v>737.54924350685008</v>
      </c>
    </row>
    <row r="25" spans="1:7">
      <c r="A25" s="6">
        <v>42885</v>
      </c>
      <c r="B25" s="1">
        <v>0.33333333333333331</v>
      </c>
      <c r="C25" s="2">
        <v>8647.6</v>
      </c>
      <c r="D25" s="2">
        <v>6.6</v>
      </c>
      <c r="E25" s="3">
        <f t="shared" si="1"/>
        <v>2.1922644623205246E-2</v>
      </c>
      <c r="F25" s="4">
        <f t="shared" si="0"/>
        <v>737.23610975156691</v>
      </c>
    </row>
    <row r="26" spans="1:7">
      <c r="A26" s="7">
        <v>42896</v>
      </c>
      <c r="B26" s="1">
        <v>0.33333333333333331</v>
      </c>
      <c r="C26" s="2">
        <v>8644.5</v>
      </c>
      <c r="D26" s="2">
        <v>6.9</v>
      </c>
      <c r="E26" s="3">
        <f t="shared" si="1"/>
        <v>2.2397123150475904E-2</v>
      </c>
      <c r="F26" s="4">
        <f t="shared" si="0"/>
        <v>737.28450656134851</v>
      </c>
    </row>
    <row r="27" spans="1:7">
      <c r="A27" s="7">
        <v>42906</v>
      </c>
      <c r="B27" s="1">
        <v>0.33333333333333331</v>
      </c>
      <c r="C27" s="2">
        <v>8637</v>
      </c>
      <c r="D27" s="2">
        <v>8.4</v>
      </c>
      <c r="E27" s="3">
        <f t="shared" si="1"/>
        <v>2.4242211997339665E-2</v>
      </c>
      <c r="F27" s="4">
        <f t="shared" si="0"/>
        <v>737.47270562372864</v>
      </c>
    </row>
    <row r="28" spans="1:7">
      <c r="A28" s="7">
        <v>42926</v>
      </c>
      <c r="B28" s="1">
        <v>0.33333333333333331</v>
      </c>
      <c r="C28" s="2">
        <v>8704.2999999999993</v>
      </c>
      <c r="D28" s="2">
        <v>10.5</v>
      </c>
      <c r="E28" s="3">
        <f t="shared" si="1"/>
        <v>2.169913527678544E-2</v>
      </c>
      <c r="F28" s="4">
        <f t="shared" si="0"/>
        <v>737.2133117982321</v>
      </c>
    </row>
    <row r="29" spans="1:7">
      <c r="A29" s="7">
        <v>42936</v>
      </c>
      <c r="B29" s="1">
        <v>0.33333333333333331</v>
      </c>
      <c r="C29" s="2">
        <v>8704.7000000000007</v>
      </c>
      <c r="D29" s="2">
        <v>10.7</v>
      </c>
      <c r="E29" s="3">
        <f t="shared" si="1"/>
        <v>2.1852885720716978E-2</v>
      </c>
      <c r="F29" s="4">
        <f t="shared" si="0"/>
        <v>737.22899434351314</v>
      </c>
    </row>
    <row r="30" spans="1:7">
      <c r="A30" s="7">
        <v>42946</v>
      </c>
      <c r="B30" s="1">
        <v>0.33333333333333331</v>
      </c>
      <c r="C30" s="2">
        <v>8718.1</v>
      </c>
      <c r="D30" s="2">
        <v>10.9</v>
      </c>
      <c r="E30" s="3">
        <f t="shared" si="1"/>
        <v>2.1150954407640064E-2</v>
      </c>
      <c r="F30" s="4">
        <f t="shared" si="0"/>
        <v>737.15739734957924</v>
      </c>
    </row>
    <row r="31" spans="1:7">
      <c r="A31" s="7">
        <v>42957</v>
      </c>
      <c r="B31" s="1">
        <v>0.33333333333333331</v>
      </c>
      <c r="C31" s="2">
        <v>8717.7000000000007</v>
      </c>
      <c r="D31" s="2">
        <v>11.4</v>
      </c>
      <c r="E31" s="3">
        <f t="shared" si="1"/>
        <v>2.1627487787464181E-2</v>
      </c>
      <c r="F31" s="4">
        <f t="shared" si="0"/>
        <v>737.20600375432139</v>
      </c>
    </row>
    <row r="32" spans="1:7">
      <c r="A32" s="7">
        <v>42967</v>
      </c>
      <c r="B32" s="1">
        <v>0.33333333333333331</v>
      </c>
      <c r="C32" s="2">
        <v>8725.6</v>
      </c>
      <c r="D32" s="2">
        <v>11.6</v>
      </c>
      <c r="E32" s="3">
        <f t="shared" si="1"/>
        <v>2.1287699448762801E-2</v>
      </c>
      <c r="F32" s="4">
        <f t="shared" si="0"/>
        <v>737.17134534377385</v>
      </c>
    </row>
    <row r="33" spans="1:6">
      <c r="A33" s="7">
        <v>42977</v>
      </c>
      <c r="B33" s="1">
        <v>0.33333333333333331</v>
      </c>
      <c r="C33" s="2">
        <v>8693.4</v>
      </c>
      <c r="D33" s="2">
        <v>11.1</v>
      </c>
      <c r="E33" s="3">
        <f t="shared" si="1"/>
        <v>2.2957051323587104E-2</v>
      </c>
      <c r="F33" s="4">
        <f t="shared" si="0"/>
        <v>737.34161923500585</v>
      </c>
    </row>
    <row r="34" spans="1:6">
      <c r="A34" s="7">
        <v>42988</v>
      </c>
      <c r="B34" s="1">
        <v>0.33333333333333331</v>
      </c>
      <c r="C34" s="2">
        <v>8691.2999999999993</v>
      </c>
      <c r="D34" s="2">
        <v>10.7</v>
      </c>
      <c r="E34" s="3">
        <f t="shared" si="1"/>
        <v>2.2735170987978618E-2</v>
      </c>
      <c r="F34" s="4">
        <f t="shared" si="0"/>
        <v>737.31898744077387</v>
      </c>
    </row>
    <row r="35" spans="1:6">
      <c r="A35" s="7">
        <v>42998</v>
      </c>
      <c r="B35" s="1">
        <v>0.33333333333333331</v>
      </c>
      <c r="C35" s="2">
        <v>8696.2000000000007</v>
      </c>
      <c r="D35" s="2">
        <v>10.6</v>
      </c>
      <c r="E35" s="3">
        <f t="shared" si="1"/>
        <v>2.2322471207452278E-2</v>
      </c>
      <c r="F35" s="4">
        <f t="shared" si="0"/>
        <v>737.27689206316018</v>
      </c>
    </row>
    <row r="36" spans="1:6">
      <c r="A36" s="7">
        <v>43008</v>
      </c>
      <c r="B36" s="1">
        <v>0.33333333333333331</v>
      </c>
      <c r="C36" s="2">
        <v>8704.5</v>
      </c>
      <c r="D36" s="2">
        <v>10.3</v>
      </c>
      <c r="E36" s="3">
        <f t="shared" si="1"/>
        <v>2.1505885368615928E-2</v>
      </c>
      <c r="F36" s="4">
        <f t="shared" si="0"/>
        <v>737.19360030759879</v>
      </c>
    </row>
    <row r="37" spans="1:6">
      <c r="A37" s="7">
        <v>43018</v>
      </c>
      <c r="B37" s="1">
        <v>0.33333333333333331</v>
      </c>
      <c r="C37" s="2">
        <v>8697.2999999999993</v>
      </c>
      <c r="D37" s="2">
        <v>10.199999999999999</v>
      </c>
      <c r="E37" s="3">
        <f t="shared" si="1"/>
        <v>2.1889875933118193E-2</v>
      </c>
      <c r="F37" s="4">
        <f t="shared" si="0"/>
        <v>737.2327673451781</v>
      </c>
    </row>
    <row r="38" spans="1:6">
      <c r="A38" s="7">
        <v>43230</v>
      </c>
      <c r="B38" s="1">
        <v>0.33333333333333331</v>
      </c>
      <c r="C38" s="2">
        <v>8647.7999999999993</v>
      </c>
      <c r="D38" s="2">
        <v>6.4</v>
      </c>
      <c r="E38" s="3">
        <f t="shared" si="1"/>
        <v>2.1729377628354776E-2</v>
      </c>
      <c r="F38" s="4">
        <f t="shared" si="0"/>
        <v>737.21639651809221</v>
      </c>
    </row>
    <row r="39" spans="1:6">
      <c r="A39" s="7">
        <v>43240</v>
      </c>
      <c r="B39" s="1">
        <v>0.33333333333333331</v>
      </c>
      <c r="C39" s="2">
        <v>8655.1</v>
      </c>
      <c r="D39" s="2">
        <v>6.8</v>
      </c>
      <c r="E39" s="3">
        <f t="shared" si="1"/>
        <v>2.1608384463920455E-2</v>
      </c>
      <c r="F39" s="4">
        <f t="shared" si="0"/>
        <v>737.20405521531984</v>
      </c>
    </row>
    <row r="40" spans="1:6">
      <c r="A40" s="7">
        <v>43250</v>
      </c>
      <c r="B40" s="1">
        <v>0.33333333333333331</v>
      </c>
      <c r="C40" s="2">
        <v>8634.9</v>
      </c>
      <c r="D40" s="2">
        <v>6.5</v>
      </c>
      <c r="E40" s="3">
        <f t="shared" si="1"/>
        <v>2.2669884622622458E-2</v>
      </c>
      <c r="F40" s="4">
        <f t="shared" si="0"/>
        <v>737.31232823150754</v>
      </c>
    </row>
    <row r="41" spans="1:6">
      <c r="A41" s="7">
        <v>43261</v>
      </c>
      <c r="B41" s="1">
        <v>0.33333333333333331</v>
      </c>
      <c r="C41" s="2">
        <v>8568.2000000000007</v>
      </c>
      <c r="D41" s="2">
        <v>6.8</v>
      </c>
      <c r="E41" s="3">
        <f t="shared" si="1"/>
        <v>2.7341376727593087E-2</v>
      </c>
      <c r="F41" s="4">
        <f t="shared" si="0"/>
        <v>737.78882042621444</v>
      </c>
    </row>
    <row r="42" spans="1:6">
      <c r="A42" s="7">
        <v>43271</v>
      </c>
      <c r="B42" s="1">
        <v>0.33333333333333331</v>
      </c>
      <c r="C42" s="2">
        <v>8330.9</v>
      </c>
      <c r="D42" s="2">
        <v>7.5</v>
      </c>
      <c r="E42" s="3">
        <f t="shared" si="1"/>
        <v>4.3684853366203355E-2</v>
      </c>
      <c r="F42" s="4">
        <f t="shared" si="0"/>
        <v>739.4558550433527</v>
      </c>
    </row>
    <row r="43" spans="1:6">
      <c r="A43" s="7">
        <v>43281</v>
      </c>
      <c r="B43" s="1">
        <v>0.33333333333333331</v>
      </c>
      <c r="C43" s="2">
        <v>8446.5</v>
      </c>
      <c r="D43" s="2">
        <v>7.1</v>
      </c>
      <c r="E43" s="3">
        <f t="shared" si="1"/>
        <v>3.5659455685617902E-2</v>
      </c>
      <c r="F43" s="4">
        <f t="shared" si="0"/>
        <v>738.63726447993304</v>
      </c>
    </row>
    <row r="44" spans="1:6">
      <c r="A44" s="7">
        <v>43291</v>
      </c>
      <c r="B44" s="1">
        <v>0.33333333333333331</v>
      </c>
      <c r="C44" s="2">
        <v>8560.6</v>
      </c>
      <c r="D44" s="2">
        <v>7.5</v>
      </c>
      <c r="E44" s="3">
        <f t="shared" si="1"/>
        <v>2.8473599132799832E-2</v>
      </c>
      <c r="F44" s="4">
        <f t="shared" si="0"/>
        <v>737.90430711154556</v>
      </c>
    </row>
    <row r="45" spans="1:6">
      <c r="A45" s="7">
        <v>43301</v>
      </c>
      <c r="B45" s="1">
        <v>0.33333333333333331</v>
      </c>
      <c r="C45" s="2">
        <v>8596.9</v>
      </c>
      <c r="D45" s="2">
        <v>8</v>
      </c>
      <c r="E45" s="3">
        <f t="shared" si="1"/>
        <v>2.6527213915422062E-2</v>
      </c>
      <c r="F45" s="4">
        <f t="shared" si="0"/>
        <v>737.705775819373</v>
      </c>
    </row>
    <row r="46" spans="1:6">
      <c r="A46" s="7">
        <v>43311</v>
      </c>
      <c r="B46" s="1">
        <v>0.33333333333333331</v>
      </c>
      <c r="C46" s="2">
        <v>8599.5</v>
      </c>
      <c r="D46" s="2">
        <v>8</v>
      </c>
      <c r="E46" s="3">
        <f t="shared" si="1"/>
        <v>2.6355633262096053E-2</v>
      </c>
      <c r="F46" s="4">
        <f t="shared" si="0"/>
        <v>737.68827459273382</v>
      </c>
    </row>
    <row r="47" spans="1:6">
      <c r="A47" s="7">
        <v>43322</v>
      </c>
      <c r="B47" s="1">
        <v>0.33333333333333331</v>
      </c>
      <c r="C47" s="2">
        <v>8564.1</v>
      </c>
      <c r="D47" s="2">
        <v>7.6</v>
      </c>
      <c r="E47" s="3">
        <f t="shared" si="1"/>
        <v>2.8332477815437355E-2</v>
      </c>
      <c r="F47" s="4">
        <f t="shared" si="0"/>
        <v>737.88991273717465</v>
      </c>
    </row>
    <row r="48" spans="1:6">
      <c r="A48" s="7">
        <v>43332</v>
      </c>
      <c r="B48" s="1">
        <v>0.33333333333333331</v>
      </c>
      <c r="C48" s="2">
        <v>8594.2999999999993</v>
      </c>
      <c r="D48" s="2">
        <v>8.3000000000000007</v>
      </c>
      <c r="E48" s="3">
        <f t="shared" ref="E48:E49" si="2">($B$2*C48^2+$B$3*C48+$B$4)-$B$5*D48-$E$7</f>
        <v>2.6968929854459461E-2</v>
      </c>
      <c r="F48" s="4">
        <f t="shared" ref="F48:F49" si="3">$D$1+102*E48</f>
        <v>737.75083084515484</v>
      </c>
    </row>
    <row r="49" spans="1:6">
      <c r="A49" s="7">
        <v>43342</v>
      </c>
      <c r="B49" s="1">
        <v>0.33333333333333331</v>
      </c>
      <c r="C49" s="2">
        <v>8501.2000000000007</v>
      </c>
      <c r="D49" s="2">
        <v>8.6999999999999993</v>
      </c>
      <c r="E49" s="3">
        <f t="shared" si="2"/>
        <v>3.3480080997619316E-2</v>
      </c>
      <c r="F49" s="4">
        <f t="shared" si="3"/>
        <v>738.41496826175717</v>
      </c>
    </row>
    <row r="50" spans="1:6">
      <c r="A50" s="7">
        <v>43353</v>
      </c>
      <c r="B50" s="1">
        <v>0.33333333333333331</v>
      </c>
      <c r="C50" s="2">
        <v>8395.4</v>
      </c>
      <c r="D50" s="2">
        <v>9.6</v>
      </c>
      <c r="E50" s="3">
        <f t="shared" ref="E50:E65" si="4">($B$2*C50^2+$B$3*C50+$B$4)-$B$5*D50-$E$7</f>
        <v>4.1296365408212715E-2</v>
      </c>
      <c r="F50" s="4">
        <f t="shared" ref="F50:F65" si="5">$D$1+102*E50</f>
        <v>739.21222927163774</v>
      </c>
    </row>
    <row r="51" spans="1:6">
      <c r="A51" s="7">
        <v>43363</v>
      </c>
      <c r="B51" s="1">
        <v>0.33333333333333331</v>
      </c>
      <c r="C51" s="2">
        <v>8551</v>
      </c>
      <c r="D51" s="2">
        <v>9</v>
      </c>
      <c r="E51" s="3">
        <f t="shared" si="4"/>
        <v>3.0458366511331669E-2</v>
      </c>
      <c r="F51" s="4">
        <f t="shared" si="5"/>
        <v>738.10675338415581</v>
      </c>
    </row>
    <row r="52" spans="1:6">
      <c r="A52" s="7">
        <v>43373</v>
      </c>
      <c r="B52" s="1">
        <v>0.33333333333333331</v>
      </c>
      <c r="C52" s="2">
        <v>8572.2999999999993</v>
      </c>
      <c r="D52" s="2">
        <v>8.8000000000000007</v>
      </c>
      <c r="E52" s="3">
        <f t="shared" si="4"/>
        <v>2.8871468568418313E-2</v>
      </c>
      <c r="F52" s="4">
        <f t="shared" si="5"/>
        <v>737.94488979397863</v>
      </c>
    </row>
    <row r="53" spans="1:6">
      <c r="A53" s="7">
        <v>43383</v>
      </c>
      <c r="B53" s="1">
        <v>0.33333333333333331</v>
      </c>
      <c r="C53" s="2">
        <v>8576.2000000000007</v>
      </c>
      <c r="D53" s="2">
        <v>8.4</v>
      </c>
      <c r="E53" s="3">
        <f t="shared" si="4"/>
        <v>2.8253790049324375E-2</v>
      </c>
      <c r="F53" s="4">
        <f t="shared" si="5"/>
        <v>737.88188658503111</v>
      </c>
    </row>
    <row r="54" spans="1:6">
      <c r="A54" s="7">
        <v>43393</v>
      </c>
      <c r="B54" s="1">
        <v>0.33333333333333331</v>
      </c>
      <c r="C54" s="2">
        <v>8579.1</v>
      </c>
      <c r="D54" s="2">
        <v>8.1</v>
      </c>
      <c r="E54" s="3">
        <f t="shared" si="4"/>
        <v>2.7792196732825191E-2</v>
      </c>
      <c r="F54" s="4">
        <f t="shared" si="5"/>
        <v>737.83480406674812</v>
      </c>
    </row>
    <row r="55" spans="1:6">
      <c r="A55" s="32">
        <v>43605</v>
      </c>
      <c r="B55" s="1">
        <v>0.33333333333333331</v>
      </c>
      <c r="C55" s="2">
        <v>8629.1</v>
      </c>
      <c r="D55" s="2">
        <v>7.4</v>
      </c>
      <c r="E55" s="3">
        <f t="shared" si="4"/>
        <v>2.3862721379035317E-2</v>
      </c>
      <c r="F55" s="4">
        <f t="shared" si="5"/>
        <v>737.43399758066164</v>
      </c>
    </row>
    <row r="56" spans="1:6">
      <c r="A56" s="32">
        <v>43615</v>
      </c>
      <c r="B56" s="1">
        <v>0.33333333333333331</v>
      </c>
      <c r="C56" s="2">
        <v>8631.2999999999993</v>
      </c>
      <c r="D56" s="2">
        <v>7.6</v>
      </c>
      <c r="E56" s="3">
        <f t="shared" si="4"/>
        <v>2.3897727225342561E-2</v>
      </c>
      <c r="F56" s="4">
        <f t="shared" si="5"/>
        <v>737.437568176985</v>
      </c>
    </row>
    <row r="57" spans="1:6">
      <c r="A57" s="32">
        <v>43626</v>
      </c>
      <c r="B57" s="1">
        <v>0.33333333333333331</v>
      </c>
      <c r="C57" s="2">
        <v>8635.7000000000007</v>
      </c>
      <c r="D57" s="2">
        <v>7.8</v>
      </c>
      <c r="E57" s="3">
        <f t="shared" si="4"/>
        <v>2.3787677396141325E-2</v>
      </c>
      <c r="F57" s="4">
        <f t="shared" si="5"/>
        <v>737.42634309440643</v>
      </c>
    </row>
    <row r="58" spans="1:6">
      <c r="A58" s="32">
        <v>43636</v>
      </c>
      <c r="B58" s="1">
        <v>0.33333333333333331</v>
      </c>
      <c r="C58" s="2">
        <v>8637.2000000000007</v>
      </c>
      <c r="D58" s="2">
        <v>7.9</v>
      </c>
      <c r="E58" s="3">
        <f t="shared" si="4"/>
        <v>2.3778816708153728E-2</v>
      </c>
      <c r="F58" s="4">
        <f t="shared" si="5"/>
        <v>737.42543930423165</v>
      </c>
    </row>
    <row r="59" spans="1:6">
      <c r="A59" s="7">
        <v>43646</v>
      </c>
      <c r="B59" s="1">
        <v>0.33333333333333331</v>
      </c>
      <c r="C59" s="2">
        <v>8629.5</v>
      </c>
      <c r="D59" s="2">
        <v>7.9</v>
      </c>
      <c r="E59" s="3">
        <f t="shared" si="4"/>
        <v>2.4286551599566043E-2</v>
      </c>
      <c r="F59" s="4">
        <f t="shared" si="5"/>
        <v>737.47722826315578</v>
      </c>
    </row>
    <row r="60" spans="1:6">
      <c r="A60" s="7">
        <v>43656</v>
      </c>
      <c r="B60" s="1">
        <v>0.33333333333333331</v>
      </c>
      <c r="C60" s="2">
        <v>8607.2999999999993</v>
      </c>
      <c r="D60" s="2">
        <v>7.8</v>
      </c>
      <c r="E60" s="3">
        <f t="shared" si="4"/>
        <v>2.5660869016384234E-2</v>
      </c>
      <c r="F60" s="4">
        <f t="shared" si="5"/>
        <v>737.61740863967123</v>
      </c>
    </row>
    <row r="61" spans="1:6">
      <c r="A61" s="7">
        <v>43666</v>
      </c>
      <c r="B61" s="1">
        <v>0.33333333333333331</v>
      </c>
      <c r="C61" s="2">
        <v>8587.1</v>
      </c>
      <c r="D61" s="2">
        <v>7.9</v>
      </c>
      <c r="E61" s="3">
        <f t="shared" si="4"/>
        <v>2.7083990844202866E-2</v>
      </c>
      <c r="F61" s="4">
        <f t="shared" si="5"/>
        <v>737.76256706610866</v>
      </c>
    </row>
    <row r="62" spans="1:6">
      <c r="A62" s="7">
        <v>43676</v>
      </c>
      <c r="B62" s="1">
        <v>0.33333333333333331</v>
      </c>
      <c r="C62" s="2">
        <v>8527.2000000000007</v>
      </c>
      <c r="D62" s="2">
        <v>7.9</v>
      </c>
      <c r="E62" s="3">
        <f t="shared" si="4"/>
        <v>3.1040650096149747E-2</v>
      </c>
      <c r="F62" s="4">
        <f t="shared" si="5"/>
        <v>738.16614630980723</v>
      </c>
    </row>
    <row r="63" spans="1:6">
      <c r="A63" s="7">
        <v>43687</v>
      </c>
      <c r="B63" s="1">
        <v>0.33333333333333331</v>
      </c>
      <c r="C63" s="2">
        <v>8492.6</v>
      </c>
      <c r="D63" s="2">
        <v>8</v>
      </c>
      <c r="E63" s="3">
        <f t="shared" si="4"/>
        <v>3.3418637765694259E-2</v>
      </c>
      <c r="F63" s="4">
        <f t="shared" si="5"/>
        <v>738.40870105210081</v>
      </c>
    </row>
    <row r="64" spans="1:6">
      <c r="A64" s="7">
        <v>43697</v>
      </c>
      <c r="B64" s="1">
        <v>0.33333333333333331</v>
      </c>
      <c r="C64" s="2">
        <v>8467.4</v>
      </c>
      <c r="D64" s="2">
        <v>8</v>
      </c>
      <c r="E64" s="3">
        <f t="shared" si="4"/>
        <v>3.5086138353342344E-2</v>
      </c>
      <c r="F64" s="4">
        <f t="shared" si="5"/>
        <v>738.57878611204092</v>
      </c>
    </row>
    <row r="65" spans="1:6">
      <c r="A65" s="7">
        <v>43707</v>
      </c>
      <c r="B65" s="1">
        <v>0.33333333333333331</v>
      </c>
      <c r="C65" s="2">
        <v>8422.7000000000007</v>
      </c>
      <c r="D65" s="2">
        <v>8.1</v>
      </c>
      <c r="E65" s="3">
        <f t="shared" si="4"/>
        <v>3.8136362438206187E-2</v>
      </c>
      <c r="F65" s="4">
        <f t="shared" si="5"/>
        <v>738.889908968697</v>
      </c>
    </row>
  </sheetData>
  <phoneticPr fontId="4" type="noConversion"/>
  <pageMargins left="0.69930555555555596" right="0.69930555555555596" top="0.75" bottom="0.75" header="0.3" footer="0.3"/>
  <pageSetup paperSize="9" orientation="portrait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9"/>
  <sheetViews>
    <sheetView topLeftCell="A46" workbookViewId="0">
      <selection activeCell="A63" sqref="A63:B69"/>
    </sheetView>
  </sheetViews>
  <sheetFormatPr defaultColWidth="9" defaultRowHeight="13.5"/>
  <cols>
    <col min="1" max="1" width="10.875" customWidth="1"/>
    <col min="2" max="2" width="13.875" customWidth="1"/>
    <col min="5" max="5" width="10.875" customWidth="1"/>
  </cols>
  <sheetData>
    <row r="1" spans="1:7">
      <c r="A1" t="s">
        <v>0</v>
      </c>
      <c r="B1">
        <v>50304</v>
      </c>
      <c r="C1" t="s">
        <v>1</v>
      </c>
      <c r="D1">
        <v>735</v>
      </c>
    </row>
    <row r="2" spans="1:7">
      <c r="A2" t="s">
        <v>2</v>
      </c>
      <c r="B2" s="11">
        <f>6.22252*10^-10</f>
        <v>6.2225200000000001E-10</v>
      </c>
    </row>
    <row r="3" spans="1:7">
      <c r="A3" t="s">
        <v>3</v>
      </c>
      <c r="B3" s="11">
        <v>-9.6688999999999995E-5</v>
      </c>
    </row>
    <row r="4" spans="1:7">
      <c r="A4" t="s">
        <v>4</v>
      </c>
      <c r="B4" s="11">
        <v>0.81237979999999999</v>
      </c>
    </row>
    <row r="5" spans="1:7">
      <c r="A5" t="s">
        <v>5</v>
      </c>
      <c r="B5" s="11">
        <v>-1.4135510000000001E-3</v>
      </c>
    </row>
    <row r="6" spans="1:7">
      <c r="A6" t="s">
        <v>6</v>
      </c>
      <c r="B6" t="s">
        <v>7</v>
      </c>
      <c r="C6" t="s">
        <v>8</v>
      </c>
      <c r="D6" t="s">
        <v>9</v>
      </c>
      <c r="E6" t="s">
        <v>10</v>
      </c>
      <c r="F6" t="s">
        <v>11</v>
      </c>
      <c r="G6" t="s">
        <v>12</v>
      </c>
    </row>
    <row r="7" spans="1:7">
      <c r="A7" s="7">
        <v>42562</v>
      </c>
      <c r="B7" s="1">
        <v>0.45833333333333298</v>
      </c>
      <c r="C7" s="2">
        <v>9104.2999999999993</v>
      </c>
      <c r="D7" s="2">
        <v>20.8</v>
      </c>
      <c r="E7" s="3">
        <f>($B$2*C7^2+$B$3*C7+$B$4)-$B$5*D7</f>
        <v>1.3073395166959646E-2</v>
      </c>
      <c r="G7" t="s">
        <v>13</v>
      </c>
    </row>
    <row r="8" spans="1:7">
      <c r="A8" s="7">
        <v>42562</v>
      </c>
      <c r="B8" s="1">
        <v>0.72222222222222199</v>
      </c>
      <c r="C8" s="2">
        <v>9130.2000000000007</v>
      </c>
      <c r="D8" s="2">
        <v>23.6</v>
      </c>
      <c r="E8" s="3">
        <f>($B$2*C8^2+$B$3*C8+$B$4)-$B$5*D8-$E$7</f>
        <v>1.7475708610344386E-3</v>
      </c>
      <c r="F8" s="4">
        <f>$D$1+102*E8</f>
        <v>735.17825222782551</v>
      </c>
      <c r="G8" s="5" t="s">
        <v>14</v>
      </c>
    </row>
    <row r="9" spans="1:7">
      <c r="A9" s="7">
        <v>42563</v>
      </c>
      <c r="B9" s="9">
        <v>0.33333333333333298</v>
      </c>
      <c r="C9" s="2">
        <v>9133.1</v>
      </c>
      <c r="D9" s="2">
        <v>24.1</v>
      </c>
      <c r="E9" s="3">
        <f t="shared" ref="E9:E18" si="0">($B$2*C9^2+$B$3*C9+$B$4)-$B$5*D9-$E$7</f>
        <v>2.2069049483940013E-3</v>
      </c>
      <c r="F9" s="4">
        <f t="shared" ref="F9:F51" si="1">$D$1+102*E9</f>
        <v>735.22510430473619</v>
      </c>
    </row>
    <row r="10" spans="1:7">
      <c r="A10" s="7">
        <v>42564</v>
      </c>
      <c r="B10" s="9">
        <v>0.33333333333333298</v>
      </c>
      <c r="C10" s="2">
        <v>9136.4</v>
      </c>
      <c r="D10" s="2">
        <v>24.8</v>
      </c>
      <c r="E10" s="3">
        <f t="shared" si="0"/>
        <v>2.9148321170103277E-3</v>
      </c>
      <c r="F10" s="4">
        <f t="shared" si="1"/>
        <v>735.29731287593506</v>
      </c>
    </row>
    <row r="11" spans="1:7">
      <c r="A11" s="7">
        <v>42565</v>
      </c>
      <c r="B11" s="9">
        <v>0.33333333333333298</v>
      </c>
      <c r="C11" s="2">
        <v>9140.1</v>
      </c>
      <c r="D11" s="2">
        <v>25.1</v>
      </c>
      <c r="E11" s="3">
        <f t="shared" si="0"/>
        <v>3.0232266951189073E-3</v>
      </c>
      <c r="F11" s="4">
        <f t="shared" si="1"/>
        <v>735.30836912290215</v>
      </c>
    </row>
    <row r="12" spans="1:7">
      <c r="A12" s="7">
        <v>42566</v>
      </c>
      <c r="B12" s="9">
        <v>0.33333333333333298</v>
      </c>
      <c r="C12" s="2">
        <v>9140.9</v>
      </c>
      <c r="D12" s="2">
        <v>25.7</v>
      </c>
      <c r="E12" s="3">
        <f t="shared" si="0"/>
        <v>3.8031064061685542E-3</v>
      </c>
      <c r="F12" s="4">
        <f t="shared" si="1"/>
        <v>735.38791685342915</v>
      </c>
    </row>
    <row r="13" spans="1:7">
      <c r="A13" s="7">
        <v>42567</v>
      </c>
      <c r="B13" s="9">
        <v>0.33333333333333298</v>
      </c>
      <c r="C13" s="2">
        <v>9145.4</v>
      </c>
      <c r="D13" s="2">
        <v>26</v>
      </c>
      <c r="E13" s="3">
        <f t="shared" si="0"/>
        <v>3.8432752965327881E-3</v>
      </c>
      <c r="F13" s="4">
        <f t="shared" si="1"/>
        <v>735.39201408024633</v>
      </c>
    </row>
    <row r="14" spans="1:7">
      <c r="A14" s="7">
        <v>42568</v>
      </c>
      <c r="B14" s="9">
        <v>0.33333333333333298</v>
      </c>
      <c r="C14" s="2">
        <v>9152.2999999999993</v>
      </c>
      <c r="D14" s="2">
        <v>26.2</v>
      </c>
      <c r="E14" s="3">
        <f t="shared" si="0"/>
        <v>3.5373932814334631E-3</v>
      </c>
      <c r="F14" s="4">
        <f t="shared" si="1"/>
        <v>735.36081411470616</v>
      </c>
    </row>
    <row r="15" spans="1:7">
      <c r="A15" s="7">
        <v>42569</v>
      </c>
      <c r="B15" s="9">
        <v>0.33333333333333298</v>
      </c>
      <c r="C15" s="2">
        <v>9159.7999999999993</v>
      </c>
      <c r="D15" s="2">
        <v>26.3</v>
      </c>
      <c r="E15" s="3">
        <f t="shared" si="0"/>
        <v>3.039041437802547E-3</v>
      </c>
      <c r="F15" s="4">
        <f t="shared" si="1"/>
        <v>735.30998222665585</v>
      </c>
    </row>
    <row r="16" spans="1:7">
      <c r="A16" s="7">
        <v>42570</v>
      </c>
      <c r="B16" s="9">
        <v>0.33333333333333298</v>
      </c>
      <c r="C16" s="2">
        <v>9167.1</v>
      </c>
      <c r="D16" s="2">
        <v>26.5</v>
      </c>
      <c r="E16" s="3">
        <f t="shared" si="0"/>
        <v>2.6991707741077266E-3</v>
      </c>
      <c r="F16" s="4">
        <f t="shared" si="1"/>
        <v>735.27531541895894</v>
      </c>
    </row>
    <row r="17" spans="1:7">
      <c r="A17" s="7">
        <v>42572</v>
      </c>
      <c r="B17" s="9">
        <v>0.33333333333333298</v>
      </c>
      <c r="C17" s="2">
        <v>9232.5</v>
      </c>
      <c r="D17" s="2">
        <v>34.200000000000003</v>
      </c>
      <c r="E17" s="3">
        <f t="shared" si="0"/>
        <v>8.0088297627153755E-3</v>
      </c>
      <c r="F17" s="4">
        <f t="shared" si="1"/>
        <v>735.81690063579697</v>
      </c>
      <c r="G17" s="5"/>
    </row>
    <row r="18" spans="1:7">
      <c r="A18" s="7">
        <v>42581</v>
      </c>
      <c r="B18" s="9">
        <v>0.33333333333333298</v>
      </c>
      <c r="C18" s="2">
        <v>9417.6</v>
      </c>
      <c r="D18" s="2">
        <v>41.7</v>
      </c>
      <c r="E18" s="3">
        <f t="shared" si="0"/>
        <v>2.8614253435798355E-3</v>
      </c>
      <c r="F18" s="4">
        <f t="shared" si="1"/>
        <v>735.29186538504518</v>
      </c>
    </row>
    <row r="19" spans="1:7">
      <c r="A19" s="7">
        <v>42592</v>
      </c>
      <c r="B19" s="1">
        <v>0.33333333333333298</v>
      </c>
      <c r="C19" s="2">
        <v>9303.5</v>
      </c>
      <c r="D19" s="2">
        <v>35.1</v>
      </c>
      <c r="E19" s="3">
        <f t="shared" ref="E19:E42" si="2">($B$2*C19^2+$B$3*C19+$B$4)-$B$5*D19-$E$7</f>
        <v>3.2350251408273974E-3</v>
      </c>
      <c r="F19" s="4">
        <f t="shared" si="1"/>
        <v>735.32997256436443</v>
      </c>
    </row>
    <row r="20" spans="1:7">
      <c r="A20" s="7">
        <v>42602</v>
      </c>
      <c r="B20" s="1">
        <v>0.33333333333333298</v>
      </c>
      <c r="C20" s="2">
        <v>9178.5</v>
      </c>
      <c r="D20" s="2">
        <v>27.7</v>
      </c>
      <c r="E20" s="3">
        <f t="shared" si="2"/>
        <v>3.42331505782743E-3</v>
      </c>
      <c r="F20" s="4">
        <f t="shared" si="1"/>
        <v>735.34917813589834</v>
      </c>
      <c r="G20" s="2"/>
    </row>
    <row r="21" spans="1:7">
      <c r="A21" s="7">
        <v>42612</v>
      </c>
      <c r="B21" s="1">
        <v>0.33333333333333298</v>
      </c>
      <c r="C21" s="2">
        <v>9113.6</v>
      </c>
      <c r="D21" s="2">
        <v>23.8</v>
      </c>
      <c r="E21" s="3">
        <f t="shared" si="2"/>
        <v>3.4468712598102642E-3</v>
      </c>
      <c r="F21" s="4">
        <f t="shared" si="1"/>
        <v>735.3515808685006</v>
      </c>
      <c r="G21" s="2"/>
    </row>
    <row r="22" spans="1:7">
      <c r="A22" s="7">
        <v>42623</v>
      </c>
      <c r="B22" s="1">
        <v>0.33333333333333298</v>
      </c>
      <c r="C22">
        <v>9058.5</v>
      </c>
      <c r="D22">
        <v>20.399999999999999</v>
      </c>
      <c r="E22" s="3">
        <f t="shared" si="2"/>
        <v>3.345311590947378E-3</v>
      </c>
      <c r="F22" s="4">
        <f t="shared" si="1"/>
        <v>735.34122178227665</v>
      </c>
    </row>
    <row r="23" spans="1:7">
      <c r="A23" s="7">
        <v>42633</v>
      </c>
      <c r="B23" s="1">
        <v>0.33333333333333331</v>
      </c>
      <c r="C23" s="2">
        <v>9022.5</v>
      </c>
      <c r="D23" s="2">
        <v>18.100000000000001</v>
      </c>
      <c r="E23" s="3">
        <f t="shared" si="2"/>
        <v>3.1699145081153651E-3</v>
      </c>
      <c r="F23" s="4">
        <f t="shared" si="1"/>
        <v>735.32333127982781</v>
      </c>
    </row>
    <row r="24" spans="1:7">
      <c r="A24" s="7">
        <v>42643</v>
      </c>
      <c r="B24" s="1">
        <v>0.33333333333333331</v>
      </c>
      <c r="C24" s="2">
        <v>8789</v>
      </c>
      <c r="D24" s="2">
        <v>13.6</v>
      </c>
      <c r="E24" s="3">
        <f t="shared" si="2"/>
        <v>1.6797879618332415E-2</v>
      </c>
      <c r="F24" s="4">
        <f t="shared" si="1"/>
        <v>736.71338372106993</v>
      </c>
    </row>
    <row r="25" spans="1:7">
      <c r="A25" s="6">
        <v>42653</v>
      </c>
      <c r="B25" s="1">
        <v>0.33333333333333331</v>
      </c>
      <c r="C25" s="2">
        <v>8857.2999999999993</v>
      </c>
      <c r="D25" s="2">
        <v>12.5</v>
      </c>
      <c r="E25" s="3">
        <f t="shared" si="2"/>
        <v>9.3890792437695721E-3</v>
      </c>
      <c r="F25" s="4">
        <f t="shared" si="1"/>
        <v>735.95768608286448</v>
      </c>
    </row>
    <row r="26" spans="1:7">
      <c r="A26" s="7">
        <v>42855</v>
      </c>
      <c r="B26" s="1">
        <v>0.33333333333333331</v>
      </c>
      <c r="C26" s="2">
        <v>8513.6</v>
      </c>
      <c r="D26" s="2">
        <v>3.2</v>
      </c>
      <c r="E26" s="3">
        <f t="shared" si="2"/>
        <v>2.5759984387170243E-2</v>
      </c>
      <c r="F26" s="4">
        <f t="shared" si="1"/>
        <v>737.62751840749138</v>
      </c>
    </row>
    <row r="27" spans="1:7">
      <c r="A27" s="7">
        <v>42865</v>
      </c>
      <c r="B27" s="1">
        <v>0.33333333333333331</v>
      </c>
      <c r="C27" s="2">
        <v>8429.2999999999993</v>
      </c>
      <c r="D27" s="2">
        <v>3.3</v>
      </c>
      <c r="E27" s="3">
        <f t="shared" si="2"/>
        <v>3.3163468074639907E-2</v>
      </c>
      <c r="F27" s="4">
        <f t="shared" si="1"/>
        <v>738.38267374361328</v>
      </c>
    </row>
    <row r="28" spans="1:7">
      <c r="A28" s="7">
        <v>42875</v>
      </c>
      <c r="B28" s="1">
        <v>0.33333333333333331</v>
      </c>
      <c r="C28" s="2">
        <v>8497.4</v>
      </c>
      <c r="D28" s="2">
        <v>3.4</v>
      </c>
      <c r="E28" s="3">
        <f t="shared" si="2"/>
        <v>2.7437577301063897E-2</v>
      </c>
      <c r="F28" s="4">
        <f t="shared" si="1"/>
        <v>737.79863288470847</v>
      </c>
    </row>
    <row r="29" spans="1:7">
      <c r="A29" s="7">
        <v>42885</v>
      </c>
      <c r="B29" s="1">
        <v>0.33333333333333331</v>
      </c>
      <c r="C29" s="2">
        <v>8531.2999999999993</v>
      </c>
      <c r="D29" s="2">
        <v>3.6</v>
      </c>
      <c r="E29" s="3">
        <f t="shared" si="2"/>
        <v>2.4801739636302254E-2</v>
      </c>
      <c r="F29" s="4">
        <f t="shared" si="1"/>
        <v>737.52977744290286</v>
      </c>
    </row>
    <row r="30" spans="1:7">
      <c r="A30" s="7">
        <v>42896</v>
      </c>
      <c r="B30" s="1">
        <v>0.33333333333333331</v>
      </c>
      <c r="C30" s="2">
        <v>8528.9</v>
      </c>
      <c r="D30" s="2">
        <v>3.7</v>
      </c>
      <c r="E30" s="3">
        <f t="shared" si="2"/>
        <v>2.5149670551733404E-2</v>
      </c>
      <c r="F30" s="4">
        <f t="shared" si="1"/>
        <v>737.5652663962768</v>
      </c>
    </row>
    <row r="31" spans="1:7">
      <c r="A31" s="7">
        <v>42906</v>
      </c>
      <c r="B31" s="1">
        <v>0.33333333333333331</v>
      </c>
      <c r="C31" s="2">
        <v>8515.6</v>
      </c>
      <c r="D31" s="2">
        <v>3.8</v>
      </c>
      <c r="E31" s="3">
        <f t="shared" si="2"/>
        <v>2.6435929894687068E-2</v>
      </c>
      <c r="F31" s="4">
        <f t="shared" si="1"/>
        <v>737.69646484925806</v>
      </c>
    </row>
    <row r="32" spans="1:7">
      <c r="A32" s="7">
        <v>42926</v>
      </c>
      <c r="B32" s="1">
        <v>0.33333333333333331</v>
      </c>
      <c r="C32" s="2">
        <v>8540.5</v>
      </c>
      <c r="D32" s="2">
        <v>4.0999999999999996</v>
      </c>
      <c r="E32" s="3">
        <f t="shared" si="2"/>
        <v>2.4716707583883332E-2</v>
      </c>
      <c r="F32" s="4">
        <f t="shared" si="1"/>
        <v>737.52110417355607</v>
      </c>
    </row>
    <row r="33" spans="1:6">
      <c r="A33" s="7">
        <v>42936</v>
      </c>
      <c r="B33" s="1">
        <v>0.33333333333333331</v>
      </c>
      <c r="C33" s="2">
        <v>8541.2999999999993</v>
      </c>
      <c r="D33" s="2">
        <v>4.3</v>
      </c>
      <c r="E33" s="3">
        <f t="shared" si="2"/>
        <v>2.4930569931254382E-2</v>
      </c>
      <c r="F33" s="4">
        <f t="shared" si="1"/>
        <v>737.54291813298789</v>
      </c>
    </row>
    <row r="34" spans="1:6">
      <c r="A34" s="7">
        <v>42946</v>
      </c>
      <c r="B34" s="1">
        <v>0.33333333333333331</v>
      </c>
      <c r="C34" s="2">
        <v>8554.9</v>
      </c>
      <c r="D34" s="2">
        <v>4.5999999999999996</v>
      </c>
      <c r="E34" s="3">
        <f t="shared" si="2"/>
        <v>2.4184343598390962E-2</v>
      </c>
      <c r="F34" s="4">
        <f t="shared" si="1"/>
        <v>737.46680304703591</v>
      </c>
    </row>
    <row r="35" spans="1:6">
      <c r="A35" s="7">
        <v>42957</v>
      </c>
      <c r="B35" s="1">
        <v>0.33333333333333331</v>
      </c>
      <c r="C35" s="2">
        <v>8547</v>
      </c>
      <c r="D35" s="2">
        <v>5.2</v>
      </c>
      <c r="E35" s="3">
        <f t="shared" si="2"/>
        <v>2.571224793570839E-2</v>
      </c>
      <c r="F35" s="4">
        <f t="shared" si="1"/>
        <v>737.62264928944228</v>
      </c>
    </row>
    <row r="36" spans="1:6">
      <c r="A36" s="7">
        <v>42967</v>
      </c>
      <c r="B36" s="1">
        <v>0.33333333333333331</v>
      </c>
      <c r="C36" s="2">
        <v>8570.4</v>
      </c>
      <c r="D36" s="2">
        <v>5.7</v>
      </c>
      <c r="E36" s="3">
        <f t="shared" si="2"/>
        <v>2.4405742107112705E-2</v>
      </c>
      <c r="F36" s="4">
        <f t="shared" si="1"/>
        <v>737.48938569492555</v>
      </c>
    </row>
    <row r="37" spans="1:6">
      <c r="A37" s="7">
        <v>42977</v>
      </c>
      <c r="B37" s="1">
        <v>0.33333333333333331</v>
      </c>
      <c r="C37" s="2">
        <v>8561.6</v>
      </c>
      <c r="D37" s="2">
        <v>6.5</v>
      </c>
      <c r="E37" s="3">
        <f t="shared" si="2"/>
        <v>2.6293634399989451E-2</v>
      </c>
      <c r="F37" s="4">
        <f t="shared" si="1"/>
        <v>737.68195070879892</v>
      </c>
    </row>
    <row r="38" spans="1:6">
      <c r="A38" s="7">
        <v>42988</v>
      </c>
      <c r="B38" s="1">
        <v>0.33333333333333331</v>
      </c>
      <c r="C38" s="2">
        <v>8572.7999999999993</v>
      </c>
      <c r="D38" s="2">
        <v>7.1</v>
      </c>
      <c r="E38" s="3">
        <f t="shared" si="2"/>
        <v>2.6178261644280176E-2</v>
      </c>
      <c r="F38" s="4">
        <f t="shared" si="1"/>
        <v>737.67018268771653</v>
      </c>
    </row>
    <row r="39" spans="1:6">
      <c r="A39" s="7">
        <v>42998</v>
      </c>
      <c r="B39" s="1">
        <v>0.33333333333333331</v>
      </c>
      <c r="C39" s="2">
        <v>8583.5</v>
      </c>
      <c r="D39" s="2">
        <v>7.2</v>
      </c>
      <c r="E39" s="3">
        <f t="shared" si="2"/>
        <v>2.539927274354736E-2</v>
      </c>
      <c r="F39" s="4">
        <f t="shared" si="1"/>
        <v>737.59072581984185</v>
      </c>
    </row>
    <row r="40" spans="1:6">
      <c r="A40" s="7">
        <v>43008</v>
      </c>
      <c r="B40" s="1">
        <v>0.33333333333333331</v>
      </c>
      <c r="C40" s="2">
        <v>8695.7000000000007</v>
      </c>
      <c r="D40" s="2">
        <v>7.5</v>
      </c>
      <c r="E40" s="3">
        <f t="shared" si="2"/>
        <v>1.6181208523839804E-2</v>
      </c>
      <c r="F40" s="4">
        <f t="shared" si="1"/>
        <v>736.65048326943167</v>
      </c>
    </row>
    <row r="41" spans="1:6">
      <c r="A41" s="7">
        <v>43018</v>
      </c>
      <c r="B41" s="1">
        <v>0.33333333333333331</v>
      </c>
      <c r="C41" s="2">
        <v>8596.5</v>
      </c>
      <c r="D41" s="2">
        <v>7.8</v>
      </c>
      <c r="E41" s="3">
        <f t="shared" si="2"/>
        <v>2.5129420105227448E-2</v>
      </c>
      <c r="F41" s="4">
        <f t="shared" si="1"/>
        <v>737.56320085073321</v>
      </c>
    </row>
    <row r="42" spans="1:6">
      <c r="A42" s="7">
        <v>43230</v>
      </c>
      <c r="B42" s="1">
        <v>0.33333333333333331</v>
      </c>
      <c r="C42" s="2">
        <v>8623.4</v>
      </c>
      <c r="D42" s="2">
        <v>9.1999999999999993</v>
      </c>
      <c r="E42" s="3">
        <f t="shared" si="2"/>
        <v>2.4795694058305586E-2</v>
      </c>
      <c r="F42" s="4">
        <f t="shared" si="1"/>
        <v>737.5291607939472</v>
      </c>
    </row>
    <row r="43" spans="1:6">
      <c r="A43" s="7">
        <v>43240</v>
      </c>
      <c r="B43" s="1">
        <v>0.33333333333333331</v>
      </c>
      <c r="C43" s="2">
        <v>8628.2000000000007</v>
      </c>
      <c r="D43" s="2">
        <v>9.1999999999999993</v>
      </c>
      <c r="E43" s="3">
        <f>($B$2*C43^2+$B$3*C43+$B$4)-$B$5*D43-$E$7</f>
        <v>2.4383114102800776E-2</v>
      </c>
      <c r="F43" s="4">
        <f t="shared" si="1"/>
        <v>737.48707763848563</v>
      </c>
    </row>
    <row r="44" spans="1:6">
      <c r="A44" s="7">
        <v>43250</v>
      </c>
      <c r="B44" s="1">
        <v>0.33333333333333331</v>
      </c>
      <c r="C44" s="2">
        <v>8618.7000000000007</v>
      </c>
      <c r="D44" s="2">
        <v>9</v>
      </c>
      <c r="E44" s="3">
        <f>($B$2*C44^2+$B$3*C44+$B$4)-$B$5*D44-$E$7</f>
        <v>2.4916996181622252E-2</v>
      </c>
      <c r="F44" s="4">
        <f t="shared" si="1"/>
        <v>737.54153361052545</v>
      </c>
    </row>
    <row r="45" spans="1:6">
      <c r="A45" s="7">
        <v>43261</v>
      </c>
      <c r="B45" s="1">
        <v>0.33333333333333331</v>
      </c>
      <c r="C45" s="2">
        <v>8583.2000000000007</v>
      </c>
      <c r="D45" s="2">
        <v>8.9</v>
      </c>
      <c r="E45" s="3">
        <f>($B$2*C45^2+$B$3*C45+$B$4)-$B$5*D45-$E$7</f>
        <v>2.7828111539524716E-2</v>
      </c>
      <c r="F45" s="4">
        <f t="shared" si="1"/>
        <v>737.83846737703152</v>
      </c>
    </row>
    <row r="46" spans="1:6">
      <c r="A46" s="7">
        <v>43271</v>
      </c>
      <c r="B46" s="1">
        <v>0.33333333333333331</v>
      </c>
      <c r="C46" s="2">
        <v>8465.1</v>
      </c>
      <c r="D46" s="2">
        <v>9.5</v>
      </c>
      <c r="E46" s="3">
        <f>($B$2*C46^2+$B$3*C46+$B$4)-$B$5*D46-$E$7</f>
        <v>3.8842368230598862E-2</v>
      </c>
      <c r="F46" s="4">
        <f t="shared" si="1"/>
        <v>738.9619215595211</v>
      </c>
    </row>
    <row r="47" spans="1:6">
      <c r="A47" s="7">
        <v>43281</v>
      </c>
      <c r="B47" s="1">
        <v>0.33333333333333331</v>
      </c>
      <c r="C47" s="2">
        <v>8498.9</v>
      </c>
      <c r="D47" s="2">
        <v>8.8000000000000007</v>
      </c>
      <c r="E47" s="3">
        <f>($B$2*C47^2+$B$3*C47+$B$4)-$B$5*D47-$E$7</f>
        <v>3.4941583173565258E-2</v>
      </c>
      <c r="F47" s="4">
        <f t="shared" si="1"/>
        <v>738.5640414837037</v>
      </c>
    </row>
    <row r="48" spans="1:6">
      <c r="A48" s="7">
        <v>43291</v>
      </c>
      <c r="B48" s="1">
        <v>0.33333333333333331</v>
      </c>
      <c r="C48" s="2">
        <v>8582.7000000000007</v>
      </c>
      <c r="D48" s="2">
        <v>9.1</v>
      </c>
      <c r="E48" s="3">
        <f t="shared" ref="E48:E51" si="3">($B$2*C48^2+$B$3*C48+$B$4)-$B$5*D48-$E$7</f>
        <v>2.8153825481721396E-2</v>
      </c>
      <c r="F48" s="4">
        <f t="shared" si="1"/>
        <v>737.87169019913563</v>
      </c>
    </row>
    <row r="49" spans="1:6">
      <c r="A49" s="7">
        <v>43301</v>
      </c>
      <c r="B49" s="1">
        <v>0.33333333333333331</v>
      </c>
      <c r="C49" s="2">
        <v>8566.7999999999993</v>
      </c>
      <c r="D49" s="2">
        <v>9.1999999999999993</v>
      </c>
      <c r="E49" s="3">
        <f t="shared" si="3"/>
        <v>2.9662861842004919E-2</v>
      </c>
      <c r="F49" s="4">
        <f t="shared" si="1"/>
        <v>738.02561190788447</v>
      </c>
    </row>
    <row r="50" spans="1:6">
      <c r="A50" s="7">
        <v>43311</v>
      </c>
      <c r="B50" s="1">
        <v>0.33333333333333331</v>
      </c>
      <c r="C50" s="2">
        <v>8567.2000000000007</v>
      </c>
      <c r="D50" s="2">
        <v>8.6999999999999993</v>
      </c>
      <c r="E50" s="3">
        <f t="shared" si="3"/>
        <v>2.892167540831209E-2</v>
      </c>
      <c r="F50" s="4">
        <f t="shared" si="1"/>
        <v>737.95001089164782</v>
      </c>
    </row>
    <row r="51" spans="1:6">
      <c r="A51" s="7">
        <v>43322</v>
      </c>
      <c r="B51" s="1">
        <v>0.33333333333333331</v>
      </c>
      <c r="C51" s="2">
        <v>8533.7999999999993</v>
      </c>
      <c r="D51" s="2">
        <v>8.9</v>
      </c>
      <c r="E51" s="3">
        <f t="shared" si="3"/>
        <v>3.2078384417815325E-2</v>
      </c>
      <c r="F51" s="4">
        <f t="shared" si="1"/>
        <v>738.27199521061721</v>
      </c>
    </row>
    <row r="52" spans="1:6">
      <c r="A52" s="7">
        <v>43332</v>
      </c>
      <c r="B52" s="1">
        <v>0.33333333333333331</v>
      </c>
      <c r="C52" s="2">
        <v>8558.2999999999993</v>
      </c>
      <c r="D52" s="2">
        <v>8.8000000000000007</v>
      </c>
      <c r="E52" s="3">
        <f t="shared" ref="E52:E69" si="4">($B$2*C52^2+$B$3*C52+$B$4)-$B$5*D52-$E$7</f>
        <v>2.9828720856340741E-2</v>
      </c>
      <c r="F52" s="4">
        <f t="shared" ref="F52:F69" si="5">$D$1+102*E52</f>
        <v>738.0425295273468</v>
      </c>
    </row>
    <row r="53" spans="1:6">
      <c r="A53" s="7">
        <v>43342</v>
      </c>
      <c r="B53" s="1">
        <v>0.33333333333333331</v>
      </c>
      <c r="C53" s="2">
        <v>8497.6</v>
      </c>
      <c r="D53" s="2">
        <v>9.1999999999999993</v>
      </c>
      <c r="E53" s="3">
        <f t="shared" si="4"/>
        <v>3.5618950335611882E-2</v>
      </c>
      <c r="F53" s="4">
        <f t="shared" si="5"/>
        <v>738.63313293423244</v>
      </c>
    </row>
    <row r="54" spans="1:6">
      <c r="A54" s="7">
        <v>43353</v>
      </c>
      <c r="B54" s="1">
        <v>0.33333333333333331</v>
      </c>
      <c r="C54" s="2">
        <v>8462.4</v>
      </c>
      <c r="D54" s="2">
        <v>9.5</v>
      </c>
      <c r="E54" s="3">
        <f t="shared" si="4"/>
        <v>3.9074988969627938E-2</v>
      </c>
      <c r="F54" s="4">
        <f t="shared" si="5"/>
        <v>738.98564887490204</v>
      </c>
    </row>
    <row r="55" spans="1:6">
      <c r="A55" s="7">
        <v>43363</v>
      </c>
      <c r="B55" s="1">
        <v>0.33333333333333331</v>
      </c>
      <c r="C55" s="2">
        <v>8510.6</v>
      </c>
      <c r="D55" s="2">
        <v>9</v>
      </c>
      <c r="E55" s="3">
        <f t="shared" si="4"/>
        <v>3.4216867159674993E-2</v>
      </c>
      <c r="F55" s="4">
        <f t="shared" si="5"/>
        <v>738.49012045028689</v>
      </c>
    </row>
    <row r="56" spans="1:6">
      <c r="A56" s="7">
        <v>43373</v>
      </c>
      <c r="B56" s="1">
        <v>0.33333333333333331</v>
      </c>
      <c r="C56" s="2">
        <v>8532.1</v>
      </c>
      <c r="D56" s="2">
        <v>9.1999999999999993</v>
      </c>
      <c r="E56" s="3">
        <f t="shared" si="4"/>
        <v>3.2648768224123631E-2</v>
      </c>
      <c r="F56" s="4">
        <f t="shared" si="5"/>
        <v>738.33017435886063</v>
      </c>
    </row>
    <row r="57" spans="1:6">
      <c r="A57" s="7">
        <v>43383</v>
      </c>
      <c r="B57" s="1">
        <v>0.33333333333333331</v>
      </c>
      <c r="C57" s="2">
        <v>8539.6</v>
      </c>
      <c r="D57" s="2">
        <v>8.6999999999999993</v>
      </c>
      <c r="E57" s="3">
        <f t="shared" si="4"/>
        <v>3.1296496970136756E-2</v>
      </c>
      <c r="F57" s="4">
        <f t="shared" si="5"/>
        <v>738.192242690954</v>
      </c>
    </row>
    <row r="58" spans="1:6">
      <c r="A58" s="7">
        <v>43393</v>
      </c>
      <c r="B58" s="1">
        <v>0.33333333333333331</v>
      </c>
      <c r="C58" s="2">
        <v>8542.7000000000007</v>
      </c>
      <c r="D58" s="2">
        <v>8.4</v>
      </c>
      <c r="E58" s="3">
        <f t="shared" si="4"/>
        <v>3.0605647205689371E-2</v>
      </c>
      <c r="F58" s="4">
        <f t="shared" si="5"/>
        <v>738.12177601498036</v>
      </c>
    </row>
    <row r="59" spans="1:6">
      <c r="A59" s="7">
        <v>43605</v>
      </c>
      <c r="B59" s="1">
        <v>0.33333333333333331</v>
      </c>
      <c r="C59" s="2">
        <v>8612.1</v>
      </c>
      <c r="D59" s="2">
        <v>7.6</v>
      </c>
      <c r="E59" s="3">
        <f t="shared" si="4"/>
        <v>2.350540764319568E-2</v>
      </c>
      <c r="F59" s="4">
        <f t="shared" si="5"/>
        <v>737.39755157960599</v>
      </c>
    </row>
    <row r="60" spans="1:6">
      <c r="A60" s="7">
        <v>43615</v>
      </c>
      <c r="B60" s="1">
        <v>0.33333333333333331</v>
      </c>
      <c r="C60" s="2">
        <v>8614.2999999999993</v>
      </c>
      <c r="D60" s="2">
        <v>7.7</v>
      </c>
      <c r="E60" s="3">
        <f t="shared" si="4"/>
        <v>2.3457629099271866E-2</v>
      </c>
      <c r="F60" s="4">
        <f t="shared" si="5"/>
        <v>737.39267816812571</v>
      </c>
    </row>
    <row r="61" spans="1:6">
      <c r="A61" s="7">
        <v>43626</v>
      </c>
      <c r="B61" s="1">
        <v>0.33333333333333331</v>
      </c>
      <c r="C61" s="2">
        <v>8617.2000000000007</v>
      </c>
      <c r="D61" s="2">
        <v>7.9</v>
      </c>
      <c r="E61" s="3">
        <f t="shared" si="4"/>
        <v>2.3491035971752044E-2</v>
      </c>
      <c r="F61" s="4">
        <f t="shared" si="5"/>
        <v>737.39608566911875</v>
      </c>
    </row>
    <row r="62" spans="1:6">
      <c r="A62" s="7">
        <v>43636</v>
      </c>
      <c r="B62" s="1">
        <v>0.33333333333333331</v>
      </c>
      <c r="C62" s="2">
        <v>8618.2999999999993</v>
      </c>
      <c r="D62" s="2">
        <v>8.1</v>
      </c>
      <c r="E62" s="3">
        <f t="shared" si="4"/>
        <v>2.367918557853271E-2</v>
      </c>
      <c r="F62" s="4">
        <f t="shared" si="5"/>
        <v>737.41527692901036</v>
      </c>
    </row>
    <row r="63" spans="1:6">
      <c r="A63" s="7">
        <v>43646</v>
      </c>
      <c r="B63" s="1">
        <v>0.33333333333333331</v>
      </c>
      <c r="C63" s="2">
        <v>8594.7999999999993</v>
      </c>
      <c r="D63" s="2">
        <v>8</v>
      </c>
      <c r="E63" s="3">
        <f t="shared" si="4"/>
        <v>2.555831615985445E-2</v>
      </c>
      <c r="F63" s="4">
        <f t="shared" si="5"/>
        <v>737.60694824830512</v>
      </c>
    </row>
    <row r="64" spans="1:6">
      <c r="A64" s="7">
        <v>43656</v>
      </c>
      <c r="B64" s="1">
        <v>0.33333333333333331</v>
      </c>
      <c r="C64" s="2">
        <v>8587.2000000000007</v>
      </c>
      <c r="D64" s="2">
        <v>8</v>
      </c>
      <c r="E64" s="3">
        <f t="shared" si="4"/>
        <v>2.6211896902488003E-2</v>
      </c>
      <c r="F64" s="4">
        <f t="shared" si="5"/>
        <v>737.67361348405382</v>
      </c>
    </row>
    <row r="65" spans="1:6">
      <c r="A65" s="7">
        <v>43666</v>
      </c>
      <c r="B65" s="1">
        <v>0.33333333333333331</v>
      </c>
      <c r="C65" s="2">
        <v>8579.4</v>
      </c>
      <c r="D65" s="2">
        <v>7.9</v>
      </c>
      <c r="E65" s="3">
        <f t="shared" si="4"/>
        <v>2.6741396783259135E-2</v>
      </c>
      <c r="F65" s="4">
        <f t="shared" si="5"/>
        <v>737.72762247189246</v>
      </c>
    </row>
    <row r="66" spans="1:6">
      <c r="A66" s="7">
        <v>43676</v>
      </c>
      <c r="B66" s="1">
        <v>0.33333333333333331</v>
      </c>
      <c r="C66" s="2">
        <v>8557.7999999999993</v>
      </c>
      <c r="D66" s="2">
        <v>7.8</v>
      </c>
      <c r="E66" s="3">
        <f t="shared" si="4"/>
        <v>2.8458189092612104E-2</v>
      </c>
      <c r="F66" s="4">
        <f t="shared" si="5"/>
        <v>737.90273528744649</v>
      </c>
    </row>
    <row r="67" spans="1:6">
      <c r="A67" s="7">
        <v>43687</v>
      </c>
      <c r="B67" s="1">
        <v>0.33333333333333331</v>
      </c>
      <c r="C67" s="2">
        <v>8494.7000000000007</v>
      </c>
      <c r="D67" s="2">
        <v>7.8</v>
      </c>
      <c r="E67" s="3">
        <f t="shared" si="4"/>
        <v>3.3889713906898988E-2</v>
      </c>
      <c r="F67" s="4">
        <f t="shared" si="5"/>
        <v>738.45675081850368</v>
      </c>
    </row>
    <row r="68" spans="1:6">
      <c r="A68" s="7">
        <v>43697</v>
      </c>
      <c r="B68" s="1">
        <v>0.33333333333333331</v>
      </c>
      <c r="C68" s="2">
        <v>8447.1</v>
      </c>
      <c r="D68" s="2">
        <v>7.9</v>
      </c>
      <c r="E68" s="3">
        <f t="shared" si="4"/>
        <v>3.8131662925659601E-2</v>
      </c>
      <c r="F68" s="4">
        <f t="shared" si="5"/>
        <v>738.88942961841724</v>
      </c>
    </row>
    <row r="69" spans="1:6">
      <c r="A69" s="7">
        <v>43707</v>
      </c>
      <c r="B69" s="1">
        <v>0.33333333333333331</v>
      </c>
      <c r="C69" s="2">
        <v>8436.6</v>
      </c>
      <c r="D69" s="2">
        <v>7.9</v>
      </c>
      <c r="E69" s="3">
        <f t="shared" si="4"/>
        <v>3.9036585306689506E-2</v>
      </c>
      <c r="F69" s="4">
        <f t="shared" si="5"/>
        <v>738.98173170128234</v>
      </c>
    </row>
  </sheetData>
  <phoneticPr fontId="4" type="noConversion"/>
  <pageMargins left="0.69930555555555596" right="0.69930555555555596" top="0.75" bottom="0.75" header="0.3" footer="0.3"/>
  <pageSetup paperSize="9" orientation="portrait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8"/>
  <sheetViews>
    <sheetView topLeftCell="A48" workbookViewId="0">
      <selection activeCell="A62" sqref="A62:B68"/>
    </sheetView>
  </sheetViews>
  <sheetFormatPr defaultColWidth="9" defaultRowHeight="13.5"/>
  <cols>
    <col min="1" max="1" width="11.125" customWidth="1"/>
    <col min="2" max="2" width="13.875" customWidth="1"/>
    <col min="5" max="5" width="10.875" customWidth="1"/>
  </cols>
  <sheetData>
    <row r="1" spans="1:7">
      <c r="A1" t="s">
        <v>0</v>
      </c>
      <c r="B1">
        <v>50389</v>
      </c>
      <c r="C1" t="s">
        <v>1</v>
      </c>
      <c r="D1">
        <v>735</v>
      </c>
    </row>
    <row r="2" spans="1:7">
      <c r="A2" t="s">
        <v>2</v>
      </c>
      <c r="B2" s="11">
        <f>8.17771*10^-10</f>
        <v>8.1777099999999997E-10</v>
      </c>
    </row>
    <row r="3" spans="1:7">
      <c r="A3" t="s">
        <v>3</v>
      </c>
      <c r="B3" s="11">
        <v>-8.1756999999999997E-5</v>
      </c>
    </row>
    <row r="4" spans="1:7">
      <c r="A4" t="s">
        <v>4</v>
      </c>
      <c r="B4" s="11">
        <v>0.55207262999999995</v>
      </c>
    </row>
    <row r="5" spans="1:7">
      <c r="A5" t="s">
        <v>5</v>
      </c>
      <c r="B5" s="11">
        <v>-9.5463899999999997E-4</v>
      </c>
    </row>
    <row r="6" spans="1:7">
      <c r="A6" t="s">
        <v>6</v>
      </c>
      <c r="B6" t="s">
        <v>7</v>
      </c>
      <c r="C6" t="s">
        <v>8</v>
      </c>
      <c r="D6" t="s">
        <v>9</v>
      </c>
      <c r="E6" t="s">
        <v>10</v>
      </c>
      <c r="F6" t="s">
        <v>11</v>
      </c>
      <c r="G6" t="s">
        <v>12</v>
      </c>
    </row>
    <row r="7" spans="1:7">
      <c r="A7" s="7">
        <v>42562</v>
      </c>
      <c r="B7" s="1">
        <v>0.45833333333333298</v>
      </c>
      <c r="C7" s="2">
        <v>7353.5</v>
      </c>
      <c r="D7" s="2">
        <v>20.5</v>
      </c>
      <c r="E7" s="3">
        <f>($B$2*C7^2+$B$3*C7+$B$4)-$B$5*D7</f>
        <v>1.4662748183144732E-2</v>
      </c>
      <c r="G7" t="s">
        <v>13</v>
      </c>
    </row>
    <row r="8" spans="1:7">
      <c r="A8" s="7">
        <v>42562</v>
      </c>
      <c r="B8" s="1">
        <v>0.72222222222222199</v>
      </c>
      <c r="C8" s="2">
        <v>7377.4</v>
      </c>
      <c r="D8" s="2">
        <v>23</v>
      </c>
      <c r="E8" s="3">
        <f>($B$2*C8^2+$B$3*C8+$B$4)-$B$5*D8-$E$7</f>
        <v>7.2051661749125348E-4</v>
      </c>
      <c r="F8" s="4">
        <f>$D$1+102*E8</f>
        <v>735.07349269498411</v>
      </c>
      <c r="G8" s="5" t="s">
        <v>14</v>
      </c>
    </row>
    <row r="9" spans="1:7">
      <c r="A9" s="7">
        <v>42563</v>
      </c>
      <c r="B9" s="9">
        <v>0.33333333333333298</v>
      </c>
      <c r="C9" s="2">
        <v>7380.1</v>
      </c>
      <c r="D9" s="2">
        <v>24</v>
      </c>
      <c r="E9" s="3">
        <f t="shared" ref="E9:E17" si="0">($B$2*C9^2+$B$3*C9+$B$4)-$B$5*D9-$E$7</f>
        <v>1.4869960074288952E-3</v>
      </c>
      <c r="F9" s="4">
        <f t="shared" ref="F9:F50" si="1">$D$1+102*E9</f>
        <v>735.15167359275779</v>
      </c>
    </row>
    <row r="10" spans="1:7">
      <c r="A10" s="7">
        <v>42564</v>
      </c>
      <c r="B10" s="9">
        <v>0.33333333333333298</v>
      </c>
      <c r="C10" s="2">
        <v>7382.4</v>
      </c>
      <c r="D10" s="2">
        <v>24.6</v>
      </c>
      <c r="E10" s="3">
        <f t="shared" si="0"/>
        <v>1.8995046995202054E-3</v>
      </c>
      <c r="F10" s="4">
        <f t="shared" si="1"/>
        <v>735.19374947935103</v>
      </c>
    </row>
    <row r="11" spans="1:7">
      <c r="A11" s="7">
        <v>42565</v>
      </c>
      <c r="B11" s="9">
        <v>0.33333333333333298</v>
      </c>
      <c r="C11" s="2">
        <v>7386.7</v>
      </c>
      <c r="D11" s="2">
        <v>25.1</v>
      </c>
      <c r="E11" s="3">
        <f t="shared" si="0"/>
        <v>2.0772033887274943E-3</v>
      </c>
      <c r="F11" s="4">
        <f t="shared" si="1"/>
        <v>735.21187474565022</v>
      </c>
    </row>
    <row r="12" spans="1:7">
      <c r="A12" s="7">
        <v>42566</v>
      </c>
      <c r="B12" s="9">
        <v>0.33333333333333298</v>
      </c>
      <c r="C12" s="2">
        <v>7393.4</v>
      </c>
      <c r="D12" s="2">
        <v>25.8</v>
      </c>
      <c r="E12" s="3">
        <f t="shared" si="0"/>
        <v>2.2786599276799976E-3</v>
      </c>
      <c r="F12" s="4">
        <f t="shared" si="1"/>
        <v>735.23242331262338</v>
      </c>
    </row>
    <row r="13" spans="1:7">
      <c r="A13" s="7">
        <v>42567</v>
      </c>
      <c r="B13" s="9">
        <v>0.33333333333333298</v>
      </c>
      <c r="C13" s="2">
        <v>7398.9</v>
      </c>
      <c r="D13" s="2">
        <v>26.1</v>
      </c>
      <c r="E13" s="3">
        <f t="shared" si="0"/>
        <v>2.1819200544781966E-3</v>
      </c>
      <c r="F13" s="4">
        <f t="shared" si="1"/>
        <v>735.22255584555683</v>
      </c>
    </row>
    <row r="14" spans="1:7">
      <c r="A14" s="7">
        <v>42568</v>
      </c>
      <c r="B14" s="9">
        <v>0.33333333333333298</v>
      </c>
      <c r="C14" s="2">
        <v>7401.4</v>
      </c>
      <c r="D14" s="2">
        <v>26.4</v>
      </c>
      <c r="E14" s="3">
        <f t="shared" si="0"/>
        <v>2.2941773948064667E-3</v>
      </c>
      <c r="F14" s="4">
        <f t="shared" si="1"/>
        <v>735.23400609427028</v>
      </c>
    </row>
    <row r="15" spans="1:7">
      <c r="A15" s="7">
        <v>42570</v>
      </c>
      <c r="B15" s="9">
        <v>0.33333333333333298</v>
      </c>
      <c r="C15" s="2">
        <v>7404.2</v>
      </c>
      <c r="D15" s="2">
        <v>26.7</v>
      </c>
      <c r="E15" s="3">
        <f t="shared" si="0"/>
        <v>2.3855507476956903E-3</v>
      </c>
      <c r="F15" s="4">
        <f t="shared" si="1"/>
        <v>735.24332617626499</v>
      </c>
    </row>
    <row r="16" spans="1:7">
      <c r="A16" s="7">
        <v>42572</v>
      </c>
      <c r="B16" s="9">
        <v>0.33333333333333298</v>
      </c>
      <c r="C16" s="2">
        <v>7442.1</v>
      </c>
      <c r="D16" s="2">
        <v>33.799999999999997</v>
      </c>
      <c r="E16" s="3">
        <f t="shared" si="0"/>
        <v>6.5250364570332703E-3</v>
      </c>
      <c r="F16" s="4">
        <f t="shared" si="1"/>
        <v>735.66555371861739</v>
      </c>
    </row>
    <row r="17" spans="1:7">
      <c r="A17" s="7">
        <v>42581</v>
      </c>
      <c r="B17" s="9">
        <v>0.33333333333333298</v>
      </c>
      <c r="C17" s="2">
        <v>7615.9</v>
      </c>
      <c r="D17" s="2">
        <v>42.9</v>
      </c>
      <c r="E17" s="3">
        <f t="shared" si="0"/>
        <v>3.1430572128217926E-3</v>
      </c>
      <c r="F17" s="4">
        <f t="shared" si="1"/>
        <v>735.32059183570777</v>
      </c>
      <c r="G17" s="5"/>
    </row>
    <row r="18" spans="1:7">
      <c r="A18" s="7">
        <v>42592</v>
      </c>
      <c r="B18" s="1">
        <v>0.33333333333333298</v>
      </c>
      <c r="C18">
        <v>7525.7</v>
      </c>
      <c r="D18">
        <v>36.4</v>
      </c>
      <c r="E18" s="3">
        <f t="shared" ref="E18:E41" si="2">($B$2*C18^2+$B$3*C18+$B$4)-$B$5*D18-$E$7</f>
        <v>3.1954961169229634E-3</v>
      </c>
      <c r="F18" s="4">
        <f t="shared" si="1"/>
        <v>735.32594060392614</v>
      </c>
    </row>
    <row r="19" spans="1:7">
      <c r="A19" s="7">
        <v>42602</v>
      </c>
      <c r="B19" s="1">
        <v>0.33333333333333298</v>
      </c>
      <c r="C19" s="2">
        <v>7415.6</v>
      </c>
      <c r="D19" s="2">
        <v>28.7</v>
      </c>
      <c r="E19" s="3">
        <f t="shared" si="2"/>
        <v>3.500957858085775E-3</v>
      </c>
      <c r="F19" s="4">
        <f t="shared" si="1"/>
        <v>735.35709770152471</v>
      </c>
    </row>
    <row r="20" spans="1:7">
      <c r="A20" s="7">
        <v>42612</v>
      </c>
      <c r="B20" s="1">
        <v>0.33333333333333298</v>
      </c>
      <c r="C20" s="2">
        <v>7458.3</v>
      </c>
      <c r="D20" s="2">
        <v>24.7</v>
      </c>
      <c r="E20" s="3">
        <f t="shared" si="2"/>
        <v>-3.2892429798305686E-3</v>
      </c>
      <c r="F20" s="4">
        <f t="shared" si="1"/>
        <v>734.66449721605727</v>
      </c>
      <c r="G20" s="2"/>
    </row>
    <row r="21" spans="1:7">
      <c r="A21" s="7">
        <v>42623</v>
      </c>
      <c r="B21" s="1">
        <v>0.33333333333333298</v>
      </c>
      <c r="C21" s="2">
        <v>7308.2</v>
      </c>
      <c r="D21" s="2">
        <v>21.1</v>
      </c>
      <c r="E21" s="3">
        <f t="shared" si="2"/>
        <v>3.7332324378973603E-3</v>
      </c>
      <c r="F21" s="4">
        <f t="shared" si="1"/>
        <v>735.38078970866547</v>
      </c>
      <c r="G21" s="2"/>
    </row>
    <row r="22" spans="1:7">
      <c r="A22" s="7">
        <v>42633</v>
      </c>
      <c r="B22" s="1">
        <v>0.33333333333333331</v>
      </c>
      <c r="C22" s="2">
        <v>7274.7</v>
      </c>
      <c r="D22" s="2">
        <v>18.7</v>
      </c>
      <c r="E22" s="3">
        <f t="shared" si="2"/>
        <v>3.7814550019146173E-3</v>
      </c>
      <c r="F22" s="4">
        <f t="shared" si="1"/>
        <v>735.38570841019532</v>
      </c>
    </row>
    <row r="23" spans="1:7">
      <c r="A23" s="7">
        <v>42643</v>
      </c>
      <c r="B23" s="1">
        <v>0.33333333333333331</v>
      </c>
      <c r="C23" s="2">
        <v>7010</v>
      </c>
      <c r="D23" s="2">
        <v>13.4</v>
      </c>
      <c r="E23" s="3">
        <f t="shared" si="2"/>
        <v>1.7270823133955289E-2</v>
      </c>
      <c r="F23" s="4">
        <f t="shared" si="1"/>
        <v>736.76162395966344</v>
      </c>
    </row>
    <row r="24" spans="1:7">
      <c r="A24" s="7">
        <v>42653</v>
      </c>
      <c r="B24" s="1">
        <v>0.33333333333333331</v>
      </c>
      <c r="C24" s="2">
        <v>7098.8</v>
      </c>
      <c r="D24" s="2">
        <v>12.8</v>
      </c>
      <c r="E24" s="3">
        <f t="shared" si="2"/>
        <v>1.0462571886605432E-2</v>
      </c>
      <c r="F24" s="4">
        <f t="shared" si="1"/>
        <v>736.06718233243373</v>
      </c>
    </row>
    <row r="25" spans="1:7">
      <c r="A25" s="6">
        <v>42855</v>
      </c>
      <c r="B25" s="1">
        <v>0.33333333333333331</v>
      </c>
      <c r="C25" s="2">
        <v>6751.7</v>
      </c>
      <c r="D25" s="2">
        <v>4.3</v>
      </c>
      <c r="E25" s="3">
        <f t="shared" si="2"/>
        <v>2.6794554012163428E-2</v>
      </c>
      <c r="F25" s="4">
        <f t="shared" si="1"/>
        <v>737.7330445092407</v>
      </c>
    </row>
    <row r="26" spans="1:7">
      <c r="A26" s="7">
        <v>42865</v>
      </c>
      <c r="B26" s="1">
        <v>0.33333333333333331</v>
      </c>
      <c r="C26" s="2">
        <v>6664</v>
      </c>
      <c r="D26" s="2">
        <v>5.4</v>
      </c>
      <c r="E26" s="3">
        <f t="shared" si="2"/>
        <v>3.4052591707671283E-2</v>
      </c>
      <c r="F26" s="4">
        <f t="shared" si="1"/>
        <v>738.47336435418242</v>
      </c>
    </row>
    <row r="27" spans="1:7">
      <c r="A27" s="7">
        <v>42875</v>
      </c>
      <c r="B27" s="1">
        <v>0.33333333333333331</v>
      </c>
      <c r="C27" s="2">
        <v>6754.6</v>
      </c>
      <c r="D27" s="2">
        <v>6.4</v>
      </c>
      <c r="E27" s="3">
        <f t="shared" si="2"/>
        <v>2.8594231287489585E-2</v>
      </c>
      <c r="F27" s="4">
        <f t="shared" si="1"/>
        <v>737.91661159132389</v>
      </c>
    </row>
    <row r="28" spans="1:7">
      <c r="A28" s="7">
        <v>42885</v>
      </c>
      <c r="B28" s="1">
        <v>0.33333333333333331</v>
      </c>
      <c r="C28" s="2">
        <v>6782.2</v>
      </c>
      <c r="D28" s="2">
        <v>5.7</v>
      </c>
      <c r="E28" s="3">
        <f t="shared" si="2"/>
        <v>2.5975022855738945E-2</v>
      </c>
      <c r="F28" s="4">
        <f t="shared" si="1"/>
        <v>737.64945233128537</v>
      </c>
    </row>
    <row r="29" spans="1:7">
      <c r="A29" s="7">
        <v>42896</v>
      </c>
      <c r="B29" s="1">
        <v>0.33333333333333331</v>
      </c>
      <c r="C29" s="2">
        <v>6775.8</v>
      </c>
      <c r="D29" s="2">
        <v>5.7</v>
      </c>
      <c r="E29" s="3">
        <f t="shared" si="2"/>
        <v>2.6427308684743751E-2</v>
      </c>
      <c r="F29" s="4">
        <f t="shared" si="1"/>
        <v>737.69558548584382</v>
      </c>
    </row>
    <row r="30" spans="1:7">
      <c r="A30" s="7">
        <v>42906</v>
      </c>
      <c r="B30" s="1">
        <v>0.33333333333333331</v>
      </c>
      <c r="C30" s="2">
        <v>6763</v>
      </c>
      <c r="D30" s="2">
        <v>6.1</v>
      </c>
      <c r="E30" s="3">
        <f t="shared" si="2"/>
        <v>2.7713936918154235E-2</v>
      </c>
      <c r="F30" s="4">
        <f t="shared" si="1"/>
        <v>737.8268215656517</v>
      </c>
    </row>
    <row r="31" spans="1:7">
      <c r="A31" s="7">
        <v>42926</v>
      </c>
      <c r="B31" s="1">
        <v>0.33333333333333331</v>
      </c>
      <c r="C31" s="2">
        <v>6810.5</v>
      </c>
      <c r="D31" s="2">
        <v>7.9</v>
      </c>
      <c r="E31" s="3">
        <f t="shared" si="2"/>
        <v>2.6076080314908018E-2</v>
      </c>
      <c r="F31" s="4">
        <f t="shared" si="1"/>
        <v>737.65976019212064</v>
      </c>
    </row>
    <row r="32" spans="1:7">
      <c r="A32" s="7">
        <v>42936</v>
      </c>
      <c r="B32" s="1">
        <v>0.33333333333333331</v>
      </c>
      <c r="C32" s="2">
        <v>6809.9</v>
      </c>
      <c r="D32" s="2">
        <v>8</v>
      </c>
      <c r="E32" s="3">
        <f t="shared" si="2"/>
        <v>2.6213915394031E-2</v>
      </c>
      <c r="F32" s="4">
        <f t="shared" si="1"/>
        <v>737.67381937019115</v>
      </c>
    </row>
    <row r="33" spans="1:6">
      <c r="A33" s="7">
        <v>42946</v>
      </c>
      <c r="B33" s="1">
        <v>0.33333333333333331</v>
      </c>
      <c r="C33" s="2">
        <v>6823.2</v>
      </c>
      <c r="D33" s="2">
        <v>8.4</v>
      </c>
      <c r="E33" s="3">
        <f t="shared" si="2"/>
        <v>2.5656681319838233E-2</v>
      </c>
      <c r="F33" s="4">
        <f t="shared" si="1"/>
        <v>737.61698149462347</v>
      </c>
    </row>
    <row r="34" spans="1:6">
      <c r="A34" s="7">
        <v>42957</v>
      </c>
      <c r="B34" s="1">
        <v>0.33333333333333331</v>
      </c>
      <c r="C34" s="2">
        <v>6809.8</v>
      </c>
      <c r="D34" s="2">
        <v>8.8000000000000007</v>
      </c>
      <c r="E34" s="3">
        <f t="shared" si="2"/>
        <v>2.6984688514461987E-2</v>
      </c>
      <c r="F34" s="4">
        <f t="shared" si="1"/>
        <v>737.75243822847517</v>
      </c>
    </row>
    <row r="35" spans="1:6">
      <c r="A35" s="7">
        <v>42967</v>
      </c>
      <c r="B35" s="1">
        <v>0.33333333333333331</v>
      </c>
      <c r="C35" s="2">
        <v>6834.4</v>
      </c>
      <c r="D35" s="2">
        <v>9.1999999999999993</v>
      </c>
      <c r="E35" s="3">
        <f t="shared" si="2"/>
        <v>2.5629804558985829E-2</v>
      </c>
      <c r="F35" s="4">
        <f t="shared" si="1"/>
        <v>737.61424006501659</v>
      </c>
    </row>
    <row r="36" spans="1:6">
      <c r="A36" s="7">
        <v>42977</v>
      </c>
      <c r="B36" s="1">
        <v>0.33333333333333331</v>
      </c>
      <c r="C36" s="2">
        <v>6814</v>
      </c>
      <c r="D36" s="2">
        <v>9.5</v>
      </c>
      <c r="E36" s="3">
        <f t="shared" si="2"/>
        <v>2.7356349238371207E-2</v>
      </c>
      <c r="F36" s="4">
        <f t="shared" si="1"/>
        <v>737.7903476223139</v>
      </c>
    </row>
    <row r="37" spans="1:6">
      <c r="A37" s="7">
        <v>42988</v>
      </c>
      <c r="B37" s="1">
        <v>0.33333333333333331</v>
      </c>
      <c r="C37" s="2">
        <v>6817.6</v>
      </c>
      <c r="D37" s="2">
        <v>9.6</v>
      </c>
      <c r="E37" s="3">
        <f t="shared" si="2"/>
        <v>2.7197619036160151E-2</v>
      </c>
      <c r="F37" s="4">
        <f t="shared" si="1"/>
        <v>737.77415714168831</v>
      </c>
    </row>
    <row r="38" spans="1:6">
      <c r="A38" s="7">
        <v>42998</v>
      </c>
      <c r="B38" s="1">
        <v>0.33333333333333331</v>
      </c>
      <c r="C38" s="2">
        <v>6826.2</v>
      </c>
      <c r="D38" s="2">
        <v>9.6</v>
      </c>
      <c r="E38" s="3">
        <f t="shared" si="2"/>
        <v>2.6590463370300479E-2</v>
      </c>
      <c r="F38" s="4">
        <f t="shared" si="1"/>
        <v>737.71222726377061</v>
      </c>
    </row>
    <row r="39" spans="1:6">
      <c r="A39" s="7">
        <v>43008</v>
      </c>
      <c r="B39" s="1">
        <v>0.33333333333333331</v>
      </c>
      <c r="C39" s="2">
        <v>6835.1</v>
      </c>
      <c r="D39" s="2">
        <v>9.6</v>
      </c>
      <c r="E39" s="3">
        <f t="shared" si="2"/>
        <v>2.5962255223464972E-2</v>
      </c>
      <c r="F39" s="4">
        <f t="shared" si="1"/>
        <v>737.64815003279341</v>
      </c>
    </row>
    <row r="40" spans="1:6">
      <c r="A40" s="7">
        <v>43018</v>
      </c>
      <c r="B40" s="1">
        <v>0.33333333333333331</v>
      </c>
      <c r="C40" s="2">
        <v>6831.2</v>
      </c>
      <c r="D40" s="2">
        <v>9.6999999999999993</v>
      </c>
      <c r="E40" s="3">
        <f t="shared" si="2"/>
        <v>2.6332985398577514E-2</v>
      </c>
      <c r="F40" s="4">
        <f t="shared" si="1"/>
        <v>737.68596451065491</v>
      </c>
    </row>
    <row r="41" spans="1:6">
      <c r="A41" s="7">
        <v>43230</v>
      </c>
      <c r="B41" s="1">
        <v>0.33333333333333331</v>
      </c>
      <c r="C41" s="2">
        <v>6815.1</v>
      </c>
      <c r="D41" s="2">
        <v>7.8</v>
      </c>
      <c r="E41" s="3">
        <f t="shared" si="2"/>
        <v>2.5655790269380925E-2</v>
      </c>
      <c r="F41" s="4">
        <f t="shared" si="1"/>
        <v>737.61689060747688</v>
      </c>
    </row>
    <row r="42" spans="1:6">
      <c r="A42" s="7">
        <v>43240</v>
      </c>
      <c r="B42" s="1">
        <v>0.33333333333333331</v>
      </c>
      <c r="C42" s="2">
        <v>6821.7</v>
      </c>
      <c r="D42" s="2">
        <v>7.9</v>
      </c>
      <c r="E42" s="3">
        <f>($B$2*C42^2+$B$3*C42+$B$4)-$B$5*D42-$E$7</f>
        <v>2.5285259714561387E-2</v>
      </c>
      <c r="F42" s="4">
        <f t="shared" si="1"/>
        <v>737.57909649088526</v>
      </c>
    </row>
    <row r="43" spans="1:6">
      <c r="A43" s="7">
        <v>43250</v>
      </c>
      <c r="B43" s="1">
        <v>0.33333333333333331</v>
      </c>
      <c r="C43" s="2">
        <v>6811</v>
      </c>
      <c r="D43" s="2">
        <v>7.8</v>
      </c>
      <c r="E43" s="3">
        <f>($B$2*C43^2+$B$3*C43+$B$4)-$B$5*D43-$E$7</f>
        <v>2.5945307548746251E-2</v>
      </c>
      <c r="F43" s="4">
        <f t="shared" si="1"/>
        <v>737.64642136997213</v>
      </c>
    </row>
    <row r="44" spans="1:6">
      <c r="A44" s="7">
        <v>43261</v>
      </c>
      <c r="B44" s="1">
        <v>0.33333333333333331</v>
      </c>
      <c r="C44" s="2">
        <v>6768.9</v>
      </c>
      <c r="D44" s="2">
        <v>7.7</v>
      </c>
      <c r="E44" s="3">
        <f>($B$2*C44^2+$B$3*C44+$B$4)-$B$5*D44-$E$7</f>
        <v>2.8824282390984161E-2</v>
      </c>
      <c r="F44" s="4">
        <f t="shared" si="1"/>
        <v>737.9400768038804</v>
      </c>
    </row>
    <row r="45" spans="1:6">
      <c r="A45" s="7">
        <v>43271</v>
      </c>
      <c r="B45" s="1">
        <v>0.33333333333333331</v>
      </c>
      <c r="C45" s="2">
        <v>6626.6</v>
      </c>
      <c r="D45" s="2">
        <v>8</v>
      </c>
      <c r="E45" s="3">
        <f>($B$2*C45^2+$B$3*C45+$B$4)-$B$5*D45-$E$7</f>
        <v>3.9185876752423958E-2</v>
      </c>
      <c r="F45" s="4">
        <f t="shared" si="1"/>
        <v>738.99695942874723</v>
      </c>
    </row>
    <row r="46" spans="1:6">
      <c r="A46" s="7">
        <v>43281</v>
      </c>
      <c r="B46" s="1">
        <v>0.33333333333333331</v>
      </c>
      <c r="C46" s="2">
        <v>6669.9</v>
      </c>
      <c r="D46" s="2">
        <v>7.8</v>
      </c>
      <c r="E46" s="3">
        <f>($B$2*C46^2+$B$3*C46+$B$4)-$B$5*D46-$E$7</f>
        <v>3.5925693060418935E-2</v>
      </c>
      <c r="F46" s="4">
        <f t="shared" si="1"/>
        <v>738.66442069216271</v>
      </c>
    </row>
    <row r="47" spans="1:6">
      <c r="A47" s="7">
        <v>43291</v>
      </c>
      <c r="B47" s="1">
        <v>0.33333333333333331</v>
      </c>
      <c r="C47" s="2">
        <v>6771.3</v>
      </c>
      <c r="D47" s="2">
        <v>8</v>
      </c>
      <c r="E47" s="3">
        <f t="shared" ref="E47:E50" si="3">($B$2*C47^2+$B$3*C47+$B$4)-$B$5*D47-$E$7</f>
        <v>2.8941031969930191E-2</v>
      </c>
      <c r="F47" s="4">
        <f t="shared" si="1"/>
        <v>737.95198526093293</v>
      </c>
    </row>
    <row r="48" spans="1:6">
      <c r="A48" s="7">
        <v>43301</v>
      </c>
      <c r="B48" s="1">
        <v>0.33333333333333331</v>
      </c>
      <c r="C48" s="2">
        <v>6754.5</v>
      </c>
      <c r="D48" s="2">
        <v>8.1999999999999993</v>
      </c>
      <c r="E48" s="3">
        <f t="shared" si="3"/>
        <v>3.031965245246801E-2</v>
      </c>
      <c r="F48" s="4">
        <f t="shared" si="1"/>
        <v>738.09260455015169</v>
      </c>
    </row>
    <row r="49" spans="1:6">
      <c r="A49" s="7">
        <v>43311</v>
      </c>
      <c r="B49" s="1">
        <v>0.33333333333333331</v>
      </c>
      <c r="C49" s="2">
        <v>6756.4</v>
      </c>
      <c r="D49" s="2">
        <v>8</v>
      </c>
      <c r="E49" s="3">
        <f t="shared" si="3"/>
        <v>2.9994379114655349E-2</v>
      </c>
      <c r="F49" s="4">
        <f t="shared" si="1"/>
        <v>738.05942666969486</v>
      </c>
    </row>
    <row r="50" spans="1:6">
      <c r="A50" s="7">
        <v>43322</v>
      </c>
      <c r="B50" s="1">
        <v>0.33333333333333331</v>
      </c>
      <c r="C50" s="2">
        <v>6718.2</v>
      </c>
      <c r="D50" s="2">
        <v>8.4</v>
      </c>
      <c r="E50" s="3">
        <f t="shared" si="3"/>
        <v>3.3078421076801263E-2</v>
      </c>
      <c r="F50" s="4">
        <f t="shared" si="1"/>
        <v>738.37399894983378</v>
      </c>
    </row>
    <row r="51" spans="1:6">
      <c r="A51" s="7">
        <v>43332</v>
      </c>
      <c r="B51" s="1">
        <v>0.33333333333333331</v>
      </c>
      <c r="C51" s="2">
        <v>6748.7</v>
      </c>
      <c r="D51" s="2">
        <v>8.1999999999999993</v>
      </c>
      <c r="E51" s="3">
        <f t="shared" ref="E51:E68" si="4">($B$2*C51^2+$B$3*C51+$B$4)-$B$5*D51-$E$7</f>
        <v>3.0729796405338211E-2</v>
      </c>
      <c r="F51" s="4">
        <f t="shared" ref="F51:F68" si="5">$D$1+102*E51</f>
        <v>738.13443923334455</v>
      </c>
    </row>
    <row r="52" spans="1:6">
      <c r="A52" s="7">
        <v>43342</v>
      </c>
      <c r="B52" s="1">
        <v>0.33333333333333331</v>
      </c>
      <c r="C52" s="2">
        <v>6687.2</v>
      </c>
      <c r="D52" s="2">
        <v>8.6</v>
      </c>
      <c r="E52" s="3">
        <f t="shared" si="4"/>
        <v>3.5463976908535914E-2</v>
      </c>
      <c r="F52" s="4">
        <f t="shared" si="5"/>
        <v>738.6173256446707</v>
      </c>
    </row>
    <row r="53" spans="1:6">
      <c r="A53" s="7">
        <v>43353</v>
      </c>
      <c r="B53" s="1">
        <v>0.33333333333333331</v>
      </c>
      <c r="C53" s="2">
        <v>6633</v>
      </c>
      <c r="D53" s="2">
        <v>9</v>
      </c>
      <c r="E53" s="3">
        <f t="shared" si="4"/>
        <v>3.968666817707435E-2</v>
      </c>
      <c r="F53" s="4">
        <f t="shared" si="5"/>
        <v>739.0480401540616</v>
      </c>
    </row>
    <row r="54" spans="1:6">
      <c r="A54" s="7">
        <v>43363</v>
      </c>
      <c r="B54" s="1">
        <v>0.33333333333333331</v>
      </c>
      <c r="C54" s="2">
        <v>6698.4</v>
      </c>
      <c r="D54" s="2">
        <v>8.6999999999999993</v>
      </c>
      <c r="E54" s="3">
        <f t="shared" si="4"/>
        <v>3.4766361590109048E-2</v>
      </c>
      <c r="F54" s="4">
        <f t="shared" si="5"/>
        <v>738.54616888219107</v>
      </c>
    </row>
    <row r="55" spans="1:6">
      <c r="A55" s="7">
        <v>43373</v>
      </c>
      <c r="B55" s="1">
        <v>0.33333333333333331</v>
      </c>
      <c r="C55" s="2">
        <v>6717.6</v>
      </c>
      <c r="D55" s="2">
        <v>8.3000000000000007</v>
      </c>
      <c r="E55" s="3">
        <f t="shared" si="4"/>
        <v>3.302541893224014E-2</v>
      </c>
      <c r="F55" s="4">
        <f t="shared" si="5"/>
        <v>738.36859273108848</v>
      </c>
    </row>
    <row r="56" spans="1:6">
      <c r="A56" s="7">
        <v>43383</v>
      </c>
      <c r="B56" s="1">
        <v>0.33333333333333331</v>
      </c>
      <c r="C56" s="2">
        <v>6723.7</v>
      </c>
      <c r="D56" s="2">
        <v>8</v>
      </c>
      <c r="E56" s="3">
        <f t="shared" si="4"/>
        <v>3.2307360154828206E-2</v>
      </c>
      <c r="F56" s="4">
        <f t="shared" si="5"/>
        <v>738.29535073579245</v>
      </c>
    </row>
    <row r="57" spans="1:6">
      <c r="A57" s="7">
        <v>43393</v>
      </c>
      <c r="B57" s="1">
        <v>0.33333333333333331</v>
      </c>
      <c r="C57" s="2">
        <v>6730.2</v>
      </c>
      <c r="D57" s="2">
        <v>7.7</v>
      </c>
      <c r="E57" s="3">
        <f t="shared" si="4"/>
        <v>3.1561062314998049E-2</v>
      </c>
      <c r="F57" s="4">
        <f t="shared" si="5"/>
        <v>738.21922835612975</v>
      </c>
    </row>
    <row r="58" spans="1:6">
      <c r="A58" s="7">
        <v>43605</v>
      </c>
      <c r="B58" s="1">
        <v>0.33333333333333331</v>
      </c>
      <c r="C58" s="2">
        <v>6812.7</v>
      </c>
      <c r="D58" s="2">
        <v>7.4</v>
      </c>
      <c r="E58" s="3">
        <f t="shared" si="4"/>
        <v>2.544340486225987E-2</v>
      </c>
      <c r="F58" s="4">
        <f t="shared" si="5"/>
        <v>737.59522729595051</v>
      </c>
    </row>
    <row r="59" spans="1:6">
      <c r="A59" s="7">
        <v>43615</v>
      </c>
      <c r="B59" s="1">
        <v>0.33333333333333331</v>
      </c>
      <c r="C59" s="2">
        <v>6814.5</v>
      </c>
      <c r="D59" s="2">
        <v>7.5</v>
      </c>
      <c r="E59" s="3">
        <f t="shared" si="4"/>
        <v>2.5411765234408031E-2</v>
      </c>
      <c r="F59" s="4">
        <f t="shared" si="5"/>
        <v>737.5920000539096</v>
      </c>
    </row>
    <row r="60" spans="1:6">
      <c r="A60" s="7">
        <v>43626</v>
      </c>
      <c r="B60" s="1">
        <v>0.33333333333333331</v>
      </c>
      <c r="C60" s="2">
        <v>6817.3</v>
      </c>
      <c r="D60" s="2">
        <v>7.3</v>
      </c>
      <c r="E60" s="3">
        <f t="shared" si="4"/>
        <v>2.50231313684178E-2</v>
      </c>
      <c r="F60" s="4">
        <f t="shared" si="5"/>
        <v>737.55235939957856</v>
      </c>
    </row>
    <row r="61" spans="1:6">
      <c r="A61" s="7">
        <v>43636</v>
      </c>
      <c r="B61" s="1">
        <v>0.33333333333333331</v>
      </c>
      <c r="C61" s="2">
        <v>6819.6</v>
      </c>
      <c r="D61">
        <v>7.6</v>
      </c>
      <c r="E61" s="3">
        <f t="shared" si="4"/>
        <v>2.5147131249522586E-2</v>
      </c>
      <c r="F61" s="4">
        <f t="shared" si="5"/>
        <v>737.56500738745126</v>
      </c>
    </row>
    <row r="62" spans="1:6">
      <c r="A62" s="7">
        <v>43646</v>
      </c>
      <c r="B62" s="1">
        <v>0.33333333333333331</v>
      </c>
      <c r="C62" s="2">
        <v>6773.5</v>
      </c>
      <c r="D62" s="2">
        <v>5.9</v>
      </c>
      <c r="E62" s="3">
        <f t="shared" si="4"/>
        <v>2.6780793068139894E-2</v>
      </c>
      <c r="F62" s="4">
        <f t="shared" si="5"/>
        <v>737.73164089295028</v>
      </c>
    </row>
    <row r="63" spans="1:6">
      <c r="A63" s="7">
        <v>43656</v>
      </c>
      <c r="B63" s="1">
        <v>0.33333333333333331</v>
      </c>
      <c r="C63" s="2">
        <v>6752.3</v>
      </c>
      <c r="D63" s="2">
        <v>6</v>
      </c>
      <c r="E63" s="3">
        <f t="shared" si="4"/>
        <v>2.8375012019913777E-2</v>
      </c>
      <c r="F63" s="4">
        <f t="shared" si="5"/>
        <v>737.8942512260312</v>
      </c>
    </row>
    <row r="64" spans="1:6">
      <c r="A64" s="7">
        <v>43666</v>
      </c>
      <c r="B64" s="1">
        <v>0.33333333333333331</v>
      </c>
      <c r="C64" s="2">
        <v>6729.1</v>
      </c>
      <c r="D64" s="2">
        <v>6.2</v>
      </c>
      <c r="E64" s="3">
        <f t="shared" si="4"/>
        <v>3.0206929227255694E-2</v>
      </c>
      <c r="F64" s="4">
        <f t="shared" si="5"/>
        <v>738.0811067811801</v>
      </c>
    </row>
    <row r="65" spans="1:6">
      <c r="A65" s="7">
        <v>43676</v>
      </c>
      <c r="B65" s="1">
        <v>0.33333333333333331</v>
      </c>
      <c r="C65" s="2">
        <v>6689.3</v>
      </c>
      <c r="D65" s="2">
        <v>6.2</v>
      </c>
      <c r="E65" s="3">
        <f t="shared" si="4"/>
        <v>3.3024125327476936E-2</v>
      </c>
      <c r="F65" s="4">
        <f t="shared" si="5"/>
        <v>738.36846078340261</v>
      </c>
    </row>
    <row r="66" spans="1:6">
      <c r="A66" s="7">
        <v>43687</v>
      </c>
      <c r="B66" s="1">
        <v>0.33333333333333331</v>
      </c>
      <c r="C66" s="2">
        <v>6678.4</v>
      </c>
      <c r="D66" s="2">
        <v>6.5</v>
      </c>
      <c r="E66" s="3">
        <f t="shared" si="4"/>
        <v>3.4082512607853041E-2</v>
      </c>
      <c r="F66" s="4">
        <f t="shared" si="5"/>
        <v>738.47641628600104</v>
      </c>
    </row>
    <row r="67" spans="1:6">
      <c r="A67" s="7">
        <v>43697</v>
      </c>
      <c r="B67" s="1">
        <v>0.33333333333333331</v>
      </c>
      <c r="C67" s="2">
        <v>6642.1</v>
      </c>
      <c r="D67" s="2">
        <v>7.2</v>
      </c>
      <c r="E67" s="3">
        <f t="shared" si="4"/>
        <v>3.7323118802473416E-2</v>
      </c>
      <c r="F67" s="4">
        <f t="shared" si="5"/>
        <v>738.80695811785233</v>
      </c>
    </row>
    <row r="68" spans="1:6">
      <c r="A68" s="7">
        <v>43707</v>
      </c>
      <c r="B68" s="1">
        <v>0.33333333333333331</v>
      </c>
      <c r="C68" s="2">
        <v>6608.4</v>
      </c>
      <c r="D68" s="2">
        <v>7.7</v>
      </c>
      <c r="E68" s="3">
        <f t="shared" si="4"/>
        <v>4.0190480227256957E-2</v>
      </c>
      <c r="F68" s="4">
        <f t="shared" si="5"/>
        <v>739.09942898318025</v>
      </c>
    </row>
  </sheetData>
  <phoneticPr fontId="4" type="noConversion"/>
  <pageMargins left="0.69930555555555596" right="0.69930555555555596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6"/>
  <sheetViews>
    <sheetView topLeftCell="A44" workbookViewId="0">
      <selection activeCell="A60" sqref="A60:B62"/>
    </sheetView>
  </sheetViews>
  <sheetFormatPr defaultColWidth="9" defaultRowHeight="13.5"/>
  <cols>
    <col min="1" max="1" width="11" customWidth="1"/>
    <col min="2" max="2" width="13.125" style="17" customWidth="1"/>
    <col min="5" max="5" width="10.875" customWidth="1"/>
    <col min="8" max="8" width="9.5" customWidth="1"/>
  </cols>
  <sheetData>
    <row r="1" spans="1:8">
      <c r="A1" t="s">
        <v>0</v>
      </c>
      <c r="B1" s="18">
        <v>50410</v>
      </c>
      <c r="C1" t="s">
        <v>1</v>
      </c>
      <c r="D1" s="11">
        <v>739</v>
      </c>
    </row>
    <row r="2" spans="1:8">
      <c r="A2" t="s">
        <v>2</v>
      </c>
      <c r="B2" s="24">
        <v>6.5930700000000005E-10</v>
      </c>
    </row>
    <row r="3" spans="1:8">
      <c r="A3" t="s">
        <v>3</v>
      </c>
      <c r="B3" s="18">
        <v>-8.6994000000000001E-5</v>
      </c>
    </row>
    <row r="4" spans="1:8">
      <c r="A4" t="s">
        <v>4</v>
      </c>
      <c r="B4" s="18">
        <v>0.71313716000000005</v>
      </c>
    </row>
    <row r="5" spans="1:8">
      <c r="A5" t="s">
        <v>5</v>
      </c>
      <c r="B5" s="18">
        <v>-9.6027899999999997E-4</v>
      </c>
    </row>
    <row r="6" spans="1:8">
      <c r="A6" t="s">
        <v>6</v>
      </c>
      <c r="B6" s="17" t="s">
        <v>7</v>
      </c>
      <c r="C6" t="s">
        <v>8</v>
      </c>
      <c r="D6" t="s">
        <v>9</v>
      </c>
      <c r="E6" t="s">
        <v>10</v>
      </c>
      <c r="F6" t="s">
        <v>11</v>
      </c>
      <c r="G6" t="s">
        <v>12</v>
      </c>
    </row>
    <row r="7" spans="1:8">
      <c r="A7" s="6">
        <v>42603</v>
      </c>
      <c r="B7" s="9">
        <v>0.54166666666666696</v>
      </c>
      <c r="C7" s="2">
        <v>8736.9</v>
      </c>
      <c r="D7" s="2">
        <v>17.8</v>
      </c>
      <c r="E7" s="3">
        <f>($B$2*C7^2+$B$3*C7+$B$4)-$B$5*D7</f>
        <v>2.0499406801424366E-2</v>
      </c>
      <c r="G7" t="s">
        <v>13</v>
      </c>
    </row>
    <row r="8" spans="1:8">
      <c r="A8" s="6">
        <v>42603</v>
      </c>
      <c r="B8" s="9">
        <v>0.65972222222222199</v>
      </c>
      <c r="C8" s="2">
        <v>8547.7000000000007</v>
      </c>
      <c r="D8" s="2">
        <v>20.8</v>
      </c>
      <c r="E8" s="3">
        <f t="shared" ref="E8:E35" si="0">($B$2*C8^2+$B$3*C8+$B$4)-$B$5*D8-$E$7</f>
        <v>1.7184005509499643E-2</v>
      </c>
      <c r="F8" s="4">
        <f>$D$1+102*E8</f>
        <v>740.75276856196899</v>
      </c>
      <c r="G8" s="5" t="s">
        <v>14</v>
      </c>
      <c r="H8" s="23"/>
    </row>
    <row r="9" spans="1:8">
      <c r="A9" s="6">
        <v>42604</v>
      </c>
      <c r="B9" s="9">
        <v>0.33333333333333298</v>
      </c>
      <c r="C9" s="2">
        <v>8714.6</v>
      </c>
      <c r="D9" s="2">
        <v>20.8</v>
      </c>
      <c r="E9" s="3">
        <f t="shared" si="0"/>
        <v>4.5642217167357925E-3</v>
      </c>
      <c r="F9" s="4">
        <f t="shared" ref="F9:F46" si="1">$D$1+102*E9</f>
        <v>739.46555061510708</v>
      </c>
      <c r="H9" s="23"/>
    </row>
    <row r="10" spans="1:8">
      <c r="A10" s="6">
        <v>42605</v>
      </c>
      <c r="B10" s="9">
        <v>0.33333333333333298</v>
      </c>
      <c r="C10" s="2">
        <v>8738.1</v>
      </c>
      <c r="D10" s="2">
        <v>20.5</v>
      </c>
      <c r="E10" s="3">
        <f t="shared" si="0"/>
        <v>2.5021861677898827E-3</v>
      </c>
      <c r="F10" s="4">
        <f t="shared" si="1"/>
        <v>739.2552229891146</v>
      </c>
      <c r="H10" s="23"/>
    </row>
    <row r="11" spans="1:8">
      <c r="A11" s="6">
        <v>42606</v>
      </c>
      <c r="B11" s="9">
        <v>0.33333333333333298</v>
      </c>
      <c r="C11" s="2">
        <v>8745.2000000000007</v>
      </c>
      <c r="D11" s="2">
        <v>20.399999999999999</v>
      </c>
      <c r="E11" s="3">
        <f t="shared" si="0"/>
        <v>1.8703415885088365E-3</v>
      </c>
      <c r="F11" s="4">
        <f t="shared" si="1"/>
        <v>739.19077484202785</v>
      </c>
      <c r="H11" s="23"/>
    </row>
    <row r="12" spans="1:8">
      <c r="A12" s="6">
        <v>42607</v>
      </c>
      <c r="B12" s="9">
        <v>0.33333333333333298</v>
      </c>
      <c r="C12" s="2">
        <v>8750.2999999999993</v>
      </c>
      <c r="D12" s="2">
        <v>20.2</v>
      </c>
      <c r="E12" s="3">
        <f t="shared" si="0"/>
        <v>1.2934444071633043E-3</v>
      </c>
      <c r="F12" s="4">
        <f t="shared" si="1"/>
        <v>739.13193132953063</v>
      </c>
      <c r="H12" s="23"/>
    </row>
    <row r="13" spans="1:8">
      <c r="A13" s="6">
        <v>42608</v>
      </c>
      <c r="B13" s="9">
        <v>0.33333333333333298</v>
      </c>
      <c r="C13" s="2">
        <v>8755.1</v>
      </c>
      <c r="D13" s="2">
        <v>20.2</v>
      </c>
      <c r="E13" s="3">
        <f t="shared" si="0"/>
        <v>9.3127208440071593E-4</v>
      </c>
      <c r="F13" s="4">
        <f t="shared" si="1"/>
        <v>739.09498975260885</v>
      </c>
      <c r="H13" s="23"/>
    </row>
    <row r="14" spans="1:8">
      <c r="A14" s="6">
        <v>42609</v>
      </c>
      <c r="B14" s="9">
        <v>0.33333333333333298</v>
      </c>
      <c r="C14" s="2">
        <v>8756.1</v>
      </c>
      <c r="D14" s="2">
        <v>20.100000000000001</v>
      </c>
      <c r="E14" s="3">
        <f t="shared" si="0"/>
        <v>7.597954411391189E-4</v>
      </c>
      <c r="F14" s="4">
        <f t="shared" si="1"/>
        <v>739.07749913499617</v>
      </c>
      <c r="H14" s="23"/>
    </row>
    <row r="15" spans="1:8">
      <c r="A15" s="6">
        <v>42610</v>
      </c>
      <c r="B15" s="9">
        <v>0.33333333333333298</v>
      </c>
      <c r="C15" s="2">
        <v>8758.5</v>
      </c>
      <c r="D15" s="2">
        <v>20</v>
      </c>
      <c r="E15" s="3">
        <f t="shared" si="0"/>
        <v>4.8269593725642004E-4</v>
      </c>
      <c r="F15" s="4">
        <f t="shared" si="1"/>
        <v>739.04923498560015</v>
      </c>
      <c r="H15" s="23"/>
    </row>
    <row r="16" spans="1:8">
      <c r="A16" s="6">
        <v>42611</v>
      </c>
      <c r="B16" s="9">
        <v>0.33333333333333298</v>
      </c>
      <c r="C16" s="2">
        <v>8764.6</v>
      </c>
      <c r="D16" s="2">
        <v>19.899999999999999</v>
      </c>
      <c r="E16" s="3">
        <f t="shared" si="0"/>
        <v>-7.3521437544223078E-5</v>
      </c>
      <c r="F16" s="4">
        <f t="shared" si="1"/>
        <v>738.9925008133705</v>
      </c>
      <c r="H16" s="23"/>
    </row>
    <row r="17" spans="1:8">
      <c r="A17" s="6">
        <v>42623</v>
      </c>
      <c r="B17" s="9">
        <v>0.33333333333333298</v>
      </c>
      <c r="C17" s="2">
        <v>8764.6</v>
      </c>
      <c r="D17" s="2">
        <v>18.899999999999999</v>
      </c>
      <c r="E17" s="3">
        <f t="shared" si="0"/>
        <v>-1.0338004375442245E-3</v>
      </c>
      <c r="F17" s="4">
        <f t="shared" si="1"/>
        <v>738.89455235537048</v>
      </c>
      <c r="H17" s="23"/>
    </row>
    <row r="18" spans="1:8">
      <c r="A18" s="6">
        <v>42633</v>
      </c>
      <c r="B18" s="9">
        <v>0.33333333333333331</v>
      </c>
      <c r="C18" s="2">
        <v>8748.1</v>
      </c>
      <c r="D18" s="2">
        <v>18.3</v>
      </c>
      <c r="E18" s="3">
        <f t="shared" si="0"/>
        <v>-3.6507989157600132E-4</v>
      </c>
      <c r="F18" s="4">
        <f t="shared" si="1"/>
        <v>738.96276185105921</v>
      </c>
      <c r="H18" s="23"/>
    </row>
    <row r="19" spans="1:8">
      <c r="A19" s="7">
        <v>42643</v>
      </c>
      <c r="B19" s="9">
        <v>0.33333333333333331</v>
      </c>
      <c r="C19" s="2">
        <v>8754.6</v>
      </c>
      <c r="D19" s="2">
        <v>17.5</v>
      </c>
      <c r="E19" s="3">
        <f t="shared" si="0"/>
        <v>-1.6237563494883069E-3</v>
      </c>
      <c r="F19" s="4">
        <f t="shared" si="1"/>
        <v>738.83437685235219</v>
      </c>
      <c r="H19" s="23"/>
    </row>
    <row r="20" spans="1:8">
      <c r="A20" s="7">
        <v>42884</v>
      </c>
      <c r="B20" s="9">
        <v>0.33333333333333331</v>
      </c>
      <c r="C20" s="2">
        <v>8720</v>
      </c>
      <c r="D20" s="2">
        <v>13.6</v>
      </c>
      <c r="E20" s="3">
        <f t="shared" si="0"/>
        <v>-2.7574830126242851E-3</v>
      </c>
      <c r="F20" s="4">
        <f t="shared" si="1"/>
        <v>738.71873673271227</v>
      </c>
      <c r="H20" s="23"/>
    </row>
    <row r="21" spans="1:8">
      <c r="A21" s="7">
        <v>42885</v>
      </c>
      <c r="B21" s="9">
        <v>0.33333333333333331</v>
      </c>
      <c r="C21" s="2">
        <v>8718.5</v>
      </c>
      <c r="D21" s="2">
        <v>13.6</v>
      </c>
      <c r="E21" s="3">
        <f t="shared" si="0"/>
        <v>-2.644238000303601E-3</v>
      </c>
      <c r="F21" s="4">
        <f t="shared" si="1"/>
        <v>738.73028772396901</v>
      </c>
      <c r="H21" s="23"/>
    </row>
    <row r="22" spans="1:8">
      <c r="A22" s="7">
        <v>42896</v>
      </c>
      <c r="B22" s="9">
        <v>0.33333333333333331</v>
      </c>
      <c r="C22" s="2">
        <v>8707.5</v>
      </c>
      <c r="D22" s="2">
        <v>13.4</v>
      </c>
      <c r="E22" s="3">
        <f t="shared" si="0"/>
        <v>-2.0057397219055521E-3</v>
      </c>
      <c r="F22" s="4">
        <f t="shared" si="1"/>
        <v>738.79541454836567</v>
      </c>
      <c r="H22" s="23"/>
    </row>
    <row r="23" spans="1:8">
      <c r="A23" s="7">
        <v>42906</v>
      </c>
      <c r="B23" s="9">
        <v>0.33333333333333331</v>
      </c>
      <c r="C23" s="2">
        <v>8699.9</v>
      </c>
      <c r="D23" s="2">
        <v>13.2</v>
      </c>
      <c r="E23" s="3">
        <f t="shared" si="0"/>
        <v>-1.6238649590112099E-3</v>
      </c>
      <c r="F23" s="4">
        <f t="shared" si="1"/>
        <v>738.83436577418081</v>
      </c>
    </row>
    <row r="24" spans="1:8">
      <c r="A24" s="7">
        <v>42916</v>
      </c>
      <c r="B24" s="9">
        <v>0.33333333333333331</v>
      </c>
      <c r="C24" s="2">
        <v>8698.7999999999993</v>
      </c>
      <c r="D24" s="2">
        <v>13</v>
      </c>
      <c r="E24" s="3">
        <f t="shared" si="0"/>
        <v>-1.7328455521822793E-3</v>
      </c>
      <c r="F24" s="4">
        <f t="shared" si="1"/>
        <v>738.82324975367737</v>
      </c>
    </row>
    <row r="25" spans="1:8">
      <c r="A25" s="7">
        <v>42926</v>
      </c>
      <c r="B25" s="9">
        <v>0.33333333333333331</v>
      </c>
      <c r="C25" s="2">
        <v>8717.4</v>
      </c>
      <c r="D25" s="2">
        <v>12.8</v>
      </c>
      <c r="E25" s="3">
        <f t="shared" si="0"/>
        <v>-3.3294129723169391E-3</v>
      </c>
      <c r="F25" s="4">
        <f t="shared" si="1"/>
        <v>738.6603998768237</v>
      </c>
    </row>
    <row r="26" spans="1:8">
      <c r="A26" s="7">
        <v>42936</v>
      </c>
      <c r="B26" s="9">
        <v>0.33333333333333331</v>
      </c>
      <c r="C26" s="2">
        <v>8698.1</v>
      </c>
      <c r="D26" s="2">
        <v>12.7</v>
      </c>
      <c r="E26" s="3">
        <f t="shared" si="0"/>
        <v>-1.968062380746146E-3</v>
      </c>
      <c r="F26" s="4">
        <f t="shared" si="1"/>
        <v>738.79925763716392</v>
      </c>
    </row>
    <row r="27" spans="1:8">
      <c r="A27" s="7">
        <v>42946</v>
      </c>
      <c r="B27" s="9">
        <v>0.33333333333333331</v>
      </c>
      <c r="C27" s="2">
        <v>8701.5</v>
      </c>
      <c r="D27" s="2">
        <v>12.6</v>
      </c>
      <c r="E27" s="3">
        <f t="shared" si="0"/>
        <v>-2.3208661752835771E-3</v>
      </c>
      <c r="F27" s="4">
        <f t="shared" si="1"/>
        <v>738.76327165012106</v>
      </c>
    </row>
    <row r="28" spans="1:8">
      <c r="A28" s="6">
        <v>42957</v>
      </c>
      <c r="B28" s="9">
        <v>0.33333333333333331</v>
      </c>
      <c r="C28" s="2">
        <v>8693.4</v>
      </c>
      <c r="D28" s="2">
        <v>12.4</v>
      </c>
      <c r="E28" s="3">
        <f t="shared" si="0"/>
        <v>-1.9011660678913134E-3</v>
      </c>
      <c r="F28" s="4">
        <f t="shared" si="1"/>
        <v>738.80608106107513</v>
      </c>
    </row>
    <row r="29" spans="1:8">
      <c r="A29" s="7">
        <v>42967</v>
      </c>
      <c r="B29" s="9">
        <v>0.33333333333333331</v>
      </c>
      <c r="C29" s="2">
        <v>8687.6</v>
      </c>
      <c r="D29" s="2">
        <v>12.4</v>
      </c>
      <c r="E29" s="3">
        <f t="shared" si="0"/>
        <v>-1.4630654747000427E-3</v>
      </c>
      <c r="F29" s="4">
        <f t="shared" si="1"/>
        <v>738.85076732158063</v>
      </c>
    </row>
    <row r="30" spans="1:8">
      <c r="A30" s="7">
        <v>42977</v>
      </c>
      <c r="B30" s="9">
        <v>0.33333333333333331</v>
      </c>
      <c r="C30" s="2">
        <v>8684.6</v>
      </c>
      <c r="D30" s="2">
        <v>13.1</v>
      </c>
      <c r="E30" s="3">
        <f t="shared" si="0"/>
        <v>-5.6424901389618906E-4</v>
      </c>
      <c r="F30" s="4">
        <f t="shared" si="1"/>
        <v>738.94244660058257</v>
      </c>
    </row>
    <row r="31" spans="1:8">
      <c r="A31" s="7">
        <v>42988</v>
      </c>
      <c r="B31" s="9">
        <v>0.33333333333333331</v>
      </c>
      <c r="C31" s="2">
        <v>8677.9</v>
      </c>
      <c r="D31" s="2">
        <v>12.2</v>
      </c>
      <c r="E31" s="3">
        <f t="shared" si="0"/>
        <v>-9.2233667307242001E-4</v>
      </c>
      <c r="F31" s="4">
        <f t="shared" si="1"/>
        <v>738.90592165934663</v>
      </c>
    </row>
    <row r="32" spans="1:8">
      <c r="A32" s="7">
        <v>42998</v>
      </c>
      <c r="B32" s="9">
        <v>0.33333333333333331</v>
      </c>
      <c r="C32" s="2">
        <v>8690.9</v>
      </c>
      <c r="D32" s="2">
        <v>12.2</v>
      </c>
      <c r="E32" s="3">
        <f t="shared" si="0"/>
        <v>-1.9043908445916177E-3</v>
      </c>
      <c r="F32" s="4">
        <f t="shared" si="1"/>
        <v>738.80575213385168</v>
      </c>
    </row>
    <row r="33" spans="1:6">
      <c r="A33" s="7">
        <v>43008</v>
      </c>
      <c r="B33" s="9">
        <v>0.33333333333333331</v>
      </c>
      <c r="C33" s="2">
        <v>8685.2999999999993</v>
      </c>
      <c r="D33" s="2">
        <v>12.4</v>
      </c>
      <c r="E33" s="3">
        <f t="shared" si="0"/>
        <v>-1.2893236462346302E-3</v>
      </c>
      <c r="F33" s="4">
        <f t="shared" si="1"/>
        <v>738.8684889880841</v>
      </c>
    </row>
    <row r="34" spans="1:6">
      <c r="A34" s="7">
        <v>43018</v>
      </c>
      <c r="B34" s="9">
        <v>0.33333333333333331</v>
      </c>
      <c r="C34" s="2">
        <v>8687.7999999999993</v>
      </c>
      <c r="D34" s="2">
        <v>12.1</v>
      </c>
      <c r="E34" s="3">
        <f t="shared" si="0"/>
        <v>-1.7662568301303784E-3</v>
      </c>
      <c r="F34" s="4">
        <f t="shared" si="1"/>
        <v>738.81984180332665</v>
      </c>
    </row>
    <row r="35" spans="1:6">
      <c r="A35" s="7">
        <v>43230</v>
      </c>
      <c r="B35" s="9">
        <v>0.33333333333333331</v>
      </c>
      <c r="C35" s="2">
        <v>8686.4</v>
      </c>
      <c r="D35" s="2">
        <v>11.9</v>
      </c>
      <c r="E35" s="3">
        <f t="shared" si="0"/>
        <v>-1.8525579344816044E-3</v>
      </c>
      <c r="F35" s="4">
        <f t="shared" si="1"/>
        <v>738.81103909068293</v>
      </c>
    </row>
    <row r="36" spans="1:6">
      <c r="A36" s="7">
        <v>43240</v>
      </c>
      <c r="B36" s="9">
        <v>0.33333333333333331</v>
      </c>
      <c r="C36" s="2">
        <v>8684.2999999999993</v>
      </c>
      <c r="D36" s="2">
        <v>12</v>
      </c>
      <c r="E36" s="3">
        <f>($B$2*C36^2+$B$3*C36+$B$4)-$B$5*D36-$E$7</f>
        <v>-1.5978931451018225E-3</v>
      </c>
      <c r="F36" s="4">
        <f t="shared" si="1"/>
        <v>738.83701489919963</v>
      </c>
    </row>
    <row r="37" spans="1:6">
      <c r="A37" s="7">
        <v>43250</v>
      </c>
      <c r="B37" s="9">
        <v>0.33333333333333331</v>
      </c>
      <c r="C37" s="2">
        <v>8678.6</v>
      </c>
      <c r="D37" s="2">
        <v>12</v>
      </c>
      <c r="E37" s="3">
        <f>($B$2*C37^2+$B$3*C37+$B$4)-$B$5*D37-$E$7</f>
        <v>-1.1672779897105995E-3</v>
      </c>
      <c r="F37" s="4">
        <f t="shared" si="1"/>
        <v>738.88093764504947</v>
      </c>
    </row>
    <row r="38" spans="1:6">
      <c r="A38" s="7">
        <v>43261</v>
      </c>
      <c r="B38" s="9">
        <v>0.33333333333333331</v>
      </c>
      <c r="C38" s="2">
        <v>8687.2000000000007</v>
      </c>
      <c r="D38" s="2">
        <v>11.8</v>
      </c>
      <c r="E38" s="3">
        <f>($B$2*C38^2+$B$3*C38+$B$4)-$B$5*D38-$E$7</f>
        <v>-2.0090174056054989E-3</v>
      </c>
      <c r="F38" s="4">
        <f t="shared" si="1"/>
        <v>738.79508022462824</v>
      </c>
    </row>
    <row r="39" spans="1:6">
      <c r="A39" s="7">
        <v>43271</v>
      </c>
      <c r="B39" s="9">
        <v>0.33333333333333331</v>
      </c>
      <c r="C39" s="2">
        <v>8689.5</v>
      </c>
      <c r="D39" s="2">
        <v>11.8</v>
      </c>
      <c r="E39" s="3">
        <f>($B$2*C39^2+$B$3*C39+$B$4)-$B$5*D39-$E$7</f>
        <v>-2.1827534717276421E-3</v>
      </c>
      <c r="F39" s="4">
        <f t="shared" si="1"/>
        <v>738.77735914588379</v>
      </c>
    </row>
    <row r="40" spans="1:6">
      <c r="A40" s="7">
        <v>43281</v>
      </c>
      <c r="B40" s="9">
        <v>0.33333333333333331</v>
      </c>
      <c r="C40" s="2">
        <v>8684.5</v>
      </c>
      <c r="D40" s="2">
        <v>11.7</v>
      </c>
      <c r="E40" s="3">
        <f>($B$2*C40^2+$B$3*C40+$B$4)-$B$5*D40-$E$7</f>
        <v>-1.9010853708175575E-3</v>
      </c>
      <c r="F40" s="4">
        <f t="shared" si="1"/>
        <v>738.80608929217658</v>
      </c>
    </row>
    <row r="41" spans="1:6">
      <c r="A41" s="7">
        <v>43291</v>
      </c>
      <c r="B41" s="9">
        <v>0.33333333333333331</v>
      </c>
      <c r="C41" s="2">
        <v>8689.7000000000007</v>
      </c>
      <c r="D41" s="2">
        <v>12.5</v>
      </c>
      <c r="E41" s="3">
        <f t="shared" ref="E41:E46" si="2">($B$2*C41^2+$B$3*C41+$B$4)-$B$5*D41-$E$7</f>
        <v>-1.525665326084797E-3</v>
      </c>
      <c r="F41" s="4">
        <f t="shared" si="1"/>
        <v>738.84438213673934</v>
      </c>
    </row>
    <row r="42" spans="1:6">
      <c r="A42" s="7">
        <v>43301</v>
      </c>
      <c r="B42" s="9">
        <v>0.33333333333333331</v>
      </c>
      <c r="C42" s="2">
        <v>8682.7000000000007</v>
      </c>
      <c r="D42" s="2">
        <v>11.7</v>
      </c>
      <c r="E42" s="3">
        <f t="shared" si="2"/>
        <v>-1.7651067405723871E-3</v>
      </c>
      <c r="F42" s="4">
        <f t="shared" si="1"/>
        <v>738.81995911246156</v>
      </c>
    </row>
    <row r="43" spans="1:6">
      <c r="A43" s="7">
        <v>43311</v>
      </c>
      <c r="B43" s="9">
        <v>0.33333333333333331</v>
      </c>
      <c r="C43" s="2">
        <v>8682</v>
      </c>
      <c r="D43" s="2">
        <v>11.6</v>
      </c>
      <c r="E43" s="3">
        <f t="shared" si="2"/>
        <v>-1.808252908356317E-3</v>
      </c>
      <c r="F43" s="4">
        <f t="shared" si="1"/>
        <v>738.81555820334768</v>
      </c>
    </row>
    <row r="44" spans="1:6">
      <c r="A44" s="7">
        <v>43322</v>
      </c>
      <c r="B44" s="9">
        <v>0.33333333333333331</v>
      </c>
      <c r="C44" s="2">
        <v>8676.5</v>
      </c>
      <c r="D44" s="2">
        <v>11.5</v>
      </c>
      <c r="E44" s="3">
        <f t="shared" si="2"/>
        <v>-1.488759001433481E-3</v>
      </c>
      <c r="F44" s="4">
        <f t="shared" si="1"/>
        <v>738.84814658185383</v>
      </c>
    </row>
    <row r="45" spans="1:6">
      <c r="A45" s="7">
        <v>43332</v>
      </c>
      <c r="B45" s="9">
        <v>0.33333333333333331</v>
      </c>
      <c r="C45" s="2">
        <v>8684.7000000000007</v>
      </c>
      <c r="D45" s="2">
        <v>11.9</v>
      </c>
      <c r="E45" s="3">
        <f t="shared" si="2"/>
        <v>-1.7241380437888164E-3</v>
      </c>
      <c r="F45" s="4">
        <f t="shared" si="1"/>
        <v>738.82413791953354</v>
      </c>
    </row>
    <row r="46" spans="1:6">
      <c r="A46" s="7">
        <v>43342</v>
      </c>
      <c r="B46" s="9">
        <v>0.33333333333333331</v>
      </c>
      <c r="C46" s="2">
        <v>8683.9</v>
      </c>
      <c r="D46" s="2">
        <v>11.7</v>
      </c>
      <c r="E46" s="3">
        <f t="shared" si="2"/>
        <v>-1.8557596354368162E-3</v>
      </c>
      <c r="F46" s="4">
        <f t="shared" si="1"/>
        <v>738.81071251718549</v>
      </c>
    </row>
    <row r="47" spans="1:6">
      <c r="A47" s="7">
        <v>43353</v>
      </c>
      <c r="B47" s="9">
        <v>0.33333333333333331</v>
      </c>
      <c r="C47" s="2">
        <v>8683.7000000000007</v>
      </c>
      <c r="D47" s="2">
        <v>11.2</v>
      </c>
      <c r="E47" s="3">
        <f t="shared" ref="E47:E62" si="3">($B$2*C47^2+$B$3*C47+$B$4)-$B$5*D47-$E$7</f>
        <v>-2.3207904514875415E-3</v>
      </c>
      <c r="F47" s="4">
        <f t="shared" ref="F47:F62" si="4">$D$1+102*E47</f>
        <v>738.76327937394831</v>
      </c>
    </row>
    <row r="48" spans="1:6">
      <c r="A48" s="7">
        <v>43363</v>
      </c>
      <c r="B48" s="9">
        <v>0.33333333333333331</v>
      </c>
      <c r="C48" s="2">
        <v>8665.7000000000007</v>
      </c>
      <c r="D48" s="2">
        <v>11.2</v>
      </c>
      <c r="E48" s="3">
        <f t="shared" si="3"/>
        <v>-9.6079290707191609E-4</v>
      </c>
      <c r="F48" s="4">
        <f t="shared" si="4"/>
        <v>738.90199912347862</v>
      </c>
    </row>
    <row r="49" spans="1:6">
      <c r="A49" s="7">
        <v>43373</v>
      </c>
      <c r="B49" s="9">
        <v>0.33333333333333331</v>
      </c>
      <c r="C49" s="2">
        <v>8675.2999999999993</v>
      </c>
      <c r="D49" s="2">
        <v>11</v>
      </c>
      <c r="E49" s="3">
        <f t="shared" si="3"/>
        <v>-1.8782338972767355E-3</v>
      </c>
      <c r="F49" s="4">
        <f t="shared" si="4"/>
        <v>738.80842014247776</v>
      </c>
    </row>
    <row r="50" spans="1:6">
      <c r="A50" s="7">
        <v>43383</v>
      </c>
      <c r="B50" s="9">
        <v>0.33333333333333331</v>
      </c>
      <c r="C50" s="2">
        <v>8677.4</v>
      </c>
      <c r="D50" s="2">
        <v>10.8</v>
      </c>
      <c r="E50" s="3">
        <f t="shared" si="3"/>
        <v>-2.2289515084609156E-3</v>
      </c>
      <c r="F50" s="4">
        <f t="shared" si="4"/>
        <v>738.772646946137</v>
      </c>
    </row>
    <row r="51" spans="1:6">
      <c r="A51" s="7">
        <v>43393</v>
      </c>
      <c r="B51" s="9">
        <v>0.33333333333333331</v>
      </c>
      <c r="C51" s="2">
        <v>8680.2000000000007</v>
      </c>
      <c r="D51" s="2">
        <v>10.5</v>
      </c>
      <c r="E51" s="3">
        <f t="shared" si="3"/>
        <v>-2.7285752443481116E-3</v>
      </c>
      <c r="F51" s="4">
        <f t="shared" si="4"/>
        <v>738.72168532507646</v>
      </c>
    </row>
    <row r="52" spans="1:6">
      <c r="A52" s="7">
        <v>43605</v>
      </c>
      <c r="B52" s="1">
        <v>0.33333333333333331</v>
      </c>
      <c r="C52" s="2">
        <v>8672.6</v>
      </c>
      <c r="D52" s="2">
        <v>10.3</v>
      </c>
      <c r="E52" s="3">
        <f t="shared" si="3"/>
        <v>-2.3464268954210485E-3</v>
      </c>
      <c r="F52" s="4">
        <f t="shared" si="4"/>
        <v>738.76066445666709</v>
      </c>
    </row>
    <row r="53" spans="1:6">
      <c r="A53" s="7">
        <v>43615</v>
      </c>
      <c r="B53" s="1">
        <v>0.33333333333333331</v>
      </c>
      <c r="C53" s="2">
        <v>8659.7999999999993</v>
      </c>
      <c r="D53" s="2">
        <v>10.3</v>
      </c>
      <c r="E53" s="3">
        <f t="shared" si="3"/>
        <v>-1.379174065300047E-3</v>
      </c>
      <c r="F53" s="4">
        <f t="shared" si="4"/>
        <v>738.85932424533939</v>
      </c>
    </row>
    <row r="54" spans="1:6">
      <c r="A54" s="7">
        <v>43626</v>
      </c>
      <c r="B54" s="1">
        <v>0.33333333333333331</v>
      </c>
      <c r="C54" s="2">
        <v>8662.2999999999993</v>
      </c>
      <c r="D54" s="2">
        <v>10.4</v>
      </c>
      <c r="E54" s="3">
        <f t="shared" si="3"/>
        <v>-1.4720797108382193E-3</v>
      </c>
      <c r="F54" s="4">
        <f t="shared" si="4"/>
        <v>738.84984786949451</v>
      </c>
    </row>
    <row r="55" spans="1:6">
      <c r="A55" s="7">
        <v>43636</v>
      </c>
      <c r="B55" s="1">
        <v>0.33333333333333331</v>
      </c>
      <c r="C55" s="2">
        <v>8665.7000000000007</v>
      </c>
      <c r="D55" s="2">
        <v>10.7</v>
      </c>
      <c r="E55" s="3">
        <f t="shared" si="3"/>
        <v>-1.4409324070719202E-3</v>
      </c>
      <c r="F55" s="4">
        <f t="shared" si="4"/>
        <v>738.85302489447861</v>
      </c>
    </row>
    <row r="56" spans="1:6">
      <c r="A56" s="7">
        <v>43646</v>
      </c>
      <c r="B56" s="1">
        <v>0.33333333333333331</v>
      </c>
      <c r="C56" s="2">
        <v>8667.7999999999993</v>
      </c>
      <c r="D56" s="2">
        <v>9.9</v>
      </c>
      <c r="E56" s="3">
        <f t="shared" si="3"/>
        <v>-2.367844001514359E-3</v>
      </c>
      <c r="F56" s="4">
        <f t="shared" si="4"/>
        <v>738.75847991184548</v>
      </c>
    </row>
    <row r="57" spans="1:6">
      <c r="A57" s="7">
        <v>43656</v>
      </c>
      <c r="B57" s="1">
        <v>0.33333333333333331</v>
      </c>
      <c r="C57" s="2">
        <v>8669</v>
      </c>
      <c r="D57" s="2">
        <v>9.9</v>
      </c>
      <c r="E57" s="3">
        <f t="shared" si="3"/>
        <v>-2.4585204731972857E-3</v>
      </c>
      <c r="F57" s="4">
        <f t="shared" si="4"/>
        <v>738.74923091173389</v>
      </c>
    </row>
    <row r="58" spans="1:6">
      <c r="A58" s="7">
        <v>43666</v>
      </c>
      <c r="B58" s="1">
        <v>0.33333333333333331</v>
      </c>
      <c r="C58" s="2">
        <v>8670.2999999999993</v>
      </c>
      <c r="D58" s="2">
        <v>9.6</v>
      </c>
      <c r="E58" s="3">
        <f t="shared" si="3"/>
        <v>-2.8448348747726164E-3</v>
      </c>
      <c r="F58" s="4">
        <f t="shared" si="4"/>
        <v>738.70982684277317</v>
      </c>
    </row>
    <row r="59" spans="1:6">
      <c r="A59" s="7">
        <v>43676</v>
      </c>
      <c r="B59" s="1">
        <v>0.33333333333333331</v>
      </c>
      <c r="C59" s="2">
        <v>8671.4</v>
      </c>
      <c r="D59" s="2">
        <v>9.8000000000000007</v>
      </c>
      <c r="E59" s="3">
        <f t="shared" si="3"/>
        <v>-2.7358956201505753E-3</v>
      </c>
      <c r="F59" s="4">
        <f t="shared" si="4"/>
        <v>738.72093864674468</v>
      </c>
    </row>
    <row r="60" spans="1:6">
      <c r="A60" s="7">
        <v>43687</v>
      </c>
      <c r="B60" s="9">
        <v>0.33333333333333331</v>
      </c>
      <c r="C60" s="2">
        <v>8667.4</v>
      </c>
      <c r="D60" s="2">
        <v>9.6999999999999993</v>
      </c>
      <c r="E60" s="3">
        <f t="shared" si="3"/>
        <v>-2.5296738889970249E-3</v>
      </c>
      <c r="F60" s="4">
        <f t="shared" si="4"/>
        <v>738.74197326332228</v>
      </c>
    </row>
    <row r="61" spans="1:6">
      <c r="A61" s="7">
        <v>43697</v>
      </c>
      <c r="B61" s="1">
        <v>0.33333333333333331</v>
      </c>
      <c r="C61" s="2">
        <v>8661.2999999999993</v>
      </c>
      <c r="D61" s="2">
        <v>9.6999999999999993</v>
      </c>
      <c r="E61" s="3">
        <f t="shared" si="3"/>
        <v>-2.0687025815833981E-3</v>
      </c>
      <c r="F61" s="4">
        <f t="shared" si="4"/>
        <v>738.78899233667846</v>
      </c>
    </row>
    <row r="62" spans="1:6">
      <c r="A62" s="7">
        <v>43707</v>
      </c>
      <c r="B62" s="9">
        <v>0.33333333333333331</v>
      </c>
      <c r="C62" s="2">
        <v>8655.1</v>
      </c>
      <c r="D62" s="2">
        <v>9.8000000000000007</v>
      </c>
      <c r="E62" s="3">
        <f t="shared" si="3"/>
        <v>-1.5040961887393019E-3</v>
      </c>
      <c r="F62" s="4">
        <f t="shared" si="4"/>
        <v>738.84658218874858</v>
      </c>
    </row>
    <row r="63" spans="1:6">
      <c r="B63" s="9"/>
    </row>
    <row r="64" spans="1:6">
      <c r="B64" s="9"/>
    </row>
    <row r="65" spans="2:2">
      <c r="B65" s="9"/>
    </row>
    <row r="66" spans="2:2">
      <c r="B66" s="9"/>
    </row>
    <row r="67" spans="2:2">
      <c r="B67" s="9"/>
    </row>
    <row r="68" spans="2:2">
      <c r="B68" s="9"/>
    </row>
    <row r="69" spans="2:2">
      <c r="B69" s="9"/>
    </row>
    <row r="70" spans="2:2">
      <c r="B70" s="9"/>
    </row>
    <row r="71" spans="2:2">
      <c r="B71" s="9"/>
    </row>
    <row r="72" spans="2:2">
      <c r="B72" s="9"/>
    </row>
    <row r="73" spans="2:2">
      <c r="B73" s="9"/>
    </row>
    <row r="74" spans="2:2">
      <c r="B74" s="9"/>
    </row>
    <row r="75" spans="2:2">
      <c r="B75" s="9"/>
    </row>
    <row r="76" spans="2:2">
      <c r="B76" s="9"/>
    </row>
    <row r="77" spans="2:2">
      <c r="B77" s="9"/>
    </row>
    <row r="78" spans="2:2">
      <c r="B78" s="9"/>
    </row>
    <row r="79" spans="2:2">
      <c r="B79" s="9"/>
    </row>
    <row r="80" spans="2:2">
      <c r="B80" s="9"/>
    </row>
    <row r="81" spans="2:2">
      <c r="B81" s="9"/>
    </row>
    <row r="82" spans="2:2">
      <c r="B82" s="9"/>
    </row>
    <row r="83" spans="2:2">
      <c r="B83" s="9"/>
    </row>
    <row r="84" spans="2:2">
      <c r="B84" s="9"/>
    </row>
    <row r="85" spans="2:2">
      <c r="B85" s="9"/>
    </row>
    <row r="86" spans="2:2">
      <c r="B86" s="9"/>
    </row>
    <row r="87" spans="2:2">
      <c r="B87" s="9"/>
    </row>
    <row r="88" spans="2:2">
      <c r="B88" s="9"/>
    </row>
    <row r="89" spans="2:2">
      <c r="B89" s="9"/>
    </row>
    <row r="90" spans="2:2">
      <c r="B90" s="9"/>
    </row>
    <row r="91" spans="2:2">
      <c r="B91" s="9"/>
    </row>
    <row r="92" spans="2:2">
      <c r="B92" s="9"/>
    </row>
    <row r="93" spans="2:2">
      <c r="B93" s="9"/>
    </row>
    <row r="94" spans="2:2">
      <c r="B94" s="9"/>
    </row>
    <row r="95" spans="2:2">
      <c r="B95" s="9"/>
    </row>
    <row r="96" spans="2:2">
      <c r="B96" s="9"/>
    </row>
    <row r="97" spans="2:2">
      <c r="B97" s="9"/>
    </row>
    <row r="98" spans="2:2">
      <c r="B98" s="9"/>
    </row>
    <row r="99" spans="2:2">
      <c r="B99" s="9"/>
    </row>
    <row r="100" spans="2:2">
      <c r="B100" s="9"/>
    </row>
    <row r="101" spans="2:2">
      <c r="B101" s="9"/>
    </row>
    <row r="102" spans="2:2">
      <c r="B102" s="9"/>
    </row>
    <row r="103" spans="2:2">
      <c r="B103" s="9"/>
    </row>
    <row r="104" spans="2:2">
      <c r="B104" s="9"/>
    </row>
    <row r="105" spans="2:2">
      <c r="B105" s="9"/>
    </row>
    <row r="106" spans="2:2">
      <c r="B106" s="9"/>
    </row>
    <row r="107" spans="2:2">
      <c r="B107" s="9"/>
    </row>
    <row r="108" spans="2:2">
      <c r="B108" s="9"/>
    </row>
    <row r="109" spans="2:2">
      <c r="B109" s="9"/>
    </row>
    <row r="110" spans="2:2">
      <c r="B110" s="9"/>
    </row>
    <row r="111" spans="2:2">
      <c r="B111" s="9"/>
    </row>
    <row r="112" spans="2:2">
      <c r="B112" s="9"/>
    </row>
    <row r="113" spans="2:2">
      <c r="B113" s="9"/>
    </row>
    <row r="114" spans="2:2">
      <c r="B114" s="9"/>
    </row>
    <row r="115" spans="2:2">
      <c r="B115" s="9"/>
    </row>
    <row r="116" spans="2:2">
      <c r="B116" s="9"/>
    </row>
    <row r="117" spans="2:2">
      <c r="B117" s="9"/>
    </row>
    <row r="118" spans="2:2">
      <c r="B118" s="9"/>
    </row>
    <row r="119" spans="2:2">
      <c r="B119" s="9"/>
    </row>
    <row r="120" spans="2:2">
      <c r="B120" s="9"/>
    </row>
    <row r="121" spans="2:2">
      <c r="B121" s="9"/>
    </row>
    <row r="122" spans="2:2">
      <c r="B122" s="9"/>
    </row>
    <row r="123" spans="2:2">
      <c r="B123" s="9"/>
    </row>
    <row r="124" spans="2:2">
      <c r="B124" s="9"/>
    </row>
    <row r="125" spans="2:2">
      <c r="B125" s="9"/>
    </row>
    <row r="126" spans="2:2">
      <c r="B126" s="9"/>
    </row>
    <row r="127" spans="2:2">
      <c r="B127" s="9"/>
    </row>
    <row r="128" spans="2:2">
      <c r="B128" s="9"/>
    </row>
    <row r="129" spans="2:2">
      <c r="B129" s="9"/>
    </row>
    <row r="130" spans="2:2">
      <c r="B130" s="9"/>
    </row>
    <row r="131" spans="2:2">
      <c r="B131" s="9"/>
    </row>
    <row r="132" spans="2:2">
      <c r="B132" s="9"/>
    </row>
    <row r="133" spans="2:2">
      <c r="B133" s="9"/>
    </row>
    <row r="134" spans="2:2">
      <c r="B134" s="9"/>
    </row>
    <row r="135" spans="2:2">
      <c r="B135" s="9"/>
    </row>
    <row r="136" spans="2:2">
      <c r="B136" s="9"/>
    </row>
    <row r="137" spans="2:2">
      <c r="B137" s="9"/>
    </row>
    <row r="138" spans="2:2">
      <c r="B138" s="9"/>
    </row>
    <row r="139" spans="2:2">
      <c r="B139" s="9"/>
    </row>
    <row r="140" spans="2:2">
      <c r="B140" s="9"/>
    </row>
    <row r="141" spans="2:2">
      <c r="B141" s="9"/>
    </row>
    <row r="142" spans="2:2">
      <c r="B142" s="9"/>
    </row>
    <row r="143" spans="2:2">
      <c r="B143" s="9"/>
    </row>
    <row r="144" spans="2:2">
      <c r="B144" s="9"/>
    </row>
    <row r="145" spans="2:2">
      <c r="B145" s="9"/>
    </row>
    <row r="146" spans="2:2">
      <c r="B146" s="9"/>
    </row>
    <row r="147" spans="2:2">
      <c r="B147" s="9"/>
    </row>
    <row r="148" spans="2:2">
      <c r="B148" s="9"/>
    </row>
    <row r="149" spans="2:2">
      <c r="B149" s="9"/>
    </row>
    <row r="150" spans="2:2">
      <c r="B150" s="9"/>
    </row>
    <row r="151" spans="2:2">
      <c r="B151" s="9"/>
    </row>
    <row r="152" spans="2:2">
      <c r="B152" s="9"/>
    </row>
    <row r="153" spans="2:2">
      <c r="B153" s="9"/>
    </row>
    <row r="154" spans="2:2">
      <c r="B154" s="9"/>
    </row>
    <row r="155" spans="2:2">
      <c r="B155" s="9"/>
    </row>
    <row r="156" spans="2:2">
      <c r="B156" s="9"/>
    </row>
    <row r="157" spans="2:2">
      <c r="B157" s="9"/>
    </row>
    <row r="158" spans="2:2">
      <c r="B158" s="9"/>
    </row>
    <row r="159" spans="2:2">
      <c r="B159" s="9"/>
    </row>
    <row r="160" spans="2:2">
      <c r="B160" s="9"/>
    </row>
    <row r="161" spans="2:2">
      <c r="B161" s="9"/>
    </row>
    <row r="162" spans="2:2">
      <c r="B162" s="9"/>
    </row>
    <row r="163" spans="2:2">
      <c r="B163" s="9"/>
    </row>
    <row r="164" spans="2:2">
      <c r="B164" s="9"/>
    </row>
    <row r="165" spans="2:2">
      <c r="B165" s="9"/>
    </row>
    <row r="166" spans="2:2">
      <c r="B166" s="9"/>
    </row>
    <row r="167" spans="2:2">
      <c r="B167" s="9"/>
    </row>
    <row r="168" spans="2:2">
      <c r="B168" s="9"/>
    </row>
    <row r="169" spans="2:2">
      <c r="B169" s="9"/>
    </row>
    <row r="170" spans="2:2">
      <c r="B170" s="9"/>
    </row>
    <row r="171" spans="2:2">
      <c r="B171" s="9"/>
    </row>
    <row r="172" spans="2:2">
      <c r="B172" s="9"/>
    </row>
    <row r="173" spans="2:2">
      <c r="B173" s="9"/>
    </row>
    <row r="174" spans="2:2">
      <c r="B174" s="9"/>
    </row>
    <row r="175" spans="2:2">
      <c r="B175" s="9"/>
    </row>
    <row r="176" spans="2:2">
      <c r="B176" s="9"/>
    </row>
  </sheetData>
  <phoneticPr fontId="4" type="noConversion"/>
  <pageMargins left="0.69930555555555596" right="0.69930555555555596" top="0.75" bottom="0.75" header="0.3" footer="0.3"/>
  <pageSetup paperSize="9" orientation="portrait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9"/>
  <sheetViews>
    <sheetView topLeftCell="A36" workbookViewId="0">
      <selection activeCell="A53" sqref="A53:B59"/>
    </sheetView>
  </sheetViews>
  <sheetFormatPr defaultColWidth="9" defaultRowHeight="13.5"/>
  <cols>
    <col min="1" max="1" width="11.25" customWidth="1"/>
    <col min="2" max="2" width="13.875" customWidth="1"/>
    <col min="5" max="5" width="10.875" customWidth="1"/>
  </cols>
  <sheetData>
    <row r="1" spans="1:7">
      <c r="A1" t="s">
        <v>0</v>
      </c>
      <c r="B1">
        <v>50409</v>
      </c>
      <c r="C1" t="s">
        <v>1</v>
      </c>
      <c r="D1">
        <v>731</v>
      </c>
    </row>
    <row r="2" spans="1:7">
      <c r="A2" t="s">
        <v>2</v>
      </c>
      <c r="B2" s="24">
        <v>5.15822E-10</v>
      </c>
    </row>
    <row r="3" spans="1:7">
      <c r="A3" t="s">
        <v>3</v>
      </c>
      <c r="B3" s="11">
        <v>-7.1044000000000006E-5</v>
      </c>
    </row>
    <row r="4" spans="1:7">
      <c r="A4" t="s">
        <v>4</v>
      </c>
      <c r="B4" s="11">
        <v>0.56063246</v>
      </c>
    </row>
    <row r="5" spans="1:7">
      <c r="A5" t="s">
        <v>5</v>
      </c>
      <c r="B5" s="11">
        <v>-7.84387E-4</v>
      </c>
    </row>
    <row r="6" spans="1:7">
      <c r="A6" t="s">
        <v>6</v>
      </c>
      <c r="B6" t="s">
        <v>7</v>
      </c>
      <c r="C6" t="s">
        <v>8</v>
      </c>
      <c r="D6" t="s">
        <v>9</v>
      </c>
      <c r="E6" t="s">
        <v>10</v>
      </c>
      <c r="F6" t="s">
        <v>11</v>
      </c>
      <c r="G6" t="s">
        <v>12</v>
      </c>
    </row>
    <row r="7" spans="1:7">
      <c r="A7" s="7">
        <v>42616</v>
      </c>
      <c r="B7" s="1">
        <v>0.64583333333333337</v>
      </c>
      <c r="C7" s="2">
        <v>8445.5</v>
      </c>
      <c r="D7" s="2">
        <v>16.5</v>
      </c>
      <c r="E7" s="3">
        <f>($B$2*C7^2+$B$3*C7+$B$4)-$B$5*D7</f>
        <v>1.0364506037295509E-2</v>
      </c>
      <c r="G7" t="s">
        <v>13</v>
      </c>
    </row>
    <row r="8" spans="1:7">
      <c r="A8" s="7">
        <v>42630</v>
      </c>
      <c r="B8" s="1">
        <v>0.6875</v>
      </c>
      <c r="C8" s="2">
        <v>8350.2000000000007</v>
      </c>
      <c r="D8" s="2">
        <v>15</v>
      </c>
      <c r="E8" s="3">
        <f>($B$2*C8^2+$B$3*C8+$B$4)-$B$5*D8-$E$7</f>
        <v>4.7682724238171902E-3</v>
      </c>
      <c r="F8" s="4">
        <f>$D$1+102*E8</f>
        <v>731.48636378722938</v>
      </c>
      <c r="G8" s="5" t="s">
        <v>14</v>
      </c>
    </row>
    <row r="9" spans="1:7">
      <c r="A9" s="7">
        <v>42631</v>
      </c>
      <c r="B9" s="9">
        <v>0.33333333333333331</v>
      </c>
      <c r="C9" s="2">
        <v>8319.6</v>
      </c>
      <c r="D9" s="2">
        <v>12.3</v>
      </c>
      <c r="E9" s="3">
        <f t="shared" ref="E9:E41" si="0">($B$2*C9^2+$B$3*C9+$B$4)-$B$5*D9-$E$7</f>
        <v>4.561255246803864E-3</v>
      </c>
      <c r="F9" s="4">
        <f t="shared" ref="F9:F41" si="1">$D$1+102*E9</f>
        <v>731.465248035174</v>
      </c>
    </row>
    <row r="10" spans="1:7">
      <c r="A10" s="7">
        <v>42632</v>
      </c>
      <c r="B10" s="9">
        <v>0.33333333333333331</v>
      </c>
      <c r="C10" s="2">
        <v>8299.7999999999993</v>
      </c>
      <c r="D10" s="2">
        <v>7.1</v>
      </c>
      <c r="E10" s="3">
        <f t="shared" si="0"/>
        <v>1.7193755342973377E-3</v>
      </c>
      <c r="F10" s="4">
        <f t="shared" si="1"/>
        <v>731.17537630449829</v>
      </c>
    </row>
    <row r="11" spans="1:7">
      <c r="A11" s="7">
        <v>42633</v>
      </c>
      <c r="B11" s="9">
        <v>0.33333333333333331</v>
      </c>
      <c r="C11" s="2">
        <v>8275.1</v>
      </c>
      <c r="D11" s="2">
        <v>14.1</v>
      </c>
      <c r="E11" s="3">
        <f t="shared" si="0"/>
        <v>8.7536937920225724E-3</v>
      </c>
      <c r="F11" s="4">
        <f t="shared" si="1"/>
        <v>731.89287676678634</v>
      </c>
    </row>
    <row r="12" spans="1:7">
      <c r="A12" s="7">
        <v>42634</v>
      </c>
      <c r="B12" s="9">
        <v>0.33333333333333331</v>
      </c>
      <c r="C12" s="2">
        <v>8250</v>
      </c>
      <c r="D12" s="2">
        <v>15.2</v>
      </c>
      <c r="E12" s="3">
        <f t="shared" si="0"/>
        <v>1.1185771237704357E-2</v>
      </c>
      <c r="F12" s="4">
        <f t="shared" si="1"/>
        <v>732.14094866624589</v>
      </c>
    </row>
    <row r="13" spans="1:7">
      <c r="A13" s="7">
        <v>42635</v>
      </c>
      <c r="B13" s="9">
        <v>0.33333333333333331</v>
      </c>
      <c r="C13" s="2">
        <v>8101.5</v>
      </c>
      <c r="D13" s="2">
        <v>17</v>
      </c>
      <c r="E13" s="3">
        <f t="shared" si="0"/>
        <v>2.189518401790394E-2</v>
      </c>
      <c r="F13" s="4">
        <f t="shared" si="1"/>
        <v>733.23330876982618</v>
      </c>
    </row>
    <row r="14" spans="1:7">
      <c r="A14" s="7">
        <v>42636</v>
      </c>
      <c r="B14" s="9">
        <v>0.33333333333333331</v>
      </c>
      <c r="C14" s="2">
        <v>8043.6</v>
      </c>
      <c r="D14" s="2">
        <v>18.2</v>
      </c>
      <c r="E14" s="3">
        <f t="shared" si="0"/>
        <v>2.64677049468936E-2</v>
      </c>
      <c r="F14" s="4">
        <f t="shared" si="1"/>
        <v>733.6997059045832</v>
      </c>
    </row>
    <row r="15" spans="1:7">
      <c r="A15" s="7">
        <v>42653</v>
      </c>
      <c r="B15" s="9">
        <v>0.33333333333333331</v>
      </c>
      <c r="C15" s="2">
        <v>7815.3</v>
      </c>
      <c r="D15" s="2">
        <v>11.8</v>
      </c>
      <c r="E15" s="3">
        <f t="shared" si="0"/>
        <v>3.5799394986436466E-2</v>
      </c>
      <c r="F15" s="4">
        <f t="shared" si="1"/>
        <v>734.65153828861651</v>
      </c>
    </row>
    <row r="16" spans="1:7">
      <c r="A16" s="7">
        <v>42855</v>
      </c>
      <c r="B16" s="9">
        <v>0.33333333333333331</v>
      </c>
      <c r="C16" s="2">
        <v>7448.8</v>
      </c>
      <c r="D16" s="2">
        <v>5</v>
      </c>
      <c r="E16" s="3">
        <f t="shared" si="0"/>
        <v>5.3617530163128091E-2</v>
      </c>
      <c r="F16" s="4">
        <f t="shared" si="1"/>
        <v>736.46898807663911</v>
      </c>
    </row>
    <row r="17" spans="1:7">
      <c r="A17" s="7">
        <v>42865</v>
      </c>
      <c r="B17" s="9">
        <v>0.33333333333333331</v>
      </c>
      <c r="C17" s="2">
        <v>7336.6</v>
      </c>
      <c r="D17" s="2">
        <v>5.6</v>
      </c>
      <c r="E17" s="3">
        <f t="shared" si="0"/>
        <v>6.1203590761142804E-2</v>
      </c>
      <c r="F17" s="4">
        <f t="shared" si="1"/>
        <v>737.24276625763662</v>
      </c>
      <c r="G17" s="5"/>
    </row>
    <row r="18" spans="1:7">
      <c r="A18" s="7">
        <v>42875</v>
      </c>
      <c r="B18" s="1">
        <v>0.33333333333333331</v>
      </c>
      <c r="C18" s="2">
        <v>7429.5</v>
      </c>
      <c r="D18" s="2">
        <v>5.9</v>
      </c>
      <c r="E18" s="3">
        <f t="shared" si="0"/>
        <v>5.5546508761999916E-2</v>
      </c>
      <c r="F18" s="4">
        <f t="shared" si="1"/>
        <v>736.66574389372397</v>
      </c>
    </row>
    <row r="19" spans="1:7">
      <c r="A19" s="7">
        <v>42885</v>
      </c>
      <c r="B19" s="1">
        <v>0.33333333333333331</v>
      </c>
      <c r="C19" s="2">
        <v>7481.8</v>
      </c>
      <c r="D19" s="2">
        <v>6.6</v>
      </c>
      <c r="E19" s="3">
        <f t="shared" si="0"/>
        <v>5.2782247917583638E-2</v>
      </c>
      <c r="F19" s="4">
        <f t="shared" si="1"/>
        <v>736.38378928759357</v>
      </c>
    </row>
    <row r="20" spans="1:7">
      <c r="A20" s="7">
        <v>42896</v>
      </c>
      <c r="B20" s="1">
        <v>0.33333333333333331</v>
      </c>
      <c r="C20" s="2">
        <v>7486.7</v>
      </c>
      <c r="D20" s="2">
        <v>7.5</v>
      </c>
      <c r="E20" s="3">
        <f t="shared" si="0"/>
        <v>5.3177913917458103E-2</v>
      </c>
      <c r="F20" s="4">
        <f t="shared" si="1"/>
        <v>736.42414721958073</v>
      </c>
      <c r="G20" s="2"/>
    </row>
    <row r="21" spans="1:7">
      <c r="A21" s="7">
        <v>42906</v>
      </c>
      <c r="B21" s="1">
        <v>0.33333333333333331</v>
      </c>
      <c r="C21" s="2">
        <v>7474.1</v>
      </c>
      <c r="D21" s="2">
        <v>8.1999999999999993</v>
      </c>
      <c r="E21" s="3">
        <f t="shared" si="0"/>
        <v>5.452490363426013E-2</v>
      </c>
      <c r="F21" s="4">
        <f t="shared" si="1"/>
        <v>736.56154017069457</v>
      </c>
      <c r="G21" s="2"/>
    </row>
    <row r="22" spans="1:7">
      <c r="A22" s="7">
        <v>42926</v>
      </c>
      <c r="B22" s="1">
        <v>0.33333333333333331</v>
      </c>
      <c r="C22" s="2">
        <v>7496.9</v>
      </c>
      <c r="D22" s="2">
        <v>7.8</v>
      </c>
      <c r="E22" s="3">
        <f t="shared" si="0"/>
        <v>5.2767415696753903E-2</v>
      </c>
      <c r="F22" s="4">
        <f t="shared" si="1"/>
        <v>736.38227640106891</v>
      </c>
    </row>
    <row r="23" spans="1:7">
      <c r="A23" s="7">
        <v>42936</v>
      </c>
      <c r="B23" s="1">
        <v>0.33333333333333331</v>
      </c>
      <c r="C23" s="2">
        <v>7497.5</v>
      </c>
      <c r="D23" s="2">
        <v>8.1</v>
      </c>
      <c r="E23" s="3">
        <f t="shared" si="0"/>
        <v>5.2964746061591891E-2</v>
      </c>
      <c r="F23" s="4">
        <f t="shared" si="1"/>
        <v>736.40240409828232</v>
      </c>
    </row>
    <row r="24" spans="1:7">
      <c r="A24" s="7">
        <v>42946</v>
      </c>
      <c r="B24" s="1">
        <v>0.33333333333333331</v>
      </c>
      <c r="C24" s="2">
        <v>7509.1</v>
      </c>
      <c r="D24" s="2">
        <v>8.1999999999999993</v>
      </c>
      <c r="E24" s="3">
        <f t="shared" si="0"/>
        <v>5.2308866880924204E-2</v>
      </c>
      <c r="F24" s="4">
        <f t="shared" si="1"/>
        <v>736.33550442185424</v>
      </c>
    </row>
    <row r="25" spans="1:7">
      <c r="A25" s="6">
        <v>42957</v>
      </c>
      <c r="B25" s="1">
        <v>0.33333333333333331</v>
      </c>
      <c r="C25" s="2">
        <v>7494.7</v>
      </c>
      <c r="D25" s="2">
        <v>8.9</v>
      </c>
      <c r="E25" s="3">
        <f t="shared" si="0"/>
        <v>5.3769525603144436E-2</v>
      </c>
      <c r="F25" s="4">
        <f t="shared" si="1"/>
        <v>736.48449161152075</v>
      </c>
    </row>
    <row r="26" spans="1:7">
      <c r="A26" s="7">
        <v>42967</v>
      </c>
      <c r="B26" s="1">
        <v>0.33333333333333331</v>
      </c>
      <c r="C26" s="2">
        <v>7521</v>
      </c>
      <c r="D26" s="2">
        <v>9.3000000000000007</v>
      </c>
      <c r="E26" s="3">
        <f t="shared" si="0"/>
        <v>5.2418527970206477E-2</v>
      </c>
      <c r="F26" s="4">
        <f t="shared" si="1"/>
        <v>736.34668985296105</v>
      </c>
    </row>
    <row r="27" spans="1:7">
      <c r="A27" s="7">
        <v>42977</v>
      </c>
      <c r="B27" s="1">
        <v>0.33333333333333331</v>
      </c>
      <c r="C27" s="2">
        <v>7501.1</v>
      </c>
      <c r="D27" s="2">
        <v>9.6</v>
      </c>
      <c r="E27" s="3">
        <f t="shared" si="0"/>
        <v>5.3913419949849009E-2</v>
      </c>
      <c r="F27" s="4">
        <f t="shared" si="1"/>
        <v>736.49916883488459</v>
      </c>
    </row>
    <row r="28" spans="1:7">
      <c r="A28" s="7">
        <v>42988</v>
      </c>
      <c r="B28" s="1">
        <v>0.33333333333333331</v>
      </c>
      <c r="C28" s="2">
        <v>7507.4</v>
      </c>
      <c r="D28" s="2">
        <v>10.1</v>
      </c>
      <c r="E28" s="3">
        <f t="shared" si="0"/>
        <v>5.3906809051117166E-2</v>
      </c>
      <c r="F28" s="4">
        <f t="shared" si="1"/>
        <v>736.49849452321394</v>
      </c>
    </row>
    <row r="29" spans="1:7">
      <c r="A29" s="7">
        <v>42998</v>
      </c>
      <c r="B29" s="1">
        <v>0.33333333333333331</v>
      </c>
      <c r="C29" s="2">
        <v>7512.6</v>
      </c>
      <c r="D29" s="2">
        <v>10.5</v>
      </c>
      <c r="E29" s="3">
        <f t="shared" si="0"/>
        <v>5.3891422812605047E-2</v>
      </c>
      <c r="F29" s="4">
        <f t="shared" si="1"/>
        <v>736.49692512688569</v>
      </c>
    </row>
    <row r="30" spans="1:7">
      <c r="A30" s="7">
        <v>43008</v>
      </c>
      <c r="B30" s="1">
        <v>0.33333333333333331</v>
      </c>
      <c r="C30" s="2">
        <v>7536.3</v>
      </c>
      <c r="D30" s="2">
        <v>11</v>
      </c>
      <c r="E30" s="3">
        <f t="shared" si="0"/>
        <v>5.2783846035195606E-2</v>
      </c>
      <c r="F30" s="4">
        <f t="shared" si="1"/>
        <v>736.38395229559001</v>
      </c>
    </row>
    <row r="31" spans="1:7">
      <c r="A31" s="7">
        <v>43018</v>
      </c>
      <c r="B31" s="1">
        <v>0.33333333333333331</v>
      </c>
      <c r="C31" s="2">
        <v>7526.2</v>
      </c>
      <c r="D31" s="2">
        <v>10.6</v>
      </c>
      <c r="E31" s="3">
        <f t="shared" si="0"/>
        <v>5.3109162989558117E-2</v>
      </c>
      <c r="F31" s="4">
        <f t="shared" si="1"/>
        <v>736.41713462493487</v>
      </c>
    </row>
    <row r="32" spans="1:7">
      <c r="A32" s="7">
        <v>43230</v>
      </c>
      <c r="B32" s="1">
        <v>0.33333333333333331</v>
      </c>
      <c r="C32" s="2">
        <v>7480.5</v>
      </c>
      <c r="D32" s="2">
        <v>6.3</v>
      </c>
      <c r="E32" s="3">
        <f t="shared" si="0"/>
        <v>5.2629255769019903E-2</v>
      </c>
      <c r="F32" s="4">
        <f t="shared" si="1"/>
        <v>736.36818408843999</v>
      </c>
    </row>
    <row r="33" spans="1:6">
      <c r="A33" s="7">
        <v>43240</v>
      </c>
      <c r="B33" s="1">
        <v>0.33333333333333331</v>
      </c>
      <c r="C33" s="2">
        <v>7487.5</v>
      </c>
      <c r="D33" s="2">
        <v>6.7</v>
      </c>
      <c r="E33" s="3">
        <f t="shared" si="0"/>
        <v>5.249974833489196E-2</v>
      </c>
      <c r="F33" s="4">
        <f t="shared" si="1"/>
        <v>736.35497433015894</v>
      </c>
    </row>
    <row r="34" spans="1:6">
      <c r="A34" s="7">
        <v>43250</v>
      </c>
      <c r="B34" s="1">
        <v>0.33333333333333331</v>
      </c>
      <c r="C34" s="2">
        <v>7476.3</v>
      </c>
      <c r="D34" s="2">
        <v>6.2</v>
      </c>
      <c r="E34" s="3">
        <f t="shared" si="0"/>
        <v>5.2816798673763571E-2</v>
      </c>
      <c r="F34" s="4">
        <f t="shared" si="1"/>
        <v>736.38731346472389</v>
      </c>
    </row>
    <row r="35" spans="1:6">
      <c r="A35" s="7">
        <v>43261</v>
      </c>
      <c r="B35" s="1">
        <v>0.33333333333333331</v>
      </c>
      <c r="C35" s="2">
        <v>7432.6</v>
      </c>
      <c r="D35" s="2">
        <v>6.4</v>
      </c>
      <c r="E35" s="3">
        <f t="shared" si="0"/>
        <v>5.5742231076253132E-2</v>
      </c>
      <c r="F35" s="4">
        <f t="shared" si="1"/>
        <v>736.68570756977783</v>
      </c>
    </row>
    <row r="36" spans="1:6">
      <c r="A36" s="7">
        <v>43271</v>
      </c>
      <c r="B36" s="1">
        <v>0.33333333333333331</v>
      </c>
      <c r="C36" s="2">
        <v>7284.5</v>
      </c>
      <c r="D36" s="2">
        <v>7.7</v>
      </c>
      <c r="E36" s="3">
        <f t="shared" si="0"/>
        <v>6.6159263650339972E-2</v>
      </c>
      <c r="F36" s="4">
        <f t="shared" si="1"/>
        <v>737.7482448923347</v>
      </c>
    </row>
    <row r="37" spans="1:6">
      <c r="A37" s="7">
        <v>43281</v>
      </c>
      <c r="B37" s="1">
        <v>0.33333333333333331</v>
      </c>
      <c r="C37" s="2">
        <v>7334.6</v>
      </c>
      <c r="D37" s="2">
        <v>7.6</v>
      </c>
      <c r="E37" s="3">
        <f t="shared" si="0"/>
        <v>6.2899317305689886E-2</v>
      </c>
      <c r="F37" s="4">
        <f t="shared" si="1"/>
        <v>737.41573036518037</v>
      </c>
    </row>
    <row r="38" spans="1:6">
      <c r="A38" s="7">
        <v>43291</v>
      </c>
      <c r="B38" s="1">
        <v>0.33333333333333331</v>
      </c>
      <c r="C38" s="2">
        <v>7452.3</v>
      </c>
      <c r="D38" s="2">
        <v>8</v>
      </c>
      <c r="E38" s="3">
        <f t="shared" si="0"/>
        <v>5.5748939266342779E-2</v>
      </c>
      <c r="F38" s="4">
        <f t="shared" si="1"/>
        <v>736.68639180516698</v>
      </c>
    </row>
    <row r="39" spans="1:6">
      <c r="A39" s="7">
        <v>43301</v>
      </c>
      <c r="B39" s="1">
        <v>0.33333333333333331</v>
      </c>
      <c r="C39" s="2">
        <v>7429.4</v>
      </c>
      <c r="D39" s="2">
        <v>8.1999999999999993</v>
      </c>
      <c r="E39" s="3">
        <f t="shared" si="0"/>
        <v>5.7356936807248432E-2</v>
      </c>
      <c r="F39" s="4">
        <f t="shared" si="1"/>
        <v>736.85040755433931</v>
      </c>
    </row>
    <row r="40" spans="1:6">
      <c r="A40" s="7">
        <v>43311</v>
      </c>
      <c r="B40" s="1">
        <v>0.33333333333333331</v>
      </c>
      <c r="C40" s="2">
        <v>7430.6</v>
      </c>
      <c r="D40" s="2">
        <v>7.9</v>
      </c>
      <c r="E40" s="3">
        <f t="shared" si="0"/>
        <v>5.7045566045152402E-2</v>
      </c>
      <c r="F40" s="4">
        <f t="shared" si="1"/>
        <v>736.8186477366055</v>
      </c>
    </row>
    <row r="41" spans="1:6">
      <c r="A41" s="7">
        <v>43322</v>
      </c>
      <c r="B41" s="1">
        <v>0.33333333333333331</v>
      </c>
      <c r="C41" s="2">
        <v>7389.6</v>
      </c>
      <c r="D41" s="2">
        <v>8.4</v>
      </c>
      <c r="E41" s="3">
        <f t="shared" si="0"/>
        <v>6.0037135551771925E-2</v>
      </c>
      <c r="F41" s="4">
        <f t="shared" si="1"/>
        <v>737.1237878262807</v>
      </c>
    </row>
    <row r="42" spans="1:6">
      <c r="A42" s="7">
        <v>43332</v>
      </c>
      <c r="B42" s="1">
        <v>0.33333333333333331</v>
      </c>
      <c r="C42" s="2">
        <v>7424.6</v>
      </c>
      <c r="D42" s="2">
        <v>8.4</v>
      </c>
      <c r="E42" s="3">
        <f t="shared" ref="E42:E59" si="2">($B$2*C42^2+$B$3*C42+$B$4)-$B$5*D42-$E$7</f>
        <v>5.7818047711305998E-2</v>
      </c>
      <c r="F42" s="4">
        <f t="shared" ref="F42:F59" si="3">$D$1+102*E42</f>
        <v>736.89744086655321</v>
      </c>
    </row>
    <row r="43" spans="1:6">
      <c r="A43" s="7">
        <v>43342</v>
      </c>
      <c r="B43" s="1">
        <v>0.33333333333333331</v>
      </c>
      <c r="C43" s="2">
        <v>7382.6</v>
      </c>
      <c r="D43" s="2">
        <v>8.9</v>
      </c>
      <c r="E43" s="3">
        <f t="shared" si="2"/>
        <v>6.0873298271533122E-2</v>
      </c>
      <c r="F43" s="4">
        <f t="shared" si="3"/>
        <v>737.20907642369639</v>
      </c>
    </row>
    <row r="44" spans="1:6">
      <c r="A44" s="7">
        <v>43353</v>
      </c>
      <c r="B44" s="1">
        <v>0.33333333333333331</v>
      </c>
      <c r="C44" s="2">
        <v>7296.5</v>
      </c>
      <c r="D44" s="2">
        <v>9.8000000000000007</v>
      </c>
      <c r="E44" s="3">
        <f t="shared" si="2"/>
        <v>6.7044202757323965E-2</v>
      </c>
      <c r="F44" s="4">
        <f t="shared" si="3"/>
        <v>737.83850868124705</v>
      </c>
    </row>
    <row r="45" spans="1:6">
      <c r="A45" s="7">
        <v>43363</v>
      </c>
      <c r="B45" s="1">
        <v>0.33333333333333331</v>
      </c>
      <c r="C45" s="2">
        <v>7378.6</v>
      </c>
      <c r="D45" s="2">
        <v>9.8000000000000007</v>
      </c>
      <c r="E45" s="3">
        <f t="shared" si="2"/>
        <v>6.183296596470754E-2</v>
      </c>
      <c r="F45" s="4">
        <f t="shared" si="3"/>
        <v>737.30696252840016</v>
      </c>
    </row>
    <row r="46" spans="1:6">
      <c r="A46" s="7">
        <v>43373</v>
      </c>
      <c r="B46" s="1">
        <v>0.33333333333333331</v>
      </c>
      <c r="C46" s="2">
        <v>7390.3</v>
      </c>
      <c r="D46" s="2">
        <v>9.6</v>
      </c>
      <c r="E46" s="3">
        <f t="shared" si="2"/>
        <v>6.0934005810076422E-2</v>
      </c>
      <c r="F46" s="4">
        <f t="shared" si="3"/>
        <v>737.21526859262781</v>
      </c>
    </row>
    <row r="47" spans="1:6">
      <c r="A47" s="7">
        <v>43383</v>
      </c>
      <c r="B47" s="1">
        <v>0.33333333333333331</v>
      </c>
      <c r="C47" s="2">
        <v>7395.2</v>
      </c>
      <c r="D47" s="2">
        <v>9.4</v>
      </c>
      <c r="E47" s="3">
        <f t="shared" si="2"/>
        <v>6.0466383572363336E-2</v>
      </c>
      <c r="F47" s="4">
        <f t="shared" si="3"/>
        <v>737.16757112438108</v>
      </c>
    </row>
    <row r="48" spans="1:6">
      <c r="A48" s="7">
        <v>43393</v>
      </c>
      <c r="B48" s="1">
        <v>0.33333333333333331</v>
      </c>
      <c r="C48" s="2">
        <v>7399.7</v>
      </c>
      <c r="D48" s="2">
        <v>9.1999999999999993</v>
      </c>
      <c r="E48" s="3">
        <f t="shared" si="2"/>
        <v>6.0024150079448418E-2</v>
      </c>
      <c r="F48" s="4">
        <f t="shared" si="3"/>
        <v>737.12246330810376</v>
      </c>
    </row>
    <row r="49" spans="1:6">
      <c r="A49" s="7">
        <v>43605</v>
      </c>
      <c r="B49" s="1">
        <v>0.33333333333333331</v>
      </c>
      <c r="C49" s="2">
        <v>7468.7</v>
      </c>
      <c r="D49" s="2">
        <v>9.5</v>
      </c>
      <c r="E49" s="3">
        <f t="shared" si="2"/>
        <v>5.5886622079359613E-2</v>
      </c>
      <c r="F49" s="4">
        <f t="shared" si="3"/>
        <v>736.70043545209467</v>
      </c>
    </row>
    <row r="50" spans="1:6">
      <c r="A50" s="7">
        <v>43615</v>
      </c>
      <c r="B50" s="1">
        <v>0.33333333333333331</v>
      </c>
      <c r="C50" s="2">
        <v>7465.3</v>
      </c>
      <c r="D50" s="2">
        <v>9.1999999999999993</v>
      </c>
      <c r="E50" s="3">
        <f t="shared" si="2"/>
        <v>5.5866664407816374E-2</v>
      </c>
      <c r="F50" s="4">
        <f t="shared" si="3"/>
        <v>736.69839976959724</v>
      </c>
    </row>
    <row r="51" spans="1:6">
      <c r="A51" s="7">
        <v>43626</v>
      </c>
      <c r="B51" s="1">
        <v>0.33333333333333331</v>
      </c>
      <c r="C51" s="2">
        <v>7462.7</v>
      </c>
      <c r="D51" s="2">
        <v>9</v>
      </c>
      <c r="E51" s="3">
        <f t="shared" si="2"/>
        <v>5.5874480911694793E-2</v>
      </c>
      <c r="F51" s="4">
        <f t="shared" si="3"/>
        <v>736.69919705299287</v>
      </c>
    </row>
    <row r="52" spans="1:6">
      <c r="A52" s="7">
        <v>43636</v>
      </c>
      <c r="B52" s="1">
        <v>0.33333333333333331</v>
      </c>
      <c r="C52" s="2">
        <v>7461.1</v>
      </c>
      <c r="D52" s="2">
        <v>8.6999999999999993</v>
      </c>
      <c r="E52" s="3">
        <f t="shared" si="2"/>
        <v>5.5740518372713044E-2</v>
      </c>
      <c r="F52" s="4">
        <f t="shared" si="3"/>
        <v>736.68553287401676</v>
      </c>
    </row>
    <row r="53" spans="1:6">
      <c r="A53" s="7">
        <v>43646</v>
      </c>
      <c r="B53" s="1">
        <v>0.33333333333333331</v>
      </c>
      <c r="C53" s="2">
        <v>7457.6</v>
      </c>
      <c r="D53" s="2">
        <v>8.5</v>
      </c>
      <c r="E53" s="3">
        <f t="shared" si="2"/>
        <v>5.5805361094863212E-2</v>
      </c>
      <c r="F53" s="4">
        <f t="shared" si="3"/>
        <v>736.69214683167604</v>
      </c>
    </row>
    <row r="54" spans="1:6">
      <c r="A54" s="7">
        <v>43656</v>
      </c>
      <c r="B54" s="1">
        <v>0.33333333333333331</v>
      </c>
      <c r="C54" s="2">
        <v>7402.1</v>
      </c>
      <c r="D54" s="2">
        <v>8.5</v>
      </c>
      <c r="E54" s="3">
        <f t="shared" si="2"/>
        <v>5.9322897805239402E-2</v>
      </c>
      <c r="F54" s="4">
        <f t="shared" si="3"/>
        <v>737.05093557613441</v>
      </c>
    </row>
    <row r="55" spans="1:6">
      <c r="A55" s="7">
        <v>43666</v>
      </c>
      <c r="B55" s="1">
        <v>0.33333333333333331</v>
      </c>
      <c r="C55" s="2">
        <v>7389.1</v>
      </c>
      <c r="D55" s="2">
        <v>8.6</v>
      </c>
      <c r="E55" s="3">
        <f t="shared" si="2"/>
        <v>6.0225723362476238E-2</v>
      </c>
      <c r="F55" s="4">
        <f t="shared" si="3"/>
        <v>737.14302378297259</v>
      </c>
    </row>
    <row r="56" spans="1:6">
      <c r="A56" s="7">
        <v>43676</v>
      </c>
      <c r="B56" s="1">
        <v>0.33333333333333331</v>
      </c>
      <c r="C56" s="2">
        <v>7367.4</v>
      </c>
      <c r="D56" s="2">
        <v>8.6999999999999993</v>
      </c>
      <c r="E56" s="3">
        <f t="shared" si="2"/>
        <v>6.1680642379133122E-2</v>
      </c>
      <c r="F56" s="4">
        <f t="shared" si="3"/>
        <v>737.2914255226716</v>
      </c>
    </row>
    <row r="57" spans="1:6">
      <c r="A57" s="7">
        <v>43687</v>
      </c>
      <c r="B57" s="1">
        <v>0.33333333333333331</v>
      </c>
      <c r="C57" s="2">
        <v>7319.6</v>
      </c>
      <c r="D57" s="2">
        <v>8.6999999999999993</v>
      </c>
      <c r="E57" s="3">
        <f t="shared" si="2"/>
        <v>6.4714418624403969E-2</v>
      </c>
      <c r="F57" s="4">
        <f t="shared" si="3"/>
        <v>737.60087069968915</v>
      </c>
    </row>
    <row r="58" spans="1:6">
      <c r="A58" s="7">
        <v>43697</v>
      </c>
      <c r="B58" s="1">
        <v>0.33333333333333331</v>
      </c>
      <c r="C58" s="2">
        <v>7296.5</v>
      </c>
      <c r="D58" s="2">
        <v>8.6999999999999993</v>
      </c>
      <c r="E58" s="3">
        <f t="shared" si="2"/>
        <v>6.6181377057323965E-2</v>
      </c>
      <c r="F58" s="4">
        <f t="shared" si="3"/>
        <v>737.75050045984699</v>
      </c>
    </row>
    <row r="59" spans="1:6">
      <c r="A59" s="7">
        <v>43707</v>
      </c>
      <c r="B59" s="1">
        <v>0.33333333333333331</v>
      </c>
      <c r="C59" s="2">
        <v>7277.4</v>
      </c>
      <c r="D59" s="2">
        <v>8.6999999999999993</v>
      </c>
      <c r="E59" s="3">
        <f t="shared" si="2"/>
        <v>6.7394732476829144E-2</v>
      </c>
      <c r="F59" s="4">
        <f t="shared" si="3"/>
        <v>737.87426271263655</v>
      </c>
    </row>
  </sheetData>
  <phoneticPr fontId="5" type="noConversion"/>
  <pageMargins left="0.69930555555555596" right="0.69930555555555596" top="0.75" bottom="0.75" header="0.3" footer="0.3"/>
  <pageSetup paperSize="9" orientation="portrait"/>
  <drawing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9"/>
  <sheetViews>
    <sheetView topLeftCell="A28" workbookViewId="0">
      <selection activeCell="A53" sqref="A53:B59"/>
    </sheetView>
  </sheetViews>
  <sheetFormatPr defaultColWidth="9" defaultRowHeight="13.5"/>
  <cols>
    <col min="1" max="1" width="11" customWidth="1"/>
    <col min="2" max="2" width="13.875" customWidth="1"/>
    <col min="5" max="5" width="10.875" customWidth="1"/>
  </cols>
  <sheetData>
    <row r="1" spans="1:7">
      <c r="A1" t="s">
        <v>0</v>
      </c>
      <c r="B1">
        <v>50383</v>
      </c>
      <c r="C1" t="s">
        <v>1</v>
      </c>
      <c r="D1">
        <v>731</v>
      </c>
    </row>
    <row r="2" spans="1:7">
      <c r="A2" t="s">
        <v>2</v>
      </c>
      <c r="B2" s="24">
        <v>7.0938400000000002E-10</v>
      </c>
    </row>
    <row r="3" spans="1:7">
      <c r="A3" t="s">
        <v>3</v>
      </c>
      <c r="B3" s="11">
        <v>-7.8899000000000005E-5</v>
      </c>
    </row>
    <row r="4" spans="1:7">
      <c r="A4" t="s">
        <v>4</v>
      </c>
      <c r="B4" s="11">
        <v>0.64366168999999995</v>
      </c>
    </row>
    <row r="5" spans="1:7">
      <c r="A5" t="s">
        <v>5</v>
      </c>
      <c r="B5" s="11">
        <v>-9.1291600000000005E-4</v>
      </c>
    </row>
    <row r="6" spans="1:7">
      <c r="A6" t="s">
        <v>6</v>
      </c>
      <c r="B6" t="s">
        <v>7</v>
      </c>
      <c r="C6" t="s">
        <v>8</v>
      </c>
      <c r="D6" t="s">
        <v>9</v>
      </c>
      <c r="E6" t="s">
        <v>10</v>
      </c>
      <c r="F6" t="s">
        <v>11</v>
      </c>
      <c r="G6" t="s">
        <v>12</v>
      </c>
    </row>
    <row r="7" spans="1:7">
      <c r="A7" s="7">
        <v>42616</v>
      </c>
      <c r="B7" s="1">
        <v>0.64583333333333337</v>
      </c>
      <c r="C7" s="2">
        <v>8820</v>
      </c>
      <c r="D7" s="2">
        <v>14.7</v>
      </c>
      <c r="E7" s="3">
        <f>($B$2*C7^2+$B$3*C7+$B$4)-$B$5*D7</f>
        <v>1.6377059081599983E-2</v>
      </c>
      <c r="G7" t="s">
        <v>13</v>
      </c>
    </row>
    <row r="8" spans="1:7">
      <c r="A8" s="7">
        <v>42630</v>
      </c>
      <c r="B8" s="1">
        <v>0.6875</v>
      </c>
      <c r="C8" s="2">
        <v>8742</v>
      </c>
      <c r="D8" s="2">
        <v>14.1</v>
      </c>
      <c r="E8" s="3">
        <f>($B$2*C8^2+$B$3*C8+$B$4)-$B$5*D8-$E$7</f>
        <v>4.6346326589759394E-3</v>
      </c>
      <c r="F8" s="4">
        <f>$D$1+102*E8</f>
        <v>731.47273253121557</v>
      </c>
      <c r="G8" s="5" t="s">
        <v>14</v>
      </c>
    </row>
    <row r="9" spans="1:7">
      <c r="A9" s="7">
        <v>42631</v>
      </c>
      <c r="B9" s="9">
        <v>0.33333333333333331</v>
      </c>
      <c r="C9" s="2">
        <v>8735.9</v>
      </c>
      <c r="D9" s="2">
        <v>13.7</v>
      </c>
      <c r="E9" s="3">
        <f t="shared" ref="E9:E32" si="0">($B$2*C9^2+$B$3*C9+$B$4)-$B$5*D9-$E$7</f>
        <v>4.6751190490330469E-3</v>
      </c>
      <c r="F9" s="4">
        <f t="shared" ref="F9:F41" si="1">$D$1+102*E9</f>
        <v>731.47686214300143</v>
      </c>
    </row>
    <row r="10" spans="1:7">
      <c r="A10" s="7">
        <v>42632</v>
      </c>
      <c r="B10" s="9">
        <v>0.33333333333333331</v>
      </c>
      <c r="C10" s="2">
        <v>8714.2999999999993</v>
      </c>
      <c r="D10" s="2">
        <v>10.7</v>
      </c>
      <c r="E10" s="3">
        <f t="shared" si="0"/>
        <v>3.3732053672141382E-3</v>
      </c>
      <c r="F10" s="4">
        <f t="shared" si="1"/>
        <v>731.34406694745587</v>
      </c>
    </row>
    <row r="11" spans="1:7">
      <c r="A11" s="7">
        <v>42633</v>
      </c>
      <c r="B11" s="9">
        <v>0.33333333333333331</v>
      </c>
      <c r="C11" s="2">
        <v>8690.7000000000007</v>
      </c>
      <c r="D11" s="2">
        <v>14</v>
      </c>
      <c r="E11" s="3">
        <f t="shared" si="0"/>
        <v>7.956459414141942E-3</v>
      </c>
      <c r="F11" s="4">
        <f t="shared" si="1"/>
        <v>731.81155886024249</v>
      </c>
    </row>
    <row r="12" spans="1:7">
      <c r="A12" s="7">
        <v>42634</v>
      </c>
      <c r="B12" s="9">
        <v>0.33333333333333331</v>
      </c>
      <c r="C12" s="2">
        <v>8680.9</v>
      </c>
      <c r="D12" s="2">
        <v>16.7</v>
      </c>
      <c r="E12" s="3">
        <f t="shared" si="0"/>
        <v>1.1073776090216897E-2</v>
      </c>
      <c r="F12" s="4">
        <f t="shared" si="1"/>
        <v>732.12952516120208</v>
      </c>
    </row>
    <row r="13" spans="1:7">
      <c r="A13" s="7">
        <v>42635</v>
      </c>
      <c r="B13" s="9">
        <v>0.33333333333333331</v>
      </c>
      <c r="C13" s="2">
        <v>8534.2999999999993</v>
      </c>
      <c r="D13" s="2">
        <v>21</v>
      </c>
      <c r="E13" s="3">
        <f t="shared" si="0"/>
        <v>2.4775601611982237E-2</v>
      </c>
      <c r="F13" s="4">
        <f t="shared" si="1"/>
        <v>733.52711136442224</v>
      </c>
    </row>
    <row r="14" spans="1:7">
      <c r="A14" s="7">
        <v>42636</v>
      </c>
      <c r="B14" s="9">
        <v>0.33333333333333331</v>
      </c>
      <c r="C14" s="2">
        <v>8491.9</v>
      </c>
      <c r="D14" s="2">
        <v>23</v>
      </c>
      <c r="E14" s="3">
        <f t="shared" si="0"/>
        <v>2.943463918428417E-2</v>
      </c>
      <c r="F14" s="4">
        <f t="shared" si="1"/>
        <v>734.00233319679694</v>
      </c>
    </row>
    <row r="15" spans="1:7">
      <c r="A15" s="7">
        <v>42653</v>
      </c>
      <c r="B15" s="9">
        <v>0.33333333333333331</v>
      </c>
      <c r="C15" s="2">
        <v>8181.5</v>
      </c>
      <c r="D15" s="2">
        <v>12.5</v>
      </c>
      <c r="E15" s="3">
        <f t="shared" si="0"/>
        <v>4.0667908259473924E-2</v>
      </c>
      <c r="F15" s="4">
        <f t="shared" si="1"/>
        <v>735.14812664246631</v>
      </c>
    </row>
    <row r="16" spans="1:7">
      <c r="A16" s="7">
        <v>42855</v>
      </c>
      <c r="B16" s="9">
        <v>0.33333333333333331</v>
      </c>
      <c r="C16" s="2">
        <v>7885.4</v>
      </c>
      <c r="D16" s="2">
        <v>6.1</v>
      </c>
      <c r="E16" s="3">
        <f t="shared" si="0"/>
        <v>5.4812409869573399E-2</v>
      </c>
      <c r="F16" s="4">
        <f t="shared" si="1"/>
        <v>736.59086580669646</v>
      </c>
    </row>
    <row r="17" spans="1:7">
      <c r="A17" s="7">
        <v>42865</v>
      </c>
      <c r="B17" s="9">
        <v>0.33333333333333331</v>
      </c>
      <c r="C17" s="2">
        <v>7774.8</v>
      </c>
      <c r="D17" s="2">
        <v>6.2</v>
      </c>
      <c r="E17" s="3">
        <f t="shared" si="0"/>
        <v>6.240126492753522E-2</v>
      </c>
      <c r="F17" s="4">
        <f t="shared" si="1"/>
        <v>737.36492902260864</v>
      </c>
      <c r="G17" s="5"/>
    </row>
    <row r="18" spans="1:7">
      <c r="A18" s="7">
        <v>42875</v>
      </c>
      <c r="B18" s="1">
        <v>0.33333333333333331</v>
      </c>
      <c r="C18" s="2">
        <v>7860.8</v>
      </c>
      <c r="D18" s="2">
        <v>6.3</v>
      </c>
      <c r="E18" s="3">
        <f t="shared" si="0"/>
        <v>5.6661123951989696E-2</v>
      </c>
      <c r="F18" s="4">
        <f t="shared" si="1"/>
        <v>736.77943464310295</v>
      </c>
    </row>
    <row r="19" spans="1:7">
      <c r="A19" s="7">
        <v>42885</v>
      </c>
      <c r="B19" s="1">
        <v>0.33333333333333331</v>
      </c>
      <c r="C19" s="2">
        <v>7904.4</v>
      </c>
      <c r="D19" s="2">
        <v>6.7</v>
      </c>
      <c r="E19" s="3">
        <f t="shared" si="0"/>
        <v>5.4073898067754193E-2</v>
      </c>
      <c r="F19" s="4">
        <f t="shared" si="1"/>
        <v>736.51553760291097</v>
      </c>
    </row>
    <row r="20" spans="1:7">
      <c r="A20" s="7">
        <v>42896</v>
      </c>
      <c r="B20" s="1">
        <v>0.33333333333333331</v>
      </c>
      <c r="C20" s="2">
        <v>7902.5</v>
      </c>
      <c r="D20" s="2">
        <v>7</v>
      </c>
      <c r="E20" s="3">
        <f t="shared" si="0"/>
        <v>5.4476375960049984E-2</v>
      </c>
      <c r="F20" s="4">
        <f t="shared" si="1"/>
        <v>736.55659034792507</v>
      </c>
      <c r="G20" s="2"/>
    </row>
    <row r="21" spans="1:7">
      <c r="A21" s="7">
        <v>42906</v>
      </c>
      <c r="B21" s="1">
        <v>0.33333333333333331</v>
      </c>
      <c r="C21" s="2">
        <v>7887.7</v>
      </c>
      <c r="D21" s="2">
        <v>7.4</v>
      </c>
      <c r="E21" s="3">
        <f t="shared" si="0"/>
        <v>5.5843468094545302E-2</v>
      </c>
      <c r="F21" s="4">
        <f t="shared" si="1"/>
        <v>736.6960337456436</v>
      </c>
      <c r="G21" s="2"/>
    </row>
    <row r="22" spans="1:7">
      <c r="A22" s="7">
        <v>42926</v>
      </c>
      <c r="B22" s="1">
        <v>0.33333333333333331</v>
      </c>
      <c r="C22" s="2">
        <v>7933.9</v>
      </c>
      <c r="D22" s="2">
        <v>9.1</v>
      </c>
      <c r="E22" s="3">
        <f t="shared" si="0"/>
        <v>5.4268821347666606E-2</v>
      </c>
      <c r="F22" s="4">
        <f t="shared" si="1"/>
        <v>736.53541977746204</v>
      </c>
    </row>
    <row r="23" spans="1:7">
      <c r="A23" s="7">
        <v>42936</v>
      </c>
      <c r="B23" s="1">
        <v>0.33333333333333331</v>
      </c>
      <c r="C23" s="2">
        <v>7939.1</v>
      </c>
      <c r="D23" s="2">
        <v>9.6999999999999993</v>
      </c>
      <c r="E23" s="3">
        <f t="shared" si="0"/>
        <v>5.4464848419272953E-2</v>
      </c>
      <c r="F23" s="4">
        <f t="shared" si="1"/>
        <v>736.55541453876583</v>
      </c>
    </row>
    <row r="24" spans="1:7">
      <c r="A24" s="7">
        <v>42946</v>
      </c>
      <c r="B24" s="1">
        <v>0.33333333333333331</v>
      </c>
      <c r="C24" s="2">
        <v>7954.8</v>
      </c>
      <c r="D24" s="2">
        <v>10.3</v>
      </c>
      <c r="E24" s="3">
        <f t="shared" si="0"/>
        <v>5.3950899309487273E-2</v>
      </c>
      <c r="F24" s="4">
        <f t="shared" si="1"/>
        <v>736.50299172956773</v>
      </c>
    </row>
    <row r="25" spans="1:7">
      <c r="A25" s="6">
        <v>42957</v>
      </c>
      <c r="B25" s="1">
        <v>0.33333333333333331</v>
      </c>
      <c r="C25" s="2">
        <v>7942.7</v>
      </c>
      <c r="D25" s="2">
        <v>11</v>
      </c>
      <c r="E25" s="3">
        <f t="shared" si="0"/>
        <v>5.5408161480593333E-2</v>
      </c>
      <c r="F25" s="4">
        <f t="shared" si="1"/>
        <v>736.65163247102055</v>
      </c>
    </row>
    <row r="26" spans="1:7">
      <c r="A26" s="7">
        <v>42967</v>
      </c>
      <c r="B26" s="1">
        <v>0.33333333333333331</v>
      </c>
      <c r="C26" s="2">
        <v>7969.4</v>
      </c>
      <c r="D26" s="2">
        <v>11.3</v>
      </c>
      <c r="E26" s="3">
        <f t="shared" si="0"/>
        <v>5.3876816950802174E-2</v>
      </c>
      <c r="F26" s="4">
        <f t="shared" si="1"/>
        <v>736.49543532898178</v>
      </c>
    </row>
    <row r="27" spans="1:7">
      <c r="A27" s="7">
        <v>42977</v>
      </c>
      <c r="B27" s="1">
        <v>0.33333333333333331</v>
      </c>
      <c r="C27" s="2">
        <v>7951.9</v>
      </c>
      <c r="D27" s="2">
        <v>12.1</v>
      </c>
      <c r="E27" s="3">
        <f t="shared" si="0"/>
        <v>5.5790231729916269E-2</v>
      </c>
      <c r="F27" s="4">
        <f t="shared" si="1"/>
        <v>736.69060363645144</v>
      </c>
    </row>
    <row r="28" spans="1:7">
      <c r="A28" s="7">
        <v>42988</v>
      </c>
      <c r="B28" s="1">
        <v>0.33333333333333331</v>
      </c>
      <c r="C28" s="2">
        <v>7951.6</v>
      </c>
      <c r="D28" s="2">
        <v>11.8</v>
      </c>
      <c r="E28" s="3">
        <f t="shared" si="0"/>
        <v>5.5536642123382905E-2</v>
      </c>
      <c r="F28" s="4">
        <f t="shared" si="1"/>
        <v>736.66473749658508</v>
      </c>
    </row>
    <row r="29" spans="1:7">
      <c r="A29" s="7">
        <v>42998</v>
      </c>
      <c r="B29" s="1">
        <v>0.33333333333333331</v>
      </c>
      <c r="C29" s="2">
        <v>7956.9</v>
      </c>
      <c r="D29" s="2">
        <v>11.5</v>
      </c>
      <c r="E29" s="3">
        <f t="shared" si="0"/>
        <v>5.4904414370812109E-2</v>
      </c>
      <c r="F29" s="4">
        <f t="shared" si="1"/>
        <v>736.60025026582287</v>
      </c>
    </row>
    <row r="30" spans="1:7">
      <c r="A30" s="7">
        <v>43008</v>
      </c>
      <c r="B30" s="1">
        <v>0.33333333333333331</v>
      </c>
      <c r="C30" s="2">
        <v>7963.6</v>
      </c>
      <c r="D30" s="2">
        <v>11.4</v>
      </c>
      <c r="E30" s="3">
        <f t="shared" si="0"/>
        <v>5.436016758222454E-2</v>
      </c>
      <c r="F30" s="4">
        <f t="shared" si="1"/>
        <v>736.54473709338686</v>
      </c>
    </row>
    <row r="31" spans="1:7">
      <c r="A31" s="7">
        <v>43018</v>
      </c>
      <c r="B31" s="1">
        <v>0.33333333333333331</v>
      </c>
      <c r="C31" s="2">
        <v>7955.7</v>
      </c>
      <c r="D31" s="2">
        <v>11.2</v>
      </c>
      <c r="E31" s="3">
        <f t="shared" si="0"/>
        <v>5.4711672598206092E-2</v>
      </c>
      <c r="F31" s="4">
        <f t="shared" si="1"/>
        <v>736.58059060501705</v>
      </c>
    </row>
    <row r="32" spans="1:7">
      <c r="A32" s="7">
        <v>43230</v>
      </c>
      <c r="B32" s="1">
        <v>0.33333333333333331</v>
      </c>
      <c r="C32" s="2">
        <v>7903.5</v>
      </c>
      <c r="D32" s="2">
        <v>6.4</v>
      </c>
      <c r="E32" s="3">
        <f t="shared" si="0"/>
        <v>5.386093988355397E-2</v>
      </c>
      <c r="F32" s="4">
        <f t="shared" si="1"/>
        <v>736.49381586812251</v>
      </c>
    </row>
    <row r="33" spans="1:6">
      <c r="A33" s="7">
        <v>43240</v>
      </c>
      <c r="B33" s="1">
        <v>0.33333333333333331</v>
      </c>
      <c r="C33" s="2">
        <v>7913.4</v>
      </c>
      <c r="D33" s="2">
        <v>6.7</v>
      </c>
      <c r="E33" s="3">
        <f>($B$2*C33^2+$B$3*C33+$B$4)-$B$5*D33-$E$7</f>
        <v>5.3464795115870982E-2</v>
      </c>
      <c r="F33" s="4">
        <f t="shared" si="1"/>
        <v>736.45340910181881</v>
      </c>
    </row>
    <row r="34" spans="1:6">
      <c r="A34" s="7">
        <v>43250</v>
      </c>
      <c r="B34" s="1">
        <v>0.33333333333333331</v>
      </c>
      <c r="C34" s="2">
        <v>7908</v>
      </c>
      <c r="D34" s="2">
        <v>7.1</v>
      </c>
      <c r="E34" s="3">
        <f>($B$2*C34^2+$B$3*C34+$B$4)-$B$5*D34-$E$7</f>
        <v>5.4195409496575912E-2</v>
      </c>
      <c r="F34" s="4">
        <f t="shared" si="1"/>
        <v>736.52793176865077</v>
      </c>
    </row>
    <row r="35" spans="1:6">
      <c r="A35" s="7">
        <v>43261</v>
      </c>
      <c r="B35" s="1">
        <v>0.33333333333333331</v>
      </c>
      <c r="C35" s="2">
        <v>7874.1</v>
      </c>
      <c r="D35" s="2">
        <v>7.8</v>
      </c>
      <c r="E35" s="3">
        <f>($B$2*C35^2+$B$3*C35+$B$4)-$B$5*D35-$E$7</f>
        <v>5.7129596999800934E-2</v>
      </c>
      <c r="F35" s="4">
        <f t="shared" si="1"/>
        <v>736.82721889397965</v>
      </c>
    </row>
    <row r="36" spans="1:6">
      <c r="A36" s="7">
        <v>43271</v>
      </c>
      <c r="B36" s="1">
        <v>0.33333333333333331</v>
      </c>
      <c r="C36" s="2">
        <v>7735.4</v>
      </c>
      <c r="D36" s="2">
        <v>8.9</v>
      </c>
      <c r="E36" s="3">
        <f>($B$2*C36^2+$B$3*C36+$B$4)-$B$5*D36-$E$7</f>
        <v>6.7541252831493426E-2</v>
      </c>
      <c r="F36" s="4">
        <f t="shared" si="1"/>
        <v>737.88920778881231</v>
      </c>
    </row>
    <row r="37" spans="1:6">
      <c r="A37" s="7">
        <v>43281</v>
      </c>
      <c r="B37" s="1">
        <v>0.33333333333333331</v>
      </c>
      <c r="C37" s="2">
        <v>7785</v>
      </c>
      <c r="D37" s="2">
        <v>9</v>
      </c>
      <c r="E37" s="3">
        <f>($B$2*C37^2+$B$3*C37+$B$4)-$B$5*D37-$E$7</f>
        <v>6.4265246233799866E-2</v>
      </c>
      <c r="F37" s="4">
        <f t="shared" si="1"/>
        <v>737.55505511584761</v>
      </c>
    </row>
    <row r="38" spans="1:6">
      <c r="A38" s="7">
        <v>43291</v>
      </c>
      <c r="B38" s="1">
        <v>0.33333333333333331</v>
      </c>
      <c r="C38" s="2">
        <v>7899.2</v>
      </c>
      <c r="D38" s="2">
        <v>9.6999999999999993</v>
      </c>
      <c r="E38" s="3">
        <f t="shared" ref="E38:E41" si="2">($B$2*C38^2+$B$3*C38+$B$4)-$B$5*D38-$E$7</f>
        <v>5.7164624598645623E-2</v>
      </c>
      <c r="F38" s="4">
        <f t="shared" si="1"/>
        <v>736.83079170906183</v>
      </c>
    </row>
    <row r="39" spans="1:6">
      <c r="A39" s="7">
        <v>43301</v>
      </c>
      <c r="B39" s="1">
        <v>0.33333333333333331</v>
      </c>
      <c r="C39" s="2">
        <v>7882.8</v>
      </c>
      <c r="D39" s="2">
        <v>7.7</v>
      </c>
      <c r="E39" s="3">
        <f t="shared" si="2"/>
        <v>5.6449130026722492E-2</v>
      </c>
      <c r="F39" s="4">
        <f t="shared" si="1"/>
        <v>736.75781126272568</v>
      </c>
    </row>
    <row r="40" spans="1:6">
      <c r="A40" s="7">
        <v>43311</v>
      </c>
      <c r="B40" s="1">
        <v>0.33333333333333331</v>
      </c>
      <c r="C40" s="2">
        <v>7886.5</v>
      </c>
      <c r="D40" s="2">
        <v>10.1</v>
      </c>
      <c r="E40" s="3">
        <f t="shared" si="2"/>
        <v>5.8389592136434E-2</v>
      </c>
      <c r="F40" s="4">
        <f t="shared" si="1"/>
        <v>736.95573839791632</v>
      </c>
    </row>
    <row r="41" spans="1:6">
      <c r="A41" s="7">
        <v>43322</v>
      </c>
      <c r="B41" s="1">
        <v>0.33333333333333331</v>
      </c>
      <c r="C41" s="2">
        <v>7846.5</v>
      </c>
      <c r="D41" s="2">
        <v>10.7</v>
      </c>
      <c r="E41" s="3">
        <f t="shared" si="2"/>
        <v>6.1646872197553874E-2</v>
      </c>
      <c r="F41" s="4">
        <f t="shared" si="1"/>
        <v>737.28798096415051</v>
      </c>
    </row>
    <row r="42" spans="1:6">
      <c r="A42" s="7">
        <v>43332</v>
      </c>
      <c r="B42" s="1">
        <v>0.33333333333333331</v>
      </c>
      <c r="C42" s="2">
        <v>7879.7</v>
      </c>
      <c r="D42" s="2">
        <v>10.6</v>
      </c>
      <c r="E42" s="3">
        <f t="shared" ref="E42:E59" si="3">($B$2*C42^2+$B$3*C42+$B$4)-$B$5*D42-$E$7</f>
        <v>5.9306510164292496E-2</v>
      </c>
      <c r="F42" s="4">
        <f t="shared" ref="F42:F59" si="4">$D$1+102*E42</f>
        <v>737.04926403675779</v>
      </c>
    </row>
    <row r="43" spans="1:6">
      <c r="A43" s="7">
        <v>43342</v>
      </c>
      <c r="B43" s="1">
        <v>0.33333333333333331</v>
      </c>
      <c r="C43" s="2">
        <v>7801.7</v>
      </c>
      <c r="D43" s="2">
        <v>10.9</v>
      </c>
      <c r="E43" s="3">
        <f t="shared" si="3"/>
        <v>6.4866824492199687E-2</v>
      </c>
      <c r="F43" s="4">
        <f t="shared" si="4"/>
        <v>737.61641609820435</v>
      </c>
    </row>
    <row r="44" spans="1:6">
      <c r="A44" s="7">
        <v>43353</v>
      </c>
      <c r="B44" s="1">
        <v>0.33333333333333331</v>
      </c>
      <c r="C44" s="2">
        <v>7755.7</v>
      </c>
      <c r="D44" s="2">
        <v>11.2</v>
      </c>
      <c r="E44" s="3">
        <f t="shared" si="3"/>
        <v>6.8262389442686144E-2</v>
      </c>
      <c r="F44" s="4">
        <f t="shared" si="4"/>
        <v>737.96276372315401</v>
      </c>
    </row>
    <row r="45" spans="1:6">
      <c r="A45" s="7">
        <v>43363</v>
      </c>
      <c r="B45" s="1">
        <v>0.33333333333333331</v>
      </c>
      <c r="C45" s="2">
        <v>7824.7</v>
      </c>
      <c r="D45" s="2">
        <v>11</v>
      </c>
      <c r="E45" s="3">
        <f t="shared" si="3"/>
        <v>6.3398396809364516E-2</v>
      </c>
      <c r="F45" s="4">
        <f t="shared" si="4"/>
        <v>737.46663647455523</v>
      </c>
    </row>
    <row r="46" spans="1:6">
      <c r="A46" s="7">
        <v>43373</v>
      </c>
      <c r="B46" s="1">
        <v>0.33333333333333331</v>
      </c>
      <c r="C46" s="2">
        <v>7842.3</v>
      </c>
      <c r="D46" s="2">
        <v>10.7</v>
      </c>
      <c r="E46" s="3">
        <f t="shared" si="3"/>
        <v>6.1931504586017198E-2</v>
      </c>
      <c r="F46" s="4">
        <f t="shared" si="4"/>
        <v>737.31701346777379</v>
      </c>
    </row>
    <row r="47" spans="1:6">
      <c r="A47" s="7">
        <v>43383</v>
      </c>
      <c r="B47" s="1">
        <v>0.33333333333333331</v>
      </c>
      <c r="C47" s="2">
        <v>7847.2</v>
      </c>
      <c r="D47" s="2">
        <v>10.4</v>
      </c>
      <c r="E47" s="3">
        <f t="shared" si="3"/>
        <v>6.1325561099330426E-2</v>
      </c>
      <c r="F47" s="4">
        <f t="shared" si="4"/>
        <v>737.25520723213174</v>
      </c>
    </row>
    <row r="48" spans="1:6">
      <c r="A48" s="7">
        <v>43393</v>
      </c>
      <c r="B48" s="1">
        <v>0.33333333333333331</v>
      </c>
      <c r="C48" s="2">
        <v>7851.3</v>
      </c>
      <c r="D48" s="2">
        <v>9.8000000000000007</v>
      </c>
      <c r="E48" s="3">
        <f t="shared" si="3"/>
        <v>6.0499984284698875E-2</v>
      </c>
      <c r="F48" s="4">
        <f t="shared" si="4"/>
        <v>737.17099839703928</v>
      </c>
    </row>
    <row r="49" spans="1:6">
      <c r="A49" s="7">
        <v>43605</v>
      </c>
      <c r="B49" s="1">
        <v>0.33333333333333331</v>
      </c>
      <c r="C49" s="2">
        <v>7887.1</v>
      </c>
      <c r="D49" s="2">
        <v>9.9</v>
      </c>
      <c r="E49" s="3">
        <f t="shared" si="3"/>
        <v>5.8166383260111428E-2</v>
      </c>
      <c r="F49" s="4">
        <f t="shared" si="4"/>
        <v>736.93297109253137</v>
      </c>
    </row>
    <row r="50" spans="1:6">
      <c r="A50" s="7">
        <v>43615</v>
      </c>
      <c r="B50" s="1">
        <v>0.33333333333333331</v>
      </c>
      <c r="C50" s="2">
        <v>7887.5</v>
      </c>
      <c r="D50" s="2">
        <v>10.199999999999999</v>
      </c>
      <c r="E50" s="3">
        <f t="shared" si="3"/>
        <v>5.8413174559649887E-2</v>
      </c>
      <c r="F50" s="4">
        <f t="shared" si="4"/>
        <v>736.95814380508432</v>
      </c>
    </row>
    <row r="51" spans="1:6">
      <c r="A51" s="7">
        <v>43626</v>
      </c>
      <c r="B51" s="1">
        <v>0.33333333333333331</v>
      </c>
      <c r="C51" s="2">
        <v>7888.2</v>
      </c>
      <c r="D51" s="2">
        <v>10.4</v>
      </c>
      <c r="E51" s="3">
        <f t="shared" si="3"/>
        <v>5.8548362180068113E-2</v>
      </c>
      <c r="F51" s="4">
        <f t="shared" si="4"/>
        <v>736.97193294236695</v>
      </c>
    </row>
    <row r="52" spans="1:6">
      <c r="A52" s="7">
        <v>43636</v>
      </c>
      <c r="B52" s="1">
        <v>0.33333333333333331</v>
      </c>
      <c r="C52" s="2">
        <v>7889.1</v>
      </c>
      <c r="D52" s="2">
        <v>10.5</v>
      </c>
      <c r="E52" s="3">
        <f t="shared" si="3"/>
        <v>5.8578717627832989E-2</v>
      </c>
      <c r="F52" s="4">
        <f t="shared" si="4"/>
        <v>736.97502919803901</v>
      </c>
    </row>
    <row r="53" spans="1:6">
      <c r="A53" s="7">
        <v>43646</v>
      </c>
      <c r="B53" s="1">
        <v>0.33333333333333331</v>
      </c>
      <c r="C53" s="2">
        <v>7875.3</v>
      </c>
      <c r="D53" s="2">
        <v>10.5</v>
      </c>
      <c r="E53" s="3">
        <f t="shared" si="3"/>
        <v>5.9513198246644507E-2</v>
      </c>
      <c r="F53" s="4">
        <f t="shared" si="4"/>
        <v>737.07034622115771</v>
      </c>
    </row>
    <row r="54" spans="1:6">
      <c r="A54" s="7">
        <v>43656</v>
      </c>
      <c r="B54" s="1">
        <v>0.33333333333333331</v>
      </c>
      <c r="C54" s="2">
        <v>7856.1</v>
      </c>
      <c r="D54" s="2">
        <v>10.4</v>
      </c>
      <c r="E54" s="3">
        <f t="shared" si="3"/>
        <v>6.0722503060258524E-2</v>
      </c>
      <c r="F54" s="4">
        <f t="shared" si="4"/>
        <v>737.19369531214636</v>
      </c>
    </row>
    <row r="55" spans="1:6">
      <c r="A55" s="7">
        <v>43666</v>
      </c>
      <c r="B55" s="1">
        <v>0.33333333333333331</v>
      </c>
      <c r="C55" s="2">
        <v>7839.2</v>
      </c>
      <c r="D55" s="2">
        <v>10.4</v>
      </c>
      <c r="E55" s="3">
        <f t="shared" si="3"/>
        <v>6.1867731649909684E-2</v>
      </c>
      <c r="F55" s="4">
        <f t="shared" si="4"/>
        <v>737.31050862829079</v>
      </c>
    </row>
    <row r="56" spans="1:6">
      <c r="A56" s="7">
        <v>43676</v>
      </c>
      <c r="B56" s="1">
        <v>0.33333333333333331</v>
      </c>
      <c r="C56" s="2">
        <v>7808.3</v>
      </c>
      <c r="D56" s="2">
        <v>10.199999999999999</v>
      </c>
      <c r="E56" s="3">
        <f t="shared" si="3"/>
        <v>6.3780134888183682E-2</v>
      </c>
      <c r="F56" s="4">
        <f t="shared" si="4"/>
        <v>737.50557375859478</v>
      </c>
    </row>
    <row r="57" spans="1:6">
      <c r="A57" s="7">
        <v>43687</v>
      </c>
      <c r="B57" s="1">
        <v>0.33333333333333331</v>
      </c>
      <c r="C57" s="2">
        <v>7796.5</v>
      </c>
      <c r="D57" s="2">
        <v>10.199999999999999</v>
      </c>
      <c r="E57" s="3">
        <f t="shared" si="3"/>
        <v>6.4580519501953981E-2</v>
      </c>
      <c r="F57" s="4">
        <f t="shared" si="4"/>
        <v>737.58721298919932</v>
      </c>
    </row>
    <row r="58" spans="1:6">
      <c r="A58" s="7">
        <v>43697</v>
      </c>
      <c r="B58" s="1">
        <v>0.33333333333333331</v>
      </c>
      <c r="C58" s="2">
        <v>7753.2</v>
      </c>
      <c r="D58" s="2">
        <v>10</v>
      </c>
      <c r="E58" s="3">
        <f t="shared" si="3"/>
        <v>6.7336633328892143E-2</v>
      </c>
      <c r="F58" s="4">
        <f t="shared" si="4"/>
        <v>737.86833659954698</v>
      </c>
    </row>
    <row r="59" spans="1:6">
      <c r="A59" s="7">
        <v>43707</v>
      </c>
      <c r="B59" s="1">
        <v>0.33333333333333331</v>
      </c>
      <c r="C59" s="2">
        <v>7718.4</v>
      </c>
      <c r="D59" s="2">
        <v>10</v>
      </c>
      <c r="E59" s="3">
        <f t="shared" si="3"/>
        <v>6.9700377897686988E-2</v>
      </c>
      <c r="F59" s="4">
        <f t="shared" si="4"/>
        <v>738.1094385455641</v>
      </c>
    </row>
  </sheetData>
  <phoneticPr fontId="5" type="noConversion"/>
  <pageMargins left="0.69930555555555596" right="0.69930555555555596" top="0.75" bottom="0.75" header="0.3" footer="0.3"/>
  <pageSetup paperSize="9" orientation="portrait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3"/>
  <sheetViews>
    <sheetView topLeftCell="A38" workbookViewId="0">
      <selection activeCell="A57" sqref="A57:B63"/>
    </sheetView>
  </sheetViews>
  <sheetFormatPr defaultColWidth="9" defaultRowHeight="13.5"/>
  <cols>
    <col min="1" max="1" width="11.125" customWidth="1"/>
    <col min="2" max="2" width="13.875" customWidth="1"/>
    <col min="5" max="5" width="10.875" customWidth="1"/>
  </cols>
  <sheetData>
    <row r="1" spans="1:7">
      <c r="A1" t="s">
        <v>0</v>
      </c>
      <c r="B1">
        <v>50411</v>
      </c>
      <c r="C1" t="s">
        <v>1</v>
      </c>
      <c r="D1">
        <v>735</v>
      </c>
      <c r="E1" s="5" t="s">
        <v>23</v>
      </c>
    </row>
    <row r="2" spans="1:7">
      <c r="A2" t="s">
        <v>2</v>
      </c>
      <c r="B2" s="10">
        <v>4.4576600000000002E-10</v>
      </c>
    </row>
    <row r="3" spans="1:7">
      <c r="A3" t="s">
        <v>3</v>
      </c>
      <c r="B3">
        <v>-8.4578000000000002E-5</v>
      </c>
    </row>
    <row r="4" spans="1:7">
      <c r="A4" t="s">
        <v>4</v>
      </c>
      <c r="B4">
        <v>0.73675857</v>
      </c>
    </row>
    <row r="5" spans="1:7">
      <c r="A5" t="s">
        <v>5</v>
      </c>
      <c r="B5">
        <v>-1.114535E-3</v>
      </c>
    </row>
    <row r="6" spans="1:7">
      <c r="A6" t="s">
        <v>6</v>
      </c>
      <c r="B6" t="s">
        <v>7</v>
      </c>
      <c r="C6" t="s">
        <v>8</v>
      </c>
      <c r="D6" t="s">
        <v>9</v>
      </c>
      <c r="E6" t="s">
        <v>10</v>
      </c>
      <c r="F6" t="s">
        <v>11</v>
      </c>
      <c r="G6" t="s">
        <v>12</v>
      </c>
    </row>
    <row r="7" spans="1:7">
      <c r="A7" s="7">
        <v>42589</v>
      </c>
      <c r="B7" s="1">
        <v>0.64583333333333304</v>
      </c>
      <c r="C7" s="2">
        <v>9133.9</v>
      </c>
      <c r="D7" s="2">
        <v>17.8</v>
      </c>
      <c r="E7" s="3">
        <f>($B$2*C7^2+$B$3*C7+$B$4)-$B$5*D7</f>
        <v>2.1259722245424828E-2</v>
      </c>
      <c r="G7" t="s">
        <v>13</v>
      </c>
    </row>
    <row r="8" spans="1:7">
      <c r="A8" s="7">
        <v>42590</v>
      </c>
      <c r="B8" s="1">
        <v>0.45138888888888901</v>
      </c>
      <c r="C8" s="2">
        <v>9054</v>
      </c>
      <c r="D8" s="2">
        <v>14.7</v>
      </c>
      <c r="E8" s="3">
        <f t="shared" ref="E8:E36" si="0">($B$2*C8^2+$B$3*C8+$B$4)-$B$5*D8-$E$7</f>
        <v>2.6549306602310849E-3</v>
      </c>
      <c r="F8" s="4">
        <f>$D$1+102*E8</f>
        <v>735.27080292734354</v>
      </c>
      <c r="G8" s="5" t="s">
        <v>14</v>
      </c>
    </row>
    <row r="9" spans="1:7">
      <c r="A9" s="7">
        <v>42591</v>
      </c>
      <c r="B9" s="1">
        <v>0.33333333333333298</v>
      </c>
      <c r="C9" s="2">
        <v>9014.2000000000007</v>
      </c>
      <c r="D9" s="2">
        <v>24.6</v>
      </c>
      <c r="E9" s="3">
        <f t="shared" si="0"/>
        <v>1.673447482843135E-2</v>
      </c>
      <c r="F9" s="4">
        <f t="shared" ref="F9:F45" si="1">$D$1+102*E9</f>
        <v>736.70691643249995</v>
      </c>
    </row>
    <row r="10" spans="1:7">
      <c r="A10" s="7">
        <v>42592</v>
      </c>
      <c r="B10" s="1">
        <v>0.33333333333333298</v>
      </c>
      <c r="C10" s="2">
        <v>9103.7000000000007</v>
      </c>
      <c r="D10" s="2">
        <v>26.3</v>
      </c>
      <c r="E10" s="3">
        <f t="shared" si="0"/>
        <v>1.1782286099551717E-2</v>
      </c>
      <c r="F10" s="4">
        <f t="shared" si="1"/>
        <v>736.20179318215423</v>
      </c>
    </row>
    <row r="11" spans="1:7">
      <c r="A11" s="7">
        <v>42593</v>
      </c>
      <c r="B11" s="1">
        <v>0.33333333333333298</v>
      </c>
      <c r="C11" s="2">
        <v>9165.2999999999993</v>
      </c>
      <c r="D11" s="2">
        <v>28.6</v>
      </c>
      <c r="E11" s="3">
        <f t="shared" si="0"/>
        <v>9.637363661278181E-3</v>
      </c>
      <c r="F11" s="4">
        <f t="shared" si="1"/>
        <v>735.98301109345039</v>
      </c>
    </row>
    <row r="12" spans="1:7">
      <c r="A12" s="7">
        <v>42594</v>
      </c>
      <c r="B12" s="1">
        <v>0.33333333333333298</v>
      </c>
      <c r="C12" s="2">
        <v>9201.7000000000007</v>
      </c>
      <c r="D12" s="2">
        <v>29.7</v>
      </c>
      <c r="E12" s="3">
        <f t="shared" si="0"/>
        <v>8.0827337433187763E-3</v>
      </c>
      <c r="F12" s="4">
        <f t="shared" si="1"/>
        <v>735.82443884181851</v>
      </c>
    </row>
    <row r="13" spans="1:7">
      <c r="A13" s="7">
        <v>42595</v>
      </c>
      <c r="B13" s="1">
        <v>0.33333333333333298</v>
      </c>
      <c r="C13" s="2">
        <v>9264.5</v>
      </c>
      <c r="D13" s="2">
        <v>31.3</v>
      </c>
      <c r="E13" s="3">
        <f t="shared" si="0"/>
        <v>5.0714360813766263E-3</v>
      </c>
      <c r="F13" s="4">
        <f t="shared" si="1"/>
        <v>735.51728648030041</v>
      </c>
    </row>
    <row r="14" spans="1:7">
      <c r="A14" s="7">
        <v>42602</v>
      </c>
      <c r="B14" s="9">
        <v>0.33333333333333298</v>
      </c>
      <c r="C14" s="2">
        <v>9248.4</v>
      </c>
      <c r="D14" s="2">
        <v>29.6</v>
      </c>
      <c r="E14" s="3">
        <f t="shared" si="0"/>
        <v>4.4055683971361836E-3</v>
      </c>
      <c r="F14" s="4">
        <f t="shared" si="1"/>
        <v>735.44936797650792</v>
      </c>
    </row>
    <row r="15" spans="1:7">
      <c r="A15" s="7">
        <v>42612</v>
      </c>
      <c r="B15" s="1">
        <v>0.33333333333333298</v>
      </c>
      <c r="C15" s="2">
        <v>9124.2999999999993</v>
      </c>
      <c r="D15" s="2">
        <v>20.9</v>
      </c>
      <c r="E15" s="3">
        <f t="shared" si="0"/>
        <v>4.1888740061006291E-3</v>
      </c>
      <c r="F15" s="4">
        <f t="shared" si="1"/>
        <v>735.42726514862227</v>
      </c>
    </row>
    <row r="16" spans="1:7">
      <c r="A16" s="7">
        <v>42623</v>
      </c>
      <c r="B16" s="9">
        <v>0.33333333333333298</v>
      </c>
      <c r="C16" s="2">
        <v>9068.5</v>
      </c>
      <c r="D16" s="2">
        <v>16.899999999999999</v>
      </c>
      <c r="E16" s="3">
        <f t="shared" si="0"/>
        <v>3.9976633780886561E-3</v>
      </c>
      <c r="F16" s="4">
        <f t="shared" si="1"/>
        <v>735.40776166456499</v>
      </c>
    </row>
    <row r="17" spans="1:7">
      <c r="A17" s="7">
        <v>42633</v>
      </c>
      <c r="B17" s="1">
        <v>0.33333333333333331</v>
      </c>
      <c r="C17" s="2">
        <v>9042.7000000000007</v>
      </c>
      <c r="D17" s="2">
        <v>14.9</v>
      </c>
      <c r="E17" s="3">
        <f t="shared" si="0"/>
        <v>3.7424131628652768E-3</v>
      </c>
      <c r="F17" s="4">
        <f t="shared" si="1"/>
        <v>735.38172614261225</v>
      </c>
      <c r="G17" s="5"/>
    </row>
    <row r="18" spans="1:7">
      <c r="A18" s="7">
        <v>42643</v>
      </c>
      <c r="B18" s="9">
        <v>0.33333333333333331</v>
      </c>
      <c r="C18" s="2">
        <v>8662.5</v>
      </c>
      <c r="D18" s="2">
        <v>11.9</v>
      </c>
      <c r="E18" s="3">
        <f t="shared" si="0"/>
        <v>2.95546823380127E-2</v>
      </c>
      <c r="F18" s="4">
        <f t="shared" si="1"/>
        <v>738.01457759847733</v>
      </c>
    </row>
    <row r="19" spans="1:7">
      <c r="A19" s="7">
        <v>42653</v>
      </c>
      <c r="B19" s="1">
        <v>0.33333333333333331</v>
      </c>
      <c r="C19" s="2">
        <v>8622.9</v>
      </c>
      <c r="D19" s="2">
        <v>7.5</v>
      </c>
      <c r="E19" s="3">
        <f t="shared" si="0"/>
        <v>2.7694889490803301E-2</v>
      </c>
      <c r="F19" s="4">
        <f t="shared" si="1"/>
        <v>737.82487872806189</v>
      </c>
    </row>
    <row r="20" spans="1:7">
      <c r="A20" s="7">
        <v>42855</v>
      </c>
      <c r="B20" s="1">
        <v>0.33333333333333331</v>
      </c>
      <c r="C20" s="2">
        <v>8584.9</v>
      </c>
      <c r="D20" s="2">
        <v>6.4</v>
      </c>
      <c r="E20" s="3">
        <f t="shared" si="0"/>
        <v>2.9391380208160858E-2</v>
      </c>
      <c r="F20" s="4">
        <f t="shared" si="1"/>
        <v>737.99792078123244</v>
      </c>
      <c r="G20" s="2"/>
    </row>
    <row r="21" spans="1:7">
      <c r="A21" s="7">
        <v>42865</v>
      </c>
      <c r="B21" s="1">
        <v>0.33333333333333331</v>
      </c>
      <c r="C21" s="2">
        <v>8516.4</v>
      </c>
      <c r="D21" s="2">
        <v>7.1</v>
      </c>
      <c r="E21" s="3">
        <f t="shared" si="0"/>
        <v>3.5442960008598534E-2</v>
      </c>
      <c r="F21" s="4">
        <f t="shared" si="1"/>
        <v>738.61518192087703</v>
      </c>
      <c r="G21" s="2"/>
    </row>
    <row r="22" spans="1:7">
      <c r="A22" s="7">
        <v>42875</v>
      </c>
      <c r="B22" s="1">
        <v>0.33333333333333331</v>
      </c>
      <c r="C22" s="2">
        <v>8657.5</v>
      </c>
      <c r="D22" s="2">
        <v>7.7</v>
      </c>
      <c r="E22" s="3">
        <f t="shared" si="0"/>
        <v>2.5257922002412635E-2</v>
      </c>
      <c r="F22" s="4">
        <f t="shared" si="1"/>
        <v>737.57630804424605</v>
      </c>
    </row>
    <row r="23" spans="1:7">
      <c r="A23" s="7">
        <v>42885</v>
      </c>
      <c r="B23" s="1">
        <v>0.33333333333333331</v>
      </c>
      <c r="C23" s="2">
        <v>8687.1</v>
      </c>
      <c r="D23" s="2">
        <v>6.9</v>
      </c>
      <c r="E23" s="3">
        <f t="shared" si="0"/>
        <v>2.2091641538135254E-2</v>
      </c>
      <c r="F23" s="4">
        <f t="shared" si="1"/>
        <v>737.25334743688984</v>
      </c>
    </row>
    <row r="24" spans="1:7">
      <c r="A24" s="7">
        <v>42896</v>
      </c>
      <c r="B24" s="1">
        <v>0.33333333333333331</v>
      </c>
      <c r="C24" s="2">
        <v>8682.2999999999993</v>
      </c>
      <c r="D24" s="2">
        <v>7</v>
      </c>
      <c r="E24" s="3">
        <f t="shared" si="0"/>
        <v>2.2571904535925308E-2</v>
      </c>
      <c r="F24" s="4">
        <f t="shared" si="1"/>
        <v>737.30233426266443</v>
      </c>
    </row>
    <row r="25" spans="1:7">
      <c r="A25" s="6">
        <v>42906</v>
      </c>
      <c r="B25" s="1">
        <v>0.33333333333333331</v>
      </c>
      <c r="C25" s="2">
        <v>8682.6</v>
      </c>
      <c r="D25" s="2">
        <v>8.8000000000000007</v>
      </c>
      <c r="E25" s="3">
        <f t="shared" si="0"/>
        <v>2.4555016340529284E-2</v>
      </c>
      <c r="F25" s="4">
        <f t="shared" si="1"/>
        <v>737.50461166673404</v>
      </c>
    </row>
    <row r="26" spans="1:7">
      <c r="A26" s="7">
        <v>42926</v>
      </c>
      <c r="B26" s="1">
        <v>0.33333333333333331</v>
      </c>
      <c r="C26" s="2">
        <v>8741</v>
      </c>
      <c r="D26" s="2">
        <v>10.5</v>
      </c>
      <c r="E26" s="3">
        <f t="shared" si="0"/>
        <v>2.1963954591621135E-2</v>
      </c>
      <c r="F26" s="4">
        <f t="shared" si="1"/>
        <v>737.24032336834534</v>
      </c>
    </row>
    <row r="27" spans="1:7">
      <c r="A27" s="7">
        <v>42936</v>
      </c>
      <c r="B27" s="1">
        <v>0.33333333333333331</v>
      </c>
      <c r="C27" s="2">
        <v>8740.7999999999993</v>
      </c>
      <c r="D27" s="2">
        <v>10.6</v>
      </c>
      <c r="E27" s="3">
        <f t="shared" si="0"/>
        <v>2.2090765133209532E-2</v>
      </c>
      <c r="F27" s="4">
        <f t="shared" si="1"/>
        <v>737.25325804358738</v>
      </c>
    </row>
    <row r="28" spans="1:7">
      <c r="A28" s="7">
        <v>42946</v>
      </c>
      <c r="B28" s="1">
        <v>0.33333333333333331</v>
      </c>
      <c r="C28" s="2">
        <v>8753.7000000000007</v>
      </c>
      <c r="D28" s="2">
        <v>10.9</v>
      </c>
      <c r="E28" s="3">
        <f t="shared" si="0"/>
        <v>2.1434669480611679E-2</v>
      </c>
      <c r="F28" s="4">
        <f t="shared" si="1"/>
        <v>737.18633628702241</v>
      </c>
    </row>
    <row r="29" spans="1:7">
      <c r="A29" s="7">
        <v>42957</v>
      </c>
      <c r="B29" s="1">
        <v>0.33333333333333331</v>
      </c>
      <c r="C29" s="2">
        <v>8753.7999999999993</v>
      </c>
      <c r="D29" s="2">
        <v>11.1</v>
      </c>
      <c r="E29" s="3">
        <f t="shared" si="0"/>
        <v>2.1649899105436195E-2</v>
      </c>
      <c r="F29" s="4">
        <f t="shared" si="1"/>
        <v>737.20828970875448</v>
      </c>
    </row>
    <row r="30" spans="1:7">
      <c r="A30" s="7">
        <v>42967</v>
      </c>
      <c r="B30" s="1">
        <v>0.33333333333333331</v>
      </c>
      <c r="C30" s="2">
        <v>8755.4</v>
      </c>
      <c r="D30" s="2">
        <v>11.2</v>
      </c>
      <c r="E30" s="3">
        <f t="shared" si="0"/>
        <v>2.163851581511176E-2</v>
      </c>
      <c r="F30" s="4">
        <f t="shared" si="1"/>
        <v>737.20712861314144</v>
      </c>
    </row>
    <row r="31" spans="1:7">
      <c r="A31" s="7">
        <v>42977</v>
      </c>
      <c r="B31" s="1">
        <v>0.33333333333333331</v>
      </c>
      <c r="C31" s="2">
        <v>8726.1</v>
      </c>
      <c r="D31" s="2">
        <v>10.6</v>
      </c>
      <c r="E31" s="3">
        <f t="shared" si="0"/>
        <v>2.3219605326072056E-2</v>
      </c>
      <c r="F31" s="4">
        <f t="shared" si="1"/>
        <v>737.36839974325937</v>
      </c>
    </row>
    <row r="32" spans="1:7">
      <c r="A32" s="7">
        <v>42988</v>
      </c>
      <c r="B32" s="1">
        <v>0.33333333333333331</v>
      </c>
      <c r="C32" s="2">
        <v>8726</v>
      </c>
      <c r="D32" s="2">
        <v>10.6</v>
      </c>
      <c r="E32" s="3">
        <f t="shared" si="0"/>
        <v>2.3227285170791222E-2</v>
      </c>
      <c r="F32" s="4">
        <f t="shared" si="1"/>
        <v>737.36918308742065</v>
      </c>
    </row>
    <row r="33" spans="1:6">
      <c r="A33" s="7">
        <v>42998</v>
      </c>
      <c r="B33" s="1">
        <v>0.33333333333333331</v>
      </c>
      <c r="C33" s="2">
        <v>8730.7999999999993</v>
      </c>
      <c r="D33" s="2">
        <v>10.5</v>
      </c>
      <c r="E33" s="3">
        <f t="shared" si="0"/>
        <v>2.2747209180753444E-2</v>
      </c>
      <c r="F33" s="4">
        <f t="shared" si="1"/>
        <v>737.32021533643683</v>
      </c>
    </row>
    <row r="34" spans="1:6">
      <c r="A34" s="7">
        <v>43008</v>
      </c>
      <c r="B34" s="1">
        <v>0.33333333333333331</v>
      </c>
      <c r="C34" s="2">
        <v>8737.2000000000007</v>
      </c>
      <c r="D34" s="2">
        <v>10.3</v>
      </c>
      <c r="E34" s="3">
        <f t="shared" si="0"/>
        <v>2.2032837479876541E-2</v>
      </c>
      <c r="F34" s="4">
        <f t="shared" si="1"/>
        <v>737.24734942294742</v>
      </c>
    </row>
    <row r="35" spans="1:6">
      <c r="A35" s="7">
        <v>43018</v>
      </c>
      <c r="B35" s="1">
        <v>0.33333333333333331</v>
      </c>
      <c r="C35" s="2">
        <v>8731.6</v>
      </c>
      <c r="D35" s="2">
        <v>10.199999999999999</v>
      </c>
      <c r="E35" s="3">
        <f t="shared" si="0"/>
        <v>2.2351413596112153E-2</v>
      </c>
      <c r="F35" s="4">
        <f t="shared" si="1"/>
        <v>737.27984418680342</v>
      </c>
    </row>
    <row r="36" spans="1:6">
      <c r="A36" s="7">
        <v>43230</v>
      </c>
      <c r="B36" s="1">
        <v>0.33333333333333331</v>
      </c>
      <c r="C36" s="2">
        <v>8677.6</v>
      </c>
      <c r="D36" s="2">
        <v>6.4</v>
      </c>
      <c r="E36" s="3">
        <f t="shared" si="0"/>
        <v>2.2264329405963304E-2</v>
      </c>
      <c r="F36" s="4">
        <f t="shared" si="1"/>
        <v>737.27096159940822</v>
      </c>
    </row>
    <row r="37" spans="1:6">
      <c r="A37" s="7">
        <v>43240</v>
      </c>
      <c r="B37" s="1">
        <v>0.33333333333333331</v>
      </c>
      <c r="C37" s="2">
        <v>8683.7999999999993</v>
      </c>
      <c r="D37" s="2">
        <v>6.4</v>
      </c>
      <c r="E37" s="3">
        <f>($B$2*C37^2+$B$3*C37+$B$4)-$B$5*D37-$E$7</f>
        <v>2.1787928361324219E-2</v>
      </c>
      <c r="F37" s="4">
        <f t="shared" si="1"/>
        <v>737.22236869285507</v>
      </c>
    </row>
    <row r="38" spans="1:6">
      <c r="A38" s="7">
        <v>43250</v>
      </c>
      <c r="B38" s="1">
        <v>0.33333333333333331</v>
      </c>
      <c r="C38" s="2">
        <v>8665.2999999999993</v>
      </c>
      <c r="D38" s="2">
        <v>6.2</v>
      </c>
      <c r="E38" s="3">
        <f>($B$2*C38^2+$B$3*C38+$B$4)-$B$5*D38-$E$7</f>
        <v>2.2986642041478163E-2</v>
      </c>
      <c r="F38" s="4">
        <f t="shared" si="1"/>
        <v>737.34463748823077</v>
      </c>
    </row>
    <row r="39" spans="1:6">
      <c r="A39" s="7">
        <v>43261</v>
      </c>
      <c r="B39" s="1">
        <v>0.33333333333333331</v>
      </c>
      <c r="C39" s="2">
        <v>8607.4</v>
      </c>
      <c r="D39" s="2">
        <v>6.5</v>
      </c>
      <c r="E39" s="3">
        <f>($B$2*C39^2+$B$3*C39+$B$4)-$B$5*D39-$E$7</f>
        <v>2.7772262921201371E-2</v>
      </c>
      <c r="F39" s="4">
        <f t="shared" si="1"/>
        <v>737.83277081796257</v>
      </c>
    </row>
    <row r="40" spans="1:6">
      <c r="A40" s="7">
        <v>43271</v>
      </c>
      <c r="B40" s="1">
        <v>0.33333333333333331</v>
      </c>
      <c r="C40" s="2">
        <v>8420.2999999999993</v>
      </c>
      <c r="D40" s="2">
        <v>8.3000000000000007</v>
      </c>
      <c r="E40" s="3">
        <f>($B$2*C40^2+$B$3*C40+$B$4)-$B$5*D40-$E$7</f>
        <v>4.4182811546926146E-2</v>
      </c>
      <c r="F40" s="4">
        <f t="shared" si="1"/>
        <v>739.5066467777865</v>
      </c>
    </row>
    <row r="41" spans="1:6">
      <c r="A41" s="7">
        <v>43281</v>
      </c>
      <c r="B41" s="1">
        <v>0.33333333333333331</v>
      </c>
      <c r="C41" s="2">
        <v>8503</v>
      </c>
      <c r="D41" s="2">
        <v>6.9</v>
      </c>
      <c r="E41" s="3">
        <f>($B$2*C41^2+$B$3*C41+$B$4)-$B$5*D41-$E$7</f>
        <v>3.6251736832469184E-2</v>
      </c>
      <c r="F41" s="4">
        <f t="shared" si="1"/>
        <v>738.69767715691182</v>
      </c>
    </row>
    <row r="42" spans="1:6">
      <c r="A42" s="7">
        <v>43291</v>
      </c>
      <c r="B42" s="1">
        <v>0.33333333333333331</v>
      </c>
      <c r="C42" s="2">
        <v>8600.7999999999993</v>
      </c>
      <c r="D42" s="2">
        <v>7.4</v>
      </c>
      <c r="E42" s="3">
        <f t="shared" ref="E42:E45" si="2">($B$2*C42^2+$B$3*C42+$B$4)-$B$5*D42-$E$7</f>
        <v>2.9282931740025428E-2</v>
      </c>
      <c r="F42" s="4">
        <f t="shared" si="1"/>
        <v>737.98685903748265</v>
      </c>
    </row>
    <row r="43" spans="1:6">
      <c r="A43" s="7">
        <v>43301</v>
      </c>
      <c r="B43" s="1">
        <v>0.33333333333333331</v>
      </c>
      <c r="C43" s="2">
        <v>8634.7999999999993</v>
      </c>
      <c r="D43" s="2">
        <v>7.7</v>
      </c>
      <c r="E43" s="3">
        <f t="shared" si="2"/>
        <v>2.7002863751991922E-2</v>
      </c>
      <c r="F43" s="4">
        <f t="shared" si="1"/>
        <v>737.75429210270318</v>
      </c>
    </row>
    <row r="44" spans="1:6">
      <c r="A44" s="7">
        <v>43311</v>
      </c>
      <c r="B44" s="1">
        <v>0.33333333333333331</v>
      </c>
      <c r="C44" s="2">
        <v>8636.2999999999993</v>
      </c>
      <c r="D44" s="2">
        <v>7.6</v>
      </c>
      <c r="E44" s="3">
        <f t="shared" si="2"/>
        <v>2.6776091555735779E-2</v>
      </c>
      <c r="F44" s="4">
        <f t="shared" si="1"/>
        <v>737.73116133868507</v>
      </c>
    </row>
    <row r="45" spans="1:6">
      <c r="A45" s="7">
        <v>43322</v>
      </c>
      <c r="B45" s="1">
        <v>0.33333333333333331</v>
      </c>
      <c r="C45" s="2">
        <v>8606.7000000000007</v>
      </c>
      <c r="D45" s="2">
        <v>8.3000000000000007</v>
      </c>
      <c r="E45" s="3">
        <f t="shared" si="2"/>
        <v>2.9832259098850886E-2</v>
      </c>
      <c r="F45" s="4">
        <f t="shared" si="1"/>
        <v>738.04289042808284</v>
      </c>
    </row>
    <row r="46" spans="1:6">
      <c r="A46" s="7">
        <v>43332</v>
      </c>
      <c r="B46" s="1">
        <v>0.33333333333333331</v>
      </c>
      <c r="C46" s="2">
        <v>8637.1</v>
      </c>
      <c r="D46" s="2">
        <v>8.1</v>
      </c>
      <c r="E46" s="3">
        <f t="shared" ref="E46:E47" si="3">($B$2*C46^2+$B$3*C46+$B$4)-$B$5*D46-$E$7</f>
        <v>2.7271856571275205E-2</v>
      </c>
      <c r="F46" s="4">
        <f t="shared" ref="F46:F47" si="4">$D$1+102*E46</f>
        <v>737.78172937027011</v>
      </c>
    </row>
    <row r="47" spans="1:6">
      <c r="A47" s="7">
        <v>43342</v>
      </c>
      <c r="B47" s="1">
        <v>0.33333333333333331</v>
      </c>
      <c r="C47" s="2">
        <v>8582.7000000000007</v>
      </c>
      <c r="D47" s="2">
        <v>8.8000000000000007</v>
      </c>
      <c r="E47" s="3">
        <f t="shared" si="3"/>
        <v>3.2235499796921335E-2</v>
      </c>
      <c r="F47" s="4">
        <f t="shared" si="4"/>
        <v>738.28802097928599</v>
      </c>
    </row>
    <row r="48" spans="1:6">
      <c r="A48" s="7">
        <v>43353</v>
      </c>
      <c r="B48" s="1">
        <v>0.33333333333333331</v>
      </c>
      <c r="C48" s="2">
        <v>8466.2999999999993</v>
      </c>
      <c r="D48" s="2">
        <v>9.5</v>
      </c>
      <c r="E48" s="3">
        <f t="shared" ref="E48:E51" si="5">($B$2*C48^2+$B$3*C48+$B$4)-$B$5*D48-$E$7</f>
        <v>4.1975929265163817E-2</v>
      </c>
      <c r="F48" s="4">
        <f t="shared" ref="F48:F51" si="6">$D$1+102*E48</f>
        <v>739.28154478504666</v>
      </c>
    </row>
    <row r="49" spans="1:6">
      <c r="A49" s="7">
        <v>43363</v>
      </c>
      <c r="B49" s="1">
        <v>0.33333333333333331</v>
      </c>
      <c r="C49" s="2">
        <v>8602.2999999999993</v>
      </c>
      <c r="D49" s="2">
        <v>9</v>
      </c>
      <c r="E49" s="3">
        <f t="shared" si="5"/>
        <v>3.095082357563736E-2</v>
      </c>
      <c r="F49" s="4">
        <f t="shared" si="6"/>
        <v>738.15698400471501</v>
      </c>
    </row>
    <row r="50" spans="1:6">
      <c r="A50" s="7">
        <v>43373</v>
      </c>
      <c r="B50" s="1">
        <v>0.33333333333333331</v>
      </c>
      <c r="C50" s="2">
        <v>8620.7000000000007</v>
      </c>
      <c r="D50" s="2">
        <v>8.6999999999999993</v>
      </c>
      <c r="E50" s="3">
        <f t="shared" si="5"/>
        <v>2.9201492547488377E-2</v>
      </c>
      <c r="F50" s="4">
        <f t="shared" si="6"/>
        <v>737.97855223984379</v>
      </c>
    </row>
    <row r="51" spans="1:6">
      <c r="A51" s="7">
        <v>43383</v>
      </c>
      <c r="B51" s="1">
        <v>0.33333333333333331</v>
      </c>
      <c r="C51" s="2">
        <v>8625.2000000000007</v>
      </c>
      <c r="D51" s="2">
        <v>8.4</v>
      </c>
      <c r="E51" s="3">
        <f t="shared" si="5"/>
        <v>2.8521125408855777E-2</v>
      </c>
      <c r="F51" s="4">
        <f t="shared" si="6"/>
        <v>737.90915479170326</v>
      </c>
    </row>
    <row r="52" spans="1:6">
      <c r="A52" s="7">
        <v>43393</v>
      </c>
      <c r="B52" s="1">
        <v>0.33333333333333331</v>
      </c>
      <c r="C52" s="2">
        <v>8628.2999999999993</v>
      </c>
      <c r="D52" s="2">
        <v>7.8</v>
      </c>
      <c r="E52" s="3">
        <f t="shared" ref="E52:E63" si="7">($B$2*C52^2+$B$3*C52+$B$4)-$B$5*D52-$E$7</f>
        <v>2.7614054782266917E-2</v>
      </c>
      <c r="F52" s="4">
        <f t="shared" ref="F52:F63" si="8">$D$1+102*E52</f>
        <v>737.81663358779122</v>
      </c>
    </row>
    <row r="53" spans="1:6">
      <c r="A53" s="7">
        <v>43605</v>
      </c>
      <c r="B53" s="1">
        <v>0.33333333333333331</v>
      </c>
      <c r="C53" s="2">
        <v>8650.7000000000007</v>
      </c>
      <c r="D53" s="2">
        <v>7.2</v>
      </c>
      <c r="E53" s="3">
        <f t="shared" si="7"/>
        <v>2.522332013426052E-2</v>
      </c>
      <c r="F53" s="4">
        <f t="shared" si="8"/>
        <v>737.57277865369463</v>
      </c>
    </row>
    <row r="54" spans="1:6">
      <c r="A54" s="7">
        <v>43615</v>
      </c>
      <c r="B54" s="1">
        <v>0.33333333333333331</v>
      </c>
      <c r="C54" s="2">
        <v>8651.2000000000007</v>
      </c>
      <c r="D54" s="2">
        <v>7.5</v>
      </c>
      <c r="E54" s="3">
        <f t="shared" si="7"/>
        <v>2.5519247933638092E-2</v>
      </c>
      <c r="F54" s="4">
        <f t="shared" si="8"/>
        <v>737.60296328923107</v>
      </c>
    </row>
    <row r="55" spans="1:6">
      <c r="A55" s="7">
        <v>43626</v>
      </c>
      <c r="B55" s="1">
        <v>0.33333333333333331</v>
      </c>
      <c r="C55" s="2">
        <v>8652.4</v>
      </c>
      <c r="D55" s="2">
        <v>7.9</v>
      </c>
      <c r="E55" s="3">
        <f t="shared" si="7"/>
        <v>2.5872824361507368E-2</v>
      </c>
      <c r="F55" s="4">
        <f t="shared" si="8"/>
        <v>737.63902808487376</v>
      </c>
    </row>
    <row r="56" spans="1:6">
      <c r="A56" s="7">
        <v>43636</v>
      </c>
      <c r="B56" s="1">
        <v>0.33333333333333331</v>
      </c>
      <c r="C56" s="2">
        <v>8653.7000000000007</v>
      </c>
      <c r="D56" s="2">
        <v>8.3000000000000007</v>
      </c>
      <c r="E56" s="3">
        <f t="shared" si="7"/>
        <v>2.6218715773771648E-2</v>
      </c>
      <c r="F56" s="4">
        <f t="shared" si="8"/>
        <v>737.67430900892475</v>
      </c>
    </row>
    <row r="57" spans="1:6">
      <c r="A57" s="7">
        <v>43646</v>
      </c>
      <c r="B57" s="1">
        <v>0.33333333333333331</v>
      </c>
      <c r="C57" s="2">
        <v>8647.2000000000007</v>
      </c>
      <c r="D57" s="2">
        <v>8.3000000000000007</v>
      </c>
      <c r="E57" s="3">
        <f t="shared" si="7"/>
        <v>2.6718343779340556E-2</v>
      </c>
      <c r="F57" s="4">
        <f t="shared" si="8"/>
        <v>737.72527106549273</v>
      </c>
    </row>
    <row r="58" spans="1:6">
      <c r="A58" s="7">
        <v>43656</v>
      </c>
      <c r="B58" s="1">
        <v>0.33333333333333331</v>
      </c>
      <c r="C58" s="2">
        <v>8621.9</v>
      </c>
      <c r="D58" s="2">
        <v>8.1999999999999993</v>
      </c>
      <c r="E58" s="3">
        <f t="shared" si="7"/>
        <v>2.8551954845286449E-2</v>
      </c>
      <c r="F58" s="4">
        <f t="shared" si="8"/>
        <v>737.91229939421919</v>
      </c>
    </row>
    <row r="59" spans="1:6">
      <c r="A59" s="7">
        <v>43666</v>
      </c>
      <c r="B59" s="1">
        <v>0.33333333333333331</v>
      </c>
      <c r="C59" s="2">
        <v>8603.1</v>
      </c>
      <c r="D59" s="2">
        <v>8.1999999999999993</v>
      </c>
      <c r="E59" s="3">
        <f t="shared" si="7"/>
        <v>2.9997668841506404E-2</v>
      </c>
      <c r="F59" s="4">
        <f t="shared" si="8"/>
        <v>738.05976222183369</v>
      </c>
    </row>
    <row r="60" spans="1:6">
      <c r="A60" s="7">
        <v>43676</v>
      </c>
      <c r="B60" s="1">
        <v>0.33333333333333331</v>
      </c>
      <c r="C60" s="2">
        <v>8587.2000000000007</v>
      </c>
      <c r="D60" s="2">
        <v>8</v>
      </c>
      <c r="E60" s="3">
        <f t="shared" si="7"/>
        <v>3.0997712706316571E-2</v>
      </c>
      <c r="F60" s="4">
        <f t="shared" si="8"/>
        <v>738.16176669604431</v>
      </c>
    </row>
    <row r="61" spans="1:6">
      <c r="A61" s="7">
        <v>43687</v>
      </c>
      <c r="B61" s="1">
        <v>0.33333333333333331</v>
      </c>
      <c r="C61" s="2">
        <v>8546.4</v>
      </c>
      <c r="D61" s="2">
        <v>8.1</v>
      </c>
      <c r="E61" s="3">
        <f t="shared" si="7"/>
        <v>3.4248335491742582E-2</v>
      </c>
      <c r="F61" s="4">
        <f t="shared" si="8"/>
        <v>738.49333022015776</v>
      </c>
    </row>
    <row r="62" spans="1:6">
      <c r="A62" s="7">
        <v>43697</v>
      </c>
      <c r="B62" s="1">
        <v>0.33333333333333331</v>
      </c>
      <c r="C62" s="2">
        <v>8509.2000000000007</v>
      </c>
      <c r="D62" s="2">
        <v>8.1</v>
      </c>
      <c r="E62" s="3">
        <f t="shared" si="7"/>
        <v>3.7111812686609374E-2</v>
      </c>
      <c r="F62" s="4">
        <f t="shared" si="8"/>
        <v>738.78540489403417</v>
      </c>
    </row>
    <row r="63" spans="1:6">
      <c r="A63" s="7">
        <v>43707</v>
      </c>
      <c r="B63" s="1">
        <v>0.33333333333333331</v>
      </c>
      <c r="C63" s="2">
        <v>8487.9</v>
      </c>
      <c r="D63" s="2">
        <v>8</v>
      </c>
      <c r="E63" s="3">
        <f t="shared" si="7"/>
        <v>3.8640486252975226E-2</v>
      </c>
      <c r="F63" s="4">
        <f t="shared" si="8"/>
        <v>738.94132959780347</v>
      </c>
    </row>
  </sheetData>
  <phoneticPr fontId="4" type="noConversion"/>
  <pageMargins left="0.69930555555555596" right="0.69930555555555596" top="0.75" bottom="0.75" header="0.3" footer="0.3"/>
  <pageSetup paperSize="9" orientation="portrait"/>
  <drawing r:id="rId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9"/>
  <sheetViews>
    <sheetView topLeftCell="A52" workbookViewId="0">
      <selection activeCell="A63" sqref="A63:B69"/>
    </sheetView>
  </sheetViews>
  <sheetFormatPr defaultColWidth="9" defaultRowHeight="13.5"/>
  <cols>
    <col min="1" max="1" width="11.375" customWidth="1"/>
    <col min="2" max="2" width="13.875" customWidth="1"/>
    <col min="5" max="5" width="10.875" customWidth="1"/>
  </cols>
  <sheetData>
    <row r="1" spans="1:7">
      <c r="A1" t="s">
        <v>0</v>
      </c>
      <c r="B1">
        <v>11249</v>
      </c>
      <c r="C1" t="s">
        <v>1</v>
      </c>
      <c r="D1">
        <v>732</v>
      </c>
      <c r="E1" s="5" t="s">
        <v>23</v>
      </c>
    </row>
    <row r="2" spans="1:7">
      <c r="A2" t="s">
        <v>2</v>
      </c>
      <c r="B2">
        <f>4.13916*10^-10</f>
        <v>4.1391600000000007E-10</v>
      </c>
    </row>
    <row r="3" spans="1:7">
      <c r="A3" t="s">
        <v>3</v>
      </c>
      <c r="B3">
        <v>-1.4763600000000001E-4</v>
      </c>
    </row>
    <row r="4" spans="1:7">
      <c r="A4" t="s">
        <v>4</v>
      </c>
      <c r="B4">
        <v>1.4168761299999999</v>
      </c>
    </row>
    <row r="5" spans="1:7">
      <c r="A5" t="s">
        <v>5</v>
      </c>
      <c r="B5">
        <v>-2.7163460000000001E-3</v>
      </c>
    </row>
    <row r="6" spans="1:7">
      <c r="A6" t="s">
        <v>6</v>
      </c>
      <c r="B6" t="s">
        <v>7</v>
      </c>
      <c r="C6" t="s">
        <v>8</v>
      </c>
      <c r="D6" t="s">
        <v>9</v>
      </c>
      <c r="E6" t="s">
        <v>10</v>
      </c>
      <c r="F6" t="s">
        <v>11</v>
      </c>
      <c r="G6" t="s">
        <v>12</v>
      </c>
    </row>
    <row r="7" spans="1:7">
      <c r="A7" s="7">
        <v>42540</v>
      </c>
      <c r="B7" s="1">
        <v>0.33333333333333298</v>
      </c>
      <c r="C7" s="2">
        <v>9657.2999999999993</v>
      </c>
      <c r="D7" s="2">
        <v>13.6</v>
      </c>
      <c r="E7" s="3">
        <f>($B$2*C7^2+$B$3*C7+$B$4)-$B$5*D7</f>
        <v>6.6656524192823641E-2</v>
      </c>
      <c r="G7" t="s">
        <v>13</v>
      </c>
    </row>
    <row r="8" spans="1:7">
      <c r="A8" s="7">
        <v>42540</v>
      </c>
      <c r="B8" s="1">
        <v>0.45833333333333298</v>
      </c>
      <c r="C8" s="2">
        <v>9487.4</v>
      </c>
      <c r="D8" s="2">
        <v>14.1</v>
      </c>
      <c r="E8" s="3">
        <f>($B$2*C8^2+$B$3*C8+$B$4)-$B$5*D8-$E$7</f>
        <v>2.5095191230080444E-2</v>
      </c>
      <c r="F8" s="4">
        <f>$D$1+102*E8</f>
        <v>734.55970950546816</v>
      </c>
      <c r="G8" s="5" t="s">
        <v>14</v>
      </c>
    </row>
    <row r="9" spans="1:7">
      <c r="A9" s="7">
        <v>42541</v>
      </c>
      <c r="B9" s="1">
        <v>0.33333333333333298</v>
      </c>
      <c r="C9" s="2">
        <v>9453.6</v>
      </c>
      <c r="D9" s="2">
        <v>12.3</v>
      </c>
      <c r="E9" s="3">
        <f t="shared" ref="E9:E18" si="0">($B$2*C9^2+$B$3*C9+$B$4)-$B$5*D9-$E$7</f>
        <v>2.4930873806167292E-2</v>
      </c>
      <c r="F9" s="4">
        <f t="shared" ref="F9:F51" si="1">$D$1+102*E9</f>
        <v>734.54294912822911</v>
      </c>
    </row>
    <row r="10" spans="1:7">
      <c r="A10" s="7">
        <v>42542</v>
      </c>
      <c r="B10" s="1">
        <v>0.33333333333333298</v>
      </c>
      <c r="C10" s="2">
        <v>9428</v>
      </c>
      <c r="D10" s="2">
        <v>10.4</v>
      </c>
      <c r="E10" s="3">
        <f t="shared" si="0"/>
        <v>2.3349223859720186E-2</v>
      </c>
      <c r="F10" s="4">
        <f t="shared" si="1"/>
        <v>734.3816208336915</v>
      </c>
    </row>
    <row r="11" spans="1:7">
      <c r="A11" s="7">
        <v>42543</v>
      </c>
      <c r="B11" s="1">
        <v>0.33333333333333298</v>
      </c>
      <c r="C11" s="2">
        <v>9452.2000000000007</v>
      </c>
      <c r="D11" s="2">
        <v>11</v>
      </c>
      <c r="E11" s="3">
        <f t="shared" si="0"/>
        <v>2.1595358827809441E-2</v>
      </c>
      <c r="F11" s="4">
        <f t="shared" si="1"/>
        <v>734.20272660043656</v>
      </c>
    </row>
    <row r="12" spans="1:7">
      <c r="A12" s="7">
        <v>42544</v>
      </c>
      <c r="B12" s="1">
        <v>0.33333333333333298</v>
      </c>
      <c r="C12" s="2">
        <v>9466.9</v>
      </c>
      <c r="D12" s="2">
        <v>11.1</v>
      </c>
      <c r="E12" s="3">
        <f t="shared" si="0"/>
        <v>1.9811858725285042E-2</v>
      </c>
      <c r="F12" s="4">
        <f t="shared" si="1"/>
        <v>734.02080958997908</v>
      </c>
    </row>
    <row r="13" spans="1:7">
      <c r="A13" s="7">
        <v>42545</v>
      </c>
      <c r="B13" s="1">
        <v>0.33333333333333298</v>
      </c>
      <c r="C13" s="2">
        <v>9488.5</v>
      </c>
      <c r="D13" s="2">
        <v>11</v>
      </c>
      <c r="E13" s="3">
        <f t="shared" si="0"/>
        <v>1.6520758901567179E-2</v>
      </c>
      <c r="F13" s="4">
        <f t="shared" si="1"/>
        <v>733.68511740795986</v>
      </c>
    </row>
    <row r="14" spans="1:7">
      <c r="A14" s="7">
        <v>42546</v>
      </c>
      <c r="B14" s="9">
        <v>0.33333333333333298</v>
      </c>
      <c r="C14" s="2">
        <v>9481.9</v>
      </c>
      <c r="D14" s="2">
        <v>10.5</v>
      </c>
      <c r="E14" s="3">
        <f t="shared" si="0"/>
        <v>1.6085159297797094E-2</v>
      </c>
      <c r="F14" s="4">
        <f t="shared" si="1"/>
        <v>733.64068624837535</v>
      </c>
    </row>
    <row r="15" spans="1:7">
      <c r="A15" s="7">
        <v>42551</v>
      </c>
      <c r="B15" s="1">
        <v>0.33333333333333298</v>
      </c>
      <c r="C15" s="2">
        <v>9518.7999999999993</v>
      </c>
      <c r="D15" s="2">
        <v>12.9</v>
      </c>
      <c r="E15" s="3">
        <f t="shared" si="0"/>
        <v>1.7446828496847311E-2</v>
      </c>
      <c r="F15" s="4">
        <f t="shared" si="1"/>
        <v>733.77957650667838</v>
      </c>
    </row>
    <row r="16" spans="1:7">
      <c r="A16" s="7">
        <v>42561</v>
      </c>
      <c r="B16" s="9">
        <v>0.33333333333333298</v>
      </c>
      <c r="C16" s="2">
        <v>9542.1</v>
      </c>
      <c r="D16" s="2">
        <v>14.3</v>
      </c>
      <c r="E16" s="3">
        <f t="shared" si="0"/>
        <v>1.7993622044433777E-2</v>
      </c>
      <c r="F16" s="4">
        <f t="shared" si="1"/>
        <v>733.83534944853227</v>
      </c>
    </row>
    <row r="17" spans="1:7">
      <c r="A17" s="7">
        <v>42571</v>
      </c>
      <c r="B17" s="1">
        <v>0.33333333333333298</v>
      </c>
      <c r="C17" s="2">
        <v>9568.7000000000007</v>
      </c>
      <c r="D17" s="2">
        <v>15.4</v>
      </c>
      <c r="E17" s="3">
        <f t="shared" si="0"/>
        <v>1.7264898117182084E-2</v>
      </c>
      <c r="F17" s="4">
        <f t="shared" si="1"/>
        <v>733.76101960795256</v>
      </c>
      <c r="G17" s="5"/>
    </row>
    <row r="18" spans="1:7">
      <c r="A18" s="7">
        <v>42581</v>
      </c>
      <c r="B18" s="9">
        <v>0.33333333333333398</v>
      </c>
      <c r="C18" s="2">
        <v>9598</v>
      </c>
      <c r="D18" s="2">
        <v>17.5</v>
      </c>
      <c r="E18" s="3">
        <f t="shared" si="0"/>
        <v>1.8875938648440144E-2</v>
      </c>
      <c r="F18" s="4">
        <f t="shared" si="1"/>
        <v>733.92534574214085</v>
      </c>
    </row>
    <row r="19" spans="1:7">
      <c r="A19" s="7">
        <v>42592</v>
      </c>
      <c r="B19" s="1">
        <v>0.33333333333333298</v>
      </c>
      <c r="C19" s="2">
        <v>9601.9</v>
      </c>
      <c r="D19" s="2">
        <v>17.600000000000001</v>
      </c>
      <c r="E19" s="3">
        <f t="shared" ref="E19:E51" si="2">($B$2*C19^2+$B$3*C19+$B$4)-$B$5*D19-$E$7</f>
        <v>1.8602786717092895E-2</v>
      </c>
      <c r="F19" s="4">
        <f t="shared" si="1"/>
        <v>733.89748424514346</v>
      </c>
    </row>
    <row r="20" spans="1:7">
      <c r="A20" s="7">
        <v>42602</v>
      </c>
      <c r="B20" s="1">
        <v>0.33333333333333298</v>
      </c>
      <c r="C20" s="2">
        <v>9604.7000000000007</v>
      </c>
      <c r="D20" s="2">
        <v>17.5</v>
      </c>
      <c r="E20" s="3">
        <f t="shared" si="2"/>
        <v>1.7940031090420611E-2</v>
      </c>
      <c r="F20" s="4">
        <f t="shared" si="1"/>
        <v>733.82988317122295</v>
      </c>
      <c r="G20" s="2"/>
    </row>
    <row r="21" spans="1:7">
      <c r="A21" s="7">
        <v>42612</v>
      </c>
      <c r="B21" s="1">
        <v>0.33333333333333298</v>
      </c>
      <c r="C21" s="2">
        <v>9588.1</v>
      </c>
      <c r="D21" s="2">
        <v>16.600000000000001</v>
      </c>
      <c r="E21" s="3">
        <f t="shared" si="2"/>
        <v>1.7814203454140864E-2</v>
      </c>
      <c r="F21" s="4">
        <f t="shared" si="1"/>
        <v>733.81704875232242</v>
      </c>
      <c r="G21" s="2"/>
    </row>
    <row r="22" spans="1:7">
      <c r="A22" s="7">
        <v>42623</v>
      </c>
      <c r="B22" s="1">
        <v>0.33333333333333298</v>
      </c>
      <c r="C22">
        <v>9547.2999999999993</v>
      </c>
      <c r="D22">
        <v>15.3</v>
      </c>
      <c r="E22" s="3">
        <f t="shared" si="2"/>
        <v>1.9983348166503906E-2</v>
      </c>
      <c r="F22" s="4">
        <f t="shared" si="1"/>
        <v>734.03830151298337</v>
      </c>
    </row>
    <row r="23" spans="1:7">
      <c r="A23" s="7">
        <v>42633</v>
      </c>
      <c r="B23" s="1">
        <v>0.33333333333333331</v>
      </c>
      <c r="C23" s="2">
        <v>9512.7000000000007</v>
      </c>
      <c r="D23" s="2">
        <v>14.2</v>
      </c>
      <c r="E23" s="3">
        <f t="shared" si="2"/>
        <v>2.1830605498487726E-2</v>
      </c>
      <c r="F23" s="4">
        <f t="shared" si="1"/>
        <v>734.22672176084575</v>
      </c>
    </row>
    <row r="24" spans="1:7">
      <c r="A24" s="7">
        <v>42643</v>
      </c>
      <c r="B24" s="1">
        <v>0.33333333333333331</v>
      </c>
      <c r="C24" s="2">
        <v>9324.2000000000007</v>
      </c>
      <c r="D24" s="2">
        <v>17.5</v>
      </c>
      <c r="E24" s="3">
        <f t="shared" si="2"/>
        <v>5.7154218722862499E-2</v>
      </c>
      <c r="F24" s="4">
        <f t="shared" si="1"/>
        <v>737.82973030973199</v>
      </c>
    </row>
    <row r="25" spans="1:7">
      <c r="A25" s="6">
        <v>42653</v>
      </c>
      <c r="B25" s="1">
        <v>0.33333333333333331</v>
      </c>
      <c r="C25" s="2">
        <v>9355.2999999999993</v>
      </c>
      <c r="D25" s="2">
        <v>12.2</v>
      </c>
      <c r="E25" s="3">
        <f t="shared" si="2"/>
        <v>3.840656255883676E-2</v>
      </c>
      <c r="F25" s="4">
        <f t="shared" si="1"/>
        <v>735.9174693810013</v>
      </c>
    </row>
    <row r="26" spans="1:7">
      <c r="A26" s="7">
        <v>42855</v>
      </c>
      <c r="B26" s="1">
        <v>0.33333333333333331</v>
      </c>
      <c r="C26" s="2">
        <v>9158.6</v>
      </c>
      <c r="D26" s="2">
        <v>5.6</v>
      </c>
      <c r="E26" s="3">
        <f t="shared" si="2"/>
        <v>4.8011328830483382E-2</v>
      </c>
      <c r="F26" s="4">
        <f t="shared" si="1"/>
        <v>736.89715554070926</v>
      </c>
    </row>
    <row r="27" spans="1:7">
      <c r="A27" s="7">
        <v>42865</v>
      </c>
      <c r="B27" s="1">
        <v>0.33333333333333331</v>
      </c>
      <c r="C27" s="2">
        <v>9120.5</v>
      </c>
      <c r="D27" s="2">
        <v>6.3</v>
      </c>
      <c r="E27" s="3">
        <f t="shared" si="2"/>
        <v>5.5249437574975205E-2</v>
      </c>
      <c r="F27" s="4">
        <f t="shared" si="1"/>
        <v>737.63544263264748</v>
      </c>
    </row>
    <row r="28" spans="1:7">
      <c r="A28" s="7">
        <v>42875</v>
      </c>
      <c r="B28" s="1">
        <v>0.33333333333333331</v>
      </c>
      <c r="C28" s="2">
        <v>9186.5</v>
      </c>
      <c r="D28" s="2">
        <v>7.5</v>
      </c>
      <c r="E28" s="3">
        <f t="shared" si="2"/>
        <v>4.926519574896715E-2</v>
      </c>
      <c r="F28" s="4">
        <f t="shared" si="1"/>
        <v>737.0250499663947</v>
      </c>
    </row>
    <row r="29" spans="1:7">
      <c r="A29" s="7">
        <v>42885</v>
      </c>
      <c r="B29" s="1">
        <v>0.33333333333333331</v>
      </c>
      <c r="C29" s="2">
        <v>9198.7000000000007</v>
      </c>
      <c r="D29" s="2">
        <v>7.8</v>
      </c>
      <c r="E29" s="3">
        <f t="shared" si="2"/>
        <v>4.8371781475974276E-2</v>
      </c>
      <c r="F29" s="4">
        <f t="shared" si="1"/>
        <v>736.93392171054938</v>
      </c>
    </row>
    <row r="30" spans="1:7">
      <c r="A30" s="7">
        <v>42896</v>
      </c>
      <c r="B30" s="1">
        <v>0.33333333333333331</v>
      </c>
      <c r="C30" s="2">
        <v>9185.5</v>
      </c>
      <c r="D30" s="2">
        <v>6.4</v>
      </c>
      <c r="E30" s="3">
        <f t="shared" si="2"/>
        <v>4.6417246684215152E-2</v>
      </c>
      <c r="F30" s="4">
        <f t="shared" si="1"/>
        <v>736.73455916179</v>
      </c>
    </row>
    <row r="31" spans="1:7">
      <c r="A31" s="7">
        <v>42906</v>
      </c>
      <c r="B31" s="1">
        <v>0.33333333333333331</v>
      </c>
      <c r="C31" s="2">
        <v>9174.2000000000007</v>
      </c>
      <c r="D31" s="2">
        <v>6.3</v>
      </c>
      <c r="E31" s="3">
        <f t="shared" si="2"/>
        <v>4.7728025962702383E-2</v>
      </c>
      <c r="F31" s="4">
        <f t="shared" si="1"/>
        <v>736.86825864819559</v>
      </c>
    </row>
    <row r="32" spans="1:7">
      <c r="A32" s="7">
        <v>42926</v>
      </c>
      <c r="B32" s="1">
        <v>0.33333333333333331</v>
      </c>
      <c r="C32" s="2">
        <v>9200.6</v>
      </c>
      <c r="D32" s="2">
        <v>7.1</v>
      </c>
      <c r="E32" s="3">
        <f t="shared" si="2"/>
        <v>4.6204300828826053E-2</v>
      </c>
      <c r="F32" s="4">
        <f t="shared" si="1"/>
        <v>736.7128386845402</v>
      </c>
    </row>
    <row r="33" spans="1:6">
      <c r="A33" s="7">
        <v>42936</v>
      </c>
      <c r="B33" s="1">
        <v>0.33333333333333331</v>
      </c>
      <c r="C33" s="2">
        <v>9202.9</v>
      </c>
      <c r="D33" s="2">
        <v>7.3</v>
      </c>
      <c r="E33" s="3">
        <f t="shared" si="2"/>
        <v>4.6425527485969773E-2</v>
      </c>
      <c r="F33" s="4">
        <f t="shared" si="1"/>
        <v>736.73540380356894</v>
      </c>
    </row>
    <row r="34" spans="1:6">
      <c r="A34" s="7">
        <v>42946</v>
      </c>
      <c r="B34" s="1">
        <v>0.33333333333333331</v>
      </c>
      <c r="C34" s="2">
        <v>9210.2999999999993</v>
      </c>
      <c r="D34" s="2">
        <v>7.4</v>
      </c>
      <c r="E34" s="3">
        <f t="shared" si="2"/>
        <v>4.5661054919844651E-2</v>
      </c>
      <c r="F34" s="4">
        <f t="shared" si="1"/>
        <v>736.65742760182411</v>
      </c>
    </row>
    <row r="35" spans="1:6">
      <c r="A35" s="7">
        <v>42957</v>
      </c>
      <c r="B35" s="1">
        <v>0.33333333333333331</v>
      </c>
      <c r="C35" s="2">
        <v>9204.7999999999993</v>
      </c>
      <c r="D35" s="2">
        <v>7.6</v>
      </c>
      <c r="E35" s="3">
        <f t="shared" si="2"/>
        <v>4.6974399444920989E-2</v>
      </c>
      <c r="F35" s="4">
        <f t="shared" si="1"/>
        <v>736.79138874338196</v>
      </c>
    </row>
    <row r="36" spans="1:6">
      <c r="A36" s="7">
        <v>42967</v>
      </c>
      <c r="B36" s="1">
        <v>0.33333333333333331</v>
      </c>
      <c r="C36" s="2">
        <v>9218.5</v>
      </c>
      <c r="D36" s="2">
        <v>8</v>
      </c>
      <c r="E36" s="3">
        <f t="shared" si="2"/>
        <v>4.6142796716327192E-2</v>
      </c>
      <c r="F36" s="4">
        <f t="shared" si="1"/>
        <v>736.70656526506536</v>
      </c>
    </row>
    <row r="37" spans="1:6">
      <c r="A37" s="7">
        <v>42977</v>
      </c>
      <c r="B37" s="1">
        <v>0.33333333333333331</v>
      </c>
      <c r="C37" s="2">
        <v>9211.2000000000007</v>
      </c>
      <c r="D37" s="2">
        <v>8.3000000000000007</v>
      </c>
      <c r="E37" s="3">
        <f t="shared" si="2"/>
        <v>4.7979756378079164E-2</v>
      </c>
      <c r="F37" s="4">
        <f t="shared" si="1"/>
        <v>736.89393515056406</v>
      </c>
    </row>
    <row r="38" spans="1:6">
      <c r="A38" s="7">
        <v>42988</v>
      </c>
      <c r="B38" s="1">
        <v>0.33333333333333331</v>
      </c>
      <c r="C38" s="2">
        <v>9214.7999999999993</v>
      </c>
      <c r="D38" s="2">
        <v>8.4</v>
      </c>
      <c r="E38" s="3">
        <f t="shared" si="2"/>
        <v>4.7747357916456776E-2</v>
      </c>
      <c r="F38" s="4">
        <f t="shared" si="1"/>
        <v>736.8702305074786</v>
      </c>
    </row>
    <row r="39" spans="1:6">
      <c r="A39" s="7">
        <v>42998</v>
      </c>
      <c r="B39" s="1">
        <v>0.33333333333333331</v>
      </c>
      <c r="C39" s="2">
        <v>9220.2999999999993</v>
      </c>
      <c r="D39" s="2">
        <v>8.4</v>
      </c>
      <c r="E39" s="3">
        <f t="shared" si="2"/>
        <v>4.6977328122140713E-2</v>
      </c>
      <c r="F39" s="4">
        <f t="shared" si="1"/>
        <v>736.79168746845835</v>
      </c>
    </row>
    <row r="40" spans="1:6">
      <c r="A40" s="7">
        <v>43008</v>
      </c>
      <c r="B40" s="1">
        <v>0.33333333333333331</v>
      </c>
      <c r="C40" s="2">
        <v>9226.6</v>
      </c>
      <c r="D40" s="2">
        <v>8.5</v>
      </c>
      <c r="E40" s="3">
        <f t="shared" si="2"/>
        <v>4.6366959364621069E-2</v>
      </c>
      <c r="F40" s="4">
        <f t="shared" si="1"/>
        <v>736.72942985519137</v>
      </c>
    </row>
    <row r="41" spans="1:6">
      <c r="A41" s="7">
        <v>43018</v>
      </c>
      <c r="B41" s="1">
        <v>0.33333333333333331</v>
      </c>
      <c r="C41" s="2">
        <v>9225.9</v>
      </c>
      <c r="D41" s="2">
        <v>8.5</v>
      </c>
      <c r="E41" s="3">
        <f t="shared" si="2"/>
        <v>4.6464958115128047E-2</v>
      </c>
      <c r="F41" s="4">
        <f t="shared" si="1"/>
        <v>736.73942572774308</v>
      </c>
    </row>
    <row r="42" spans="1:6">
      <c r="A42" s="7">
        <v>43230</v>
      </c>
      <c r="B42" s="1">
        <v>0.33333333333333331</v>
      </c>
      <c r="C42" s="2">
        <v>9217.1</v>
      </c>
      <c r="D42" s="2">
        <v>7.9</v>
      </c>
      <c r="E42" s="3">
        <f t="shared" si="2"/>
        <v>4.60671694105938E-2</v>
      </c>
      <c r="F42" s="4">
        <f t="shared" si="1"/>
        <v>736.69885127988061</v>
      </c>
    </row>
    <row r="43" spans="1:6">
      <c r="A43" s="7">
        <v>43240</v>
      </c>
      <c r="B43" s="1">
        <v>0.33333333333333331</v>
      </c>
      <c r="C43" s="2">
        <v>9219.7000000000007</v>
      </c>
      <c r="D43" s="2">
        <v>7.8</v>
      </c>
      <c r="E43" s="3">
        <f t="shared" si="2"/>
        <v>4.5431522555516593E-2</v>
      </c>
      <c r="F43" s="4">
        <f t="shared" si="1"/>
        <v>736.63401530066267</v>
      </c>
    </row>
    <row r="44" spans="1:6">
      <c r="A44" s="7">
        <v>43250</v>
      </c>
      <c r="B44" s="1">
        <v>0.33333333333333331</v>
      </c>
      <c r="C44" s="2">
        <v>9214</v>
      </c>
      <c r="D44" s="2">
        <v>7.7</v>
      </c>
      <c r="E44" s="3">
        <f t="shared" si="2"/>
        <v>4.5957922136312196E-2</v>
      </c>
      <c r="F44" s="4">
        <f t="shared" si="1"/>
        <v>736.68770805790382</v>
      </c>
    </row>
    <row r="45" spans="1:6">
      <c r="A45" s="7">
        <v>43261</v>
      </c>
      <c r="B45" s="1">
        <v>0.33333333333333331</v>
      </c>
      <c r="C45" s="2">
        <v>9191.1</v>
      </c>
      <c r="D45" s="2">
        <v>7.7</v>
      </c>
      <c r="E45" s="3">
        <f t="shared" si="2"/>
        <v>4.9164330549302554E-2</v>
      </c>
      <c r="F45" s="4">
        <f t="shared" si="1"/>
        <v>737.01476171602883</v>
      </c>
    </row>
    <row r="46" spans="1:6">
      <c r="A46" s="7">
        <v>43271</v>
      </c>
      <c r="B46" s="1">
        <v>0.33333333333333331</v>
      </c>
      <c r="C46" s="2">
        <v>9114</v>
      </c>
      <c r="D46" s="2">
        <v>8.1999999999999993</v>
      </c>
      <c r="E46" s="3">
        <f t="shared" si="2"/>
        <v>6.1321069891512203E-2</v>
      </c>
      <c r="F46" s="4">
        <f t="shared" si="1"/>
        <v>738.25474912893424</v>
      </c>
    </row>
    <row r="47" spans="1:6">
      <c r="A47" s="7">
        <v>43281</v>
      </c>
      <c r="B47" s="1">
        <v>0.33333333333333331</v>
      </c>
      <c r="C47" s="2">
        <v>9140.4</v>
      </c>
      <c r="D47" s="2">
        <v>7.8</v>
      </c>
      <c r="E47" s="3">
        <f t="shared" si="2"/>
        <v>5.6536413900794849E-2</v>
      </c>
      <c r="F47" s="4">
        <f t="shared" si="1"/>
        <v>737.76671421788103</v>
      </c>
    </row>
    <row r="48" spans="1:6">
      <c r="A48" s="7">
        <v>43291</v>
      </c>
      <c r="B48" s="1">
        <v>0.33333333333333331</v>
      </c>
      <c r="C48" s="2">
        <v>9192.2000000000007</v>
      </c>
      <c r="D48" s="2">
        <v>8.3000000000000007</v>
      </c>
      <c r="E48" s="3">
        <f t="shared" si="2"/>
        <v>5.0640108605505607E-2</v>
      </c>
      <c r="F48" s="4">
        <f t="shared" si="1"/>
        <v>737.16529107776159</v>
      </c>
    </row>
    <row r="49" spans="1:6">
      <c r="A49" s="7">
        <v>43301</v>
      </c>
      <c r="B49" s="1">
        <v>0.33333333333333331</v>
      </c>
      <c r="C49" s="2">
        <v>9185.7000000000007</v>
      </c>
      <c r="D49" s="2">
        <v>8.3000000000000007</v>
      </c>
      <c r="E49" s="3">
        <f t="shared" si="2"/>
        <v>5.1550297710938886E-2</v>
      </c>
      <c r="F49" s="4">
        <f t="shared" si="1"/>
        <v>737.25813036651573</v>
      </c>
    </row>
    <row r="50" spans="1:6">
      <c r="A50" s="7">
        <v>43311</v>
      </c>
      <c r="B50" s="1">
        <v>0.33333333333333331</v>
      </c>
      <c r="C50" s="2">
        <v>9186.7000000000007</v>
      </c>
      <c r="D50" s="2">
        <v>7.9</v>
      </c>
      <c r="E50" s="3">
        <f t="shared" si="2"/>
        <v>5.0323727941257335E-2</v>
      </c>
      <c r="F50" s="4">
        <f t="shared" si="1"/>
        <v>737.13302025000826</v>
      </c>
    </row>
    <row r="51" spans="1:6">
      <c r="A51" s="7">
        <v>43322</v>
      </c>
      <c r="B51" s="1">
        <v>0.33333333333333331</v>
      </c>
      <c r="C51" s="2">
        <v>9168.7999999999993</v>
      </c>
      <c r="D51" s="2">
        <v>8.1999999999999993</v>
      </c>
      <c r="E51" s="3">
        <f t="shared" si="2"/>
        <v>5.3645318472287276E-2</v>
      </c>
      <c r="F51" s="4">
        <f t="shared" si="1"/>
        <v>737.47182248417334</v>
      </c>
    </row>
    <row r="52" spans="1:6">
      <c r="A52" s="7">
        <v>43332</v>
      </c>
      <c r="B52" s="1">
        <v>0.33333333333333331</v>
      </c>
      <c r="C52" s="2">
        <v>9184.7000000000007</v>
      </c>
      <c r="D52" s="2">
        <v>8</v>
      </c>
      <c r="E52" s="3">
        <f t="shared" ref="E52:E53" si="3">($B$2*C52^2+$B$3*C52+$B$4)-$B$5*D52-$E$7</f>
        <v>5.0875426108452457E-2</v>
      </c>
      <c r="F52" s="4">
        <f t="shared" ref="F52:F53" si="4">$D$1+102*E52</f>
        <v>737.1892934630622</v>
      </c>
    </row>
    <row r="53" spans="1:6">
      <c r="A53" s="7">
        <v>43342</v>
      </c>
      <c r="B53" s="1">
        <v>0.33333333333333331</v>
      </c>
      <c r="C53" s="2">
        <v>9154.2999999999993</v>
      </c>
      <c r="D53" s="2">
        <v>8.3000000000000007</v>
      </c>
      <c r="E53" s="3">
        <f t="shared" si="3"/>
        <v>5.5947703820523276E-2</v>
      </c>
      <c r="F53" s="4">
        <f t="shared" si="4"/>
        <v>737.70666578969337</v>
      </c>
    </row>
    <row r="54" spans="1:6">
      <c r="A54" s="7">
        <v>43353</v>
      </c>
      <c r="B54" s="1">
        <v>0.33333333333333331</v>
      </c>
      <c r="C54" s="2">
        <v>9122.5</v>
      </c>
      <c r="D54" s="2">
        <v>8.8000000000000007</v>
      </c>
      <c r="E54" s="3">
        <f t="shared" ref="E54:E69" si="5">($B$2*C54^2+$B$3*C54+$B$4)-$B$5*D54-$E$7</f>
        <v>6.1760132714151095E-2</v>
      </c>
      <c r="F54" s="4">
        <f t="shared" ref="F54:F69" si="6">$D$1+102*E54</f>
        <v>738.29953353684346</v>
      </c>
    </row>
    <row r="55" spans="1:6">
      <c r="A55" s="7">
        <v>43363</v>
      </c>
      <c r="B55" s="1">
        <v>0.33333333333333331</v>
      </c>
      <c r="C55" s="2">
        <v>9162.4</v>
      </c>
      <c r="D55" s="2">
        <v>8.4</v>
      </c>
      <c r="E55" s="3">
        <f t="shared" si="5"/>
        <v>5.5084897579620415E-2</v>
      </c>
      <c r="F55" s="4">
        <f t="shared" si="6"/>
        <v>737.61865955312123</v>
      </c>
    </row>
    <row r="56" spans="1:6">
      <c r="A56" s="7">
        <v>43373</v>
      </c>
      <c r="B56" s="1">
        <v>0.33333333333333331</v>
      </c>
      <c r="C56" s="2">
        <v>9180.7000000000007</v>
      </c>
      <c r="D56" s="2">
        <v>8.1999999999999993</v>
      </c>
      <c r="E56" s="3">
        <f t="shared" si="5"/>
        <v>5.1978832376827003E-2</v>
      </c>
      <c r="F56" s="4">
        <f t="shared" si="6"/>
        <v>737.30184090243631</v>
      </c>
    </row>
    <row r="57" spans="1:6">
      <c r="A57" s="7">
        <v>43383</v>
      </c>
      <c r="B57" s="1">
        <v>0.33333333333333331</v>
      </c>
      <c r="C57" s="2">
        <v>9185.2999999999993</v>
      </c>
      <c r="D57" s="2">
        <v>7.8</v>
      </c>
      <c r="E57" s="3">
        <f t="shared" si="5"/>
        <v>5.0248137490604708E-2</v>
      </c>
      <c r="F57" s="4">
        <f t="shared" si="6"/>
        <v>737.12531002404171</v>
      </c>
    </row>
    <row r="58" spans="1:6">
      <c r="A58" s="7">
        <v>43393</v>
      </c>
      <c r="B58" s="1">
        <v>0.33333333333333331</v>
      </c>
      <c r="C58" s="2">
        <v>9188.7000000000007</v>
      </c>
      <c r="D58" s="2">
        <v>7.4</v>
      </c>
      <c r="E58" s="3">
        <f t="shared" si="5"/>
        <v>4.8685494685390102E-2</v>
      </c>
      <c r="F58" s="4">
        <f t="shared" si="6"/>
        <v>736.96592045790976</v>
      </c>
    </row>
    <row r="59" spans="1:6">
      <c r="A59" s="7">
        <v>43605</v>
      </c>
      <c r="B59" s="1">
        <v>0.33333333333333331</v>
      </c>
      <c r="C59" s="2">
        <v>9218.7000000000007</v>
      </c>
      <c r="D59" s="2">
        <v>7</v>
      </c>
      <c r="E59" s="3">
        <f t="shared" si="5"/>
        <v>4.3398449806742206E-2</v>
      </c>
      <c r="F59" s="4">
        <f t="shared" si="6"/>
        <v>736.42664188028766</v>
      </c>
    </row>
    <row r="60" spans="1:6">
      <c r="A60" s="7">
        <v>43615</v>
      </c>
      <c r="B60" s="1">
        <v>0.33333333333333331</v>
      </c>
      <c r="C60" s="2">
        <v>9220.4</v>
      </c>
      <c r="D60" s="2">
        <v>7.2</v>
      </c>
      <c r="E60" s="3">
        <f t="shared" si="5"/>
        <v>4.3703712612218892E-2</v>
      </c>
      <c r="F60" s="4">
        <f t="shared" si="6"/>
        <v>736.45777868644632</v>
      </c>
    </row>
    <row r="61" spans="1:6">
      <c r="A61" s="7">
        <v>43626</v>
      </c>
      <c r="B61" s="1">
        <v>0.33333333333333331</v>
      </c>
      <c r="C61" s="2">
        <v>9222.5</v>
      </c>
      <c r="D61" s="2">
        <v>7.5</v>
      </c>
      <c r="E61" s="3">
        <f t="shared" si="5"/>
        <v>4.4224611816151116E-2</v>
      </c>
      <c r="F61" s="4">
        <f t="shared" si="6"/>
        <v>736.51091040524739</v>
      </c>
    </row>
    <row r="62" spans="1:6">
      <c r="A62" s="7">
        <v>43636</v>
      </c>
      <c r="B62" s="1">
        <v>0.33333333333333331</v>
      </c>
      <c r="C62" s="2">
        <v>9223.7000000000007</v>
      </c>
      <c r="D62" s="2">
        <v>7.6</v>
      </c>
      <c r="E62" s="3">
        <f t="shared" si="5"/>
        <v>4.432824542893421E-2</v>
      </c>
      <c r="F62" s="4">
        <f t="shared" si="6"/>
        <v>736.52148103375134</v>
      </c>
    </row>
    <row r="63" spans="1:6">
      <c r="A63" s="7">
        <v>43646</v>
      </c>
      <c r="B63" s="1">
        <v>0.33333333333333331</v>
      </c>
      <c r="C63" s="2">
        <v>9186.4</v>
      </c>
      <c r="D63" s="2">
        <v>7.4</v>
      </c>
      <c r="E63" s="3">
        <f t="shared" si="5"/>
        <v>4.9007564265239695E-2</v>
      </c>
      <c r="F63" s="4">
        <f t="shared" si="6"/>
        <v>736.99877155505442</v>
      </c>
    </row>
    <row r="64" spans="1:6">
      <c r="A64" s="7">
        <v>43656</v>
      </c>
      <c r="B64" s="1">
        <v>0.33333333333333331</v>
      </c>
      <c r="C64" s="2">
        <v>9175.2000000000007</v>
      </c>
      <c r="D64" s="2">
        <v>7.5</v>
      </c>
      <c r="E64" s="3">
        <f t="shared" si="5"/>
        <v>5.0847600272952764E-2</v>
      </c>
      <c r="F64" s="4">
        <f t="shared" si="6"/>
        <v>737.18645522784118</v>
      </c>
    </row>
    <row r="65" spans="1:6">
      <c r="A65" s="7">
        <v>43666</v>
      </c>
      <c r="B65" s="1">
        <v>0.33333333333333331</v>
      </c>
      <c r="C65" s="2">
        <v>9170.2999999999993</v>
      </c>
      <c r="D65" s="2">
        <v>7.5</v>
      </c>
      <c r="E65" s="3">
        <f t="shared" si="5"/>
        <v>5.1533808542660653E-2</v>
      </c>
      <c r="F65" s="4">
        <f t="shared" si="6"/>
        <v>737.2564484713514</v>
      </c>
    </row>
    <row r="66" spans="1:6">
      <c r="A66" s="7">
        <v>43676</v>
      </c>
      <c r="B66" s="1">
        <v>0.33333333333333331</v>
      </c>
      <c r="C66" s="2">
        <v>9158.2000000000007</v>
      </c>
      <c r="D66" s="2">
        <v>7.5</v>
      </c>
      <c r="E66" s="3">
        <f t="shared" si="5"/>
        <v>5.3228407983848092E-2</v>
      </c>
      <c r="F66" s="4">
        <f t="shared" si="6"/>
        <v>737.42929761435255</v>
      </c>
    </row>
    <row r="67" spans="1:6">
      <c r="A67" s="7">
        <v>43687</v>
      </c>
      <c r="B67" s="1">
        <v>0.33333333333333331</v>
      </c>
      <c r="C67" s="2">
        <v>9146.5</v>
      </c>
      <c r="D67" s="2">
        <v>7.6</v>
      </c>
      <c r="E67" s="3">
        <f t="shared" si="5"/>
        <v>5.5138737467847143E-2</v>
      </c>
      <c r="F67" s="4">
        <f t="shared" si="6"/>
        <v>737.62415122172035</v>
      </c>
    </row>
    <row r="68" spans="1:6">
      <c r="A68" s="7">
        <v>43697</v>
      </c>
      <c r="B68" s="1">
        <v>0.33333333333333331</v>
      </c>
      <c r="C68" s="2">
        <v>9137.1</v>
      </c>
      <c r="D68" s="2">
        <v>7.6</v>
      </c>
      <c r="E68" s="3">
        <f t="shared" si="5"/>
        <v>5.6455377846817534E-2</v>
      </c>
      <c r="F68" s="4">
        <f t="shared" si="6"/>
        <v>737.75844854037541</v>
      </c>
    </row>
    <row r="69" spans="1:6">
      <c r="A69" s="7">
        <v>43707</v>
      </c>
      <c r="B69" s="1">
        <v>0.33333333333333331</v>
      </c>
      <c r="C69" s="2">
        <v>9113.2000000000007</v>
      </c>
      <c r="D69" s="2">
        <v>7.8</v>
      </c>
      <c r="E69" s="3">
        <f t="shared" si="5"/>
        <v>6.0346604667740084E-2</v>
      </c>
      <c r="F69" s="4">
        <f t="shared" si="6"/>
        <v>738.15535367610948</v>
      </c>
    </row>
  </sheetData>
  <phoneticPr fontId="4" type="noConversion"/>
  <pageMargins left="0.69930555555555596" right="0.69930555555555596" top="0.75" bottom="0.75" header="0.3" footer="0.3"/>
  <pageSetup paperSize="9" orientation="portrait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1"/>
  <sheetViews>
    <sheetView topLeftCell="A49" workbookViewId="0">
      <selection activeCell="A65" sqref="A65:B71"/>
    </sheetView>
  </sheetViews>
  <sheetFormatPr defaultColWidth="9" defaultRowHeight="13.5"/>
  <cols>
    <col min="1" max="1" width="11.75" customWidth="1"/>
    <col min="2" max="2" width="13.875" customWidth="1"/>
    <col min="5" max="5" width="10.875" customWidth="1"/>
  </cols>
  <sheetData>
    <row r="1" spans="1:7">
      <c r="A1" t="s">
        <v>0</v>
      </c>
      <c r="B1">
        <v>11239</v>
      </c>
      <c r="C1" t="s">
        <v>1</v>
      </c>
      <c r="D1">
        <v>732</v>
      </c>
    </row>
    <row r="2" spans="1:7">
      <c r="A2" t="s">
        <v>2</v>
      </c>
      <c r="B2">
        <f>3.98315*10^-10</f>
        <v>3.9831500000000004E-10</v>
      </c>
    </row>
    <row r="3" spans="1:7">
      <c r="A3" t="s">
        <v>3</v>
      </c>
      <c r="B3">
        <v>-1.8303199999999999E-4</v>
      </c>
    </row>
    <row r="4" spans="1:7">
      <c r="A4" t="s">
        <v>4</v>
      </c>
      <c r="B4">
        <v>1.6947494400000001</v>
      </c>
    </row>
    <row r="5" spans="1:7">
      <c r="A5" t="s">
        <v>5</v>
      </c>
      <c r="B5">
        <v>-3.1846560000000001E-3</v>
      </c>
    </row>
    <row r="6" spans="1:7">
      <c r="A6" t="s">
        <v>6</v>
      </c>
      <c r="B6" t="s">
        <v>7</v>
      </c>
      <c r="C6" t="s">
        <v>8</v>
      </c>
      <c r="D6" t="s">
        <v>9</v>
      </c>
      <c r="E6" t="s">
        <v>10</v>
      </c>
      <c r="F6" t="s">
        <v>11</v>
      </c>
      <c r="G6" t="s">
        <v>12</v>
      </c>
    </row>
    <row r="7" spans="1:7">
      <c r="A7" s="7">
        <v>42537</v>
      </c>
      <c r="B7" s="1">
        <v>0.79166666666666696</v>
      </c>
      <c r="C7" s="2">
        <v>9301.6</v>
      </c>
      <c r="D7" s="2">
        <v>14.1</v>
      </c>
      <c r="E7" s="3">
        <f>($B$2*C7^2+$B$3*C7+$B$4)-$B$5*D7</f>
        <v>7.1624757624086335E-2</v>
      </c>
      <c r="G7" t="s">
        <v>13</v>
      </c>
    </row>
    <row r="8" spans="1:7">
      <c r="A8" s="7">
        <v>42538</v>
      </c>
      <c r="B8" s="1">
        <v>0.33333333333333298</v>
      </c>
      <c r="C8" s="2">
        <v>9183.4</v>
      </c>
      <c r="D8" s="2">
        <v>12.6</v>
      </c>
      <c r="E8" s="3">
        <f>($B$2*C8^2+$B$3*C8+$B$4)-$B$5*D8-$E$7</f>
        <v>1.5987109201995239E-2</v>
      </c>
      <c r="F8" s="4">
        <f>$D$1+102*E8</f>
        <v>733.63068513860355</v>
      </c>
      <c r="G8" s="5" t="s">
        <v>14</v>
      </c>
    </row>
    <row r="9" spans="1:7">
      <c r="A9" s="7">
        <v>42539</v>
      </c>
      <c r="B9" s="1">
        <v>0.33333333333333298</v>
      </c>
      <c r="C9" s="2">
        <v>9209.6</v>
      </c>
      <c r="D9" s="2">
        <v>13.5</v>
      </c>
      <c r="E9" s="3">
        <f t="shared" ref="E9:E20" si="0">($B$2*C9^2+$B$3*C9+$B$4)-$B$5*D9-$E$7</f>
        <v>1.4249807846224108E-2</v>
      </c>
      <c r="F9" s="4">
        <f t="shared" ref="F9:F52" si="1">$D$1+102*E9</f>
        <v>733.4534804003149</v>
      </c>
    </row>
    <row r="10" spans="1:7">
      <c r="A10" s="7">
        <v>42540</v>
      </c>
      <c r="B10" s="1">
        <v>0.33333333333333298</v>
      </c>
      <c r="C10" s="2">
        <v>9194.7999999999993</v>
      </c>
      <c r="D10" s="2">
        <v>13.3</v>
      </c>
      <c r="E10" s="3">
        <f t="shared" si="0"/>
        <v>1.6213255167151538E-2</v>
      </c>
      <c r="F10" s="4">
        <f t="shared" si="1"/>
        <v>733.65375202704945</v>
      </c>
    </row>
    <row r="11" spans="1:7">
      <c r="A11" s="7">
        <v>42541</v>
      </c>
      <c r="B11" s="1">
        <v>0.33333333333333298</v>
      </c>
      <c r="C11" s="2">
        <v>9186.4</v>
      </c>
      <c r="D11" s="2">
        <v>13.1</v>
      </c>
      <c r="E11" s="3">
        <f t="shared" si="0"/>
        <v>1.7052292102656311E-2</v>
      </c>
      <c r="F11" s="4">
        <f t="shared" si="1"/>
        <v>733.73933379447089</v>
      </c>
    </row>
    <row r="12" spans="1:7">
      <c r="A12" s="7">
        <v>42542</v>
      </c>
      <c r="B12" s="1">
        <v>0.33333333333333298</v>
      </c>
      <c r="C12" s="2">
        <v>9172.5</v>
      </c>
      <c r="D12" s="2">
        <v>12.9</v>
      </c>
      <c r="E12" s="3">
        <f t="shared" si="0"/>
        <v>1.8857860211632757E-2</v>
      </c>
      <c r="F12" s="4">
        <f t="shared" si="1"/>
        <v>733.92350174158651</v>
      </c>
    </row>
    <row r="13" spans="1:7">
      <c r="A13" s="7">
        <v>42543</v>
      </c>
      <c r="B13" s="1">
        <v>0.33333333333333298</v>
      </c>
      <c r="C13" s="2">
        <v>9185.7000000000007</v>
      </c>
      <c r="D13" s="2">
        <v>13</v>
      </c>
      <c r="E13" s="3">
        <f t="shared" si="0"/>
        <v>1.6856826384547982E-2</v>
      </c>
      <c r="F13" s="4">
        <f t="shared" si="1"/>
        <v>733.71939629122392</v>
      </c>
    </row>
    <row r="14" spans="1:7">
      <c r="A14" s="7">
        <v>42544</v>
      </c>
      <c r="B14" s="1">
        <v>0.33333333333333298</v>
      </c>
      <c r="C14" s="2">
        <v>9193.4</v>
      </c>
      <c r="D14" s="2">
        <v>12.9</v>
      </c>
      <c r="E14" s="3">
        <f t="shared" si="0"/>
        <v>1.5185383552915252E-2</v>
      </c>
      <c r="F14" s="4">
        <f t="shared" si="1"/>
        <v>733.54890912239739</v>
      </c>
    </row>
    <row r="15" spans="1:7">
      <c r="A15" s="7">
        <v>42545</v>
      </c>
      <c r="B15" s="1">
        <v>0.33333333333333298</v>
      </c>
      <c r="C15" s="2">
        <v>9206.7999999999993</v>
      </c>
      <c r="D15" s="2">
        <v>13</v>
      </c>
      <c r="E15" s="3">
        <f t="shared" si="0"/>
        <v>1.314942996679945E-2</v>
      </c>
      <c r="F15" s="4">
        <f t="shared" si="1"/>
        <v>733.34124185661358</v>
      </c>
    </row>
    <row r="16" spans="1:7">
      <c r="A16" s="7">
        <v>42546</v>
      </c>
      <c r="B16" s="9">
        <v>0.33333333333333298</v>
      </c>
      <c r="C16" s="2">
        <v>9211.4</v>
      </c>
      <c r="D16" s="2">
        <v>13.2</v>
      </c>
      <c r="E16" s="3">
        <f t="shared" si="0"/>
        <v>1.2978160695331226E-2</v>
      </c>
      <c r="F16" s="4">
        <f t="shared" si="1"/>
        <v>733.32377239092375</v>
      </c>
    </row>
    <row r="17" spans="1:7">
      <c r="A17" s="7">
        <v>42551</v>
      </c>
      <c r="B17" s="1">
        <v>0.33333333333333298</v>
      </c>
      <c r="C17" s="2">
        <v>9235.1</v>
      </c>
      <c r="D17" s="2">
        <v>14.7</v>
      </c>
      <c r="E17" s="3">
        <f t="shared" si="0"/>
        <v>1.3591422463576905E-2</v>
      </c>
      <c r="F17" s="4">
        <f t="shared" si="1"/>
        <v>733.38632509128479</v>
      </c>
      <c r="G17" s="5"/>
    </row>
    <row r="18" spans="1:7">
      <c r="A18" s="7">
        <v>42561</v>
      </c>
      <c r="B18" s="9">
        <v>0.33333333333333298</v>
      </c>
      <c r="C18" s="2">
        <v>9241.4</v>
      </c>
      <c r="D18" s="2">
        <v>15.1</v>
      </c>
      <c r="E18" s="3">
        <f t="shared" si="0"/>
        <v>1.3758547906291205E-2</v>
      </c>
      <c r="F18" s="4">
        <f t="shared" si="1"/>
        <v>733.40337188644173</v>
      </c>
    </row>
    <row r="19" spans="1:7">
      <c r="A19" s="7">
        <v>42571</v>
      </c>
      <c r="B19" s="1">
        <v>0.33333333333333298</v>
      </c>
      <c r="C19" s="2">
        <v>9285.7000000000007</v>
      </c>
      <c r="D19" s="2">
        <v>17.100000000000001</v>
      </c>
      <c r="E19" s="3">
        <f t="shared" si="0"/>
        <v>1.2346459553647923E-2</v>
      </c>
      <c r="F19" s="4">
        <f t="shared" si="1"/>
        <v>733.25933887447206</v>
      </c>
    </row>
    <row r="20" spans="1:7">
      <c r="A20" s="7">
        <v>42581</v>
      </c>
      <c r="B20" s="9">
        <v>0.33333333333333398</v>
      </c>
      <c r="C20" s="2">
        <v>9323.1</v>
      </c>
      <c r="D20" s="2">
        <v>19.5</v>
      </c>
      <c r="E20" s="3">
        <f t="shared" si="0"/>
        <v>1.3421452093680925E-2</v>
      </c>
      <c r="F20" s="4">
        <f t="shared" si="1"/>
        <v>733.36898811355547</v>
      </c>
      <c r="G20" s="2"/>
    </row>
    <row r="21" spans="1:7">
      <c r="A21" s="7">
        <v>42592</v>
      </c>
      <c r="B21" s="1">
        <v>0.33333333333333298</v>
      </c>
      <c r="C21" s="2">
        <v>9324.2000000000007</v>
      </c>
      <c r="D21" s="2">
        <v>19.5</v>
      </c>
      <c r="E21" s="3">
        <f t="shared" ref="E21:E44" si="2">($B$2*C21^2+$B$3*C21+$B$4)-$B$5*D21-$E$7</f>
        <v>1.3228287142910217E-2</v>
      </c>
      <c r="F21" s="4">
        <f t="shared" si="1"/>
        <v>733.34928528857688</v>
      </c>
      <c r="G21" s="2"/>
    </row>
    <row r="22" spans="1:7">
      <c r="A22" s="7">
        <v>42602</v>
      </c>
      <c r="B22" s="1">
        <v>0.33333333333333298</v>
      </c>
      <c r="C22">
        <v>9319.5</v>
      </c>
      <c r="D22">
        <v>18.899999999999999</v>
      </c>
      <c r="E22" s="3">
        <f t="shared" si="2"/>
        <v>1.214284143569265E-2</v>
      </c>
      <c r="F22" s="4">
        <f t="shared" si="1"/>
        <v>733.23856982644065</v>
      </c>
    </row>
    <row r="23" spans="1:7">
      <c r="A23" s="7">
        <v>42612</v>
      </c>
      <c r="B23" s="1">
        <v>0.33333333333333298</v>
      </c>
      <c r="C23">
        <v>9302.9</v>
      </c>
      <c r="D23">
        <v>17.7</v>
      </c>
      <c r="E23" s="3">
        <f t="shared" si="2"/>
        <v>1.1236453586842901E-2</v>
      </c>
      <c r="F23" s="4">
        <f t="shared" si="1"/>
        <v>733.14611826585792</v>
      </c>
    </row>
    <row r="24" spans="1:7">
      <c r="A24" s="7">
        <v>42623</v>
      </c>
      <c r="B24" s="1">
        <v>0.33333333333333298</v>
      </c>
      <c r="C24">
        <v>9265.7999999999993</v>
      </c>
      <c r="D24">
        <v>16</v>
      </c>
      <c r="E24" s="3">
        <f t="shared" si="2"/>
        <v>1.2338626873270614E-2</v>
      </c>
      <c r="F24" s="4">
        <f t="shared" si="1"/>
        <v>733.25853994107365</v>
      </c>
    </row>
    <row r="25" spans="1:7">
      <c r="A25" s="6">
        <v>42633</v>
      </c>
      <c r="B25" s="1">
        <v>0.33333333333333331</v>
      </c>
      <c r="C25">
        <v>9236.6</v>
      </c>
      <c r="D25">
        <v>14.8</v>
      </c>
      <c r="E25" s="8">
        <f t="shared" si="2"/>
        <v>1.3646376396355089E-2</v>
      </c>
      <c r="F25" s="4">
        <f t="shared" si="1"/>
        <v>733.39193039242821</v>
      </c>
    </row>
    <row r="26" spans="1:7">
      <c r="A26" s="7">
        <v>42643</v>
      </c>
      <c r="B26" s="1">
        <v>0.33333333333333331</v>
      </c>
      <c r="C26">
        <v>9084.2999999999993</v>
      </c>
      <c r="D26">
        <v>12.8</v>
      </c>
      <c r="E26" s="3">
        <f t="shared" si="2"/>
        <v>3.4041430378478357E-2</v>
      </c>
      <c r="F26" s="4">
        <f t="shared" si="1"/>
        <v>735.47222589860485</v>
      </c>
    </row>
    <row r="27" spans="1:7">
      <c r="A27" s="7">
        <v>42653</v>
      </c>
      <c r="B27" s="1">
        <v>0.33333333333333331</v>
      </c>
      <c r="C27">
        <v>9128</v>
      </c>
      <c r="D27">
        <v>13</v>
      </c>
      <c r="E27" s="3">
        <f t="shared" si="2"/>
        <v>2.6996873128873985E-2</v>
      </c>
      <c r="F27" s="4">
        <f t="shared" si="1"/>
        <v>734.75368105914515</v>
      </c>
    </row>
    <row r="28" spans="1:7">
      <c r="A28" s="7">
        <v>42855</v>
      </c>
      <c r="B28" s="1">
        <v>0.33333333333333331</v>
      </c>
      <c r="C28">
        <v>8880.9</v>
      </c>
      <c r="D28">
        <v>4.0999999999999996</v>
      </c>
      <c r="E28" s="3">
        <f t="shared" si="2"/>
        <v>4.21081405015091E-2</v>
      </c>
      <c r="F28" s="4">
        <f t="shared" si="1"/>
        <v>736.29503033115395</v>
      </c>
    </row>
    <row r="29" spans="1:7">
      <c r="A29" s="7">
        <v>42865</v>
      </c>
      <c r="B29" s="1">
        <v>0.33333333333333331</v>
      </c>
      <c r="C29">
        <v>8846.2999999999993</v>
      </c>
      <c r="D29">
        <v>4.4000000000000004</v>
      </c>
      <c r="E29" s="3">
        <f t="shared" si="2"/>
        <v>4.9152133566996173E-2</v>
      </c>
      <c r="F29" s="4">
        <f t="shared" si="1"/>
        <v>737.01351762383365</v>
      </c>
    </row>
    <row r="30" spans="1:7">
      <c r="A30" s="7">
        <v>42875</v>
      </c>
      <c r="B30" s="1">
        <v>0.33333333333333331</v>
      </c>
      <c r="C30">
        <v>8903.2999999999993</v>
      </c>
      <c r="D30">
        <v>5.7</v>
      </c>
      <c r="E30" s="3">
        <f t="shared" si="2"/>
        <v>4.3262348486664104E-2</v>
      </c>
      <c r="F30" s="4">
        <f t="shared" si="1"/>
        <v>736.41275954563969</v>
      </c>
    </row>
    <row r="31" spans="1:7">
      <c r="A31" s="7">
        <v>42885</v>
      </c>
      <c r="B31" s="1">
        <v>0.33333333333333331</v>
      </c>
      <c r="C31">
        <v>8920.5</v>
      </c>
      <c r="D31">
        <v>5.9</v>
      </c>
      <c r="E31" s="3">
        <f t="shared" si="2"/>
        <v>4.0873240461292523E-2</v>
      </c>
      <c r="F31" s="4">
        <f t="shared" si="1"/>
        <v>736.16907052705187</v>
      </c>
    </row>
    <row r="32" spans="1:7">
      <c r="A32" s="7">
        <v>42896</v>
      </c>
      <c r="B32" s="1">
        <v>0.33333333333333331</v>
      </c>
      <c r="C32">
        <v>8912.7000000000007</v>
      </c>
      <c r="D32">
        <v>5.6</v>
      </c>
      <c r="E32" s="3">
        <f t="shared" si="2"/>
        <v>4.1290088059039817E-2</v>
      </c>
      <c r="F32" s="4">
        <f t="shared" si="1"/>
        <v>736.21158898202202</v>
      </c>
    </row>
    <row r="33" spans="1:6">
      <c r="A33" s="7">
        <v>42906</v>
      </c>
      <c r="B33" s="1">
        <v>0.33333333333333331</v>
      </c>
      <c r="C33">
        <v>8906.2999999999993</v>
      </c>
      <c r="D33">
        <v>5.7</v>
      </c>
      <c r="E33" s="3">
        <f t="shared" si="2"/>
        <v>4.2734533979136291E-2</v>
      </c>
      <c r="F33" s="4">
        <f t="shared" si="1"/>
        <v>736.35892246587196</v>
      </c>
    </row>
    <row r="34" spans="1:6">
      <c r="A34" s="7">
        <v>42926</v>
      </c>
      <c r="B34" s="1">
        <v>0.33333333333333331</v>
      </c>
      <c r="C34">
        <v>8935.6</v>
      </c>
      <c r="D34">
        <v>6.7</v>
      </c>
      <c r="E34" s="3">
        <f t="shared" si="2"/>
        <v>4.0764578583611988E-2</v>
      </c>
      <c r="F34" s="4">
        <f t="shared" si="1"/>
        <v>736.15798701552842</v>
      </c>
    </row>
    <row r="35" spans="1:6">
      <c r="A35" s="7">
        <v>42936</v>
      </c>
      <c r="B35" s="1">
        <v>0.33333333333333331</v>
      </c>
      <c r="C35">
        <v>8941.7000000000007</v>
      </c>
      <c r="D35">
        <v>7.1</v>
      </c>
      <c r="E35" s="3">
        <f t="shared" si="2"/>
        <v>4.0965382643784021E-2</v>
      </c>
      <c r="F35" s="4">
        <f t="shared" si="1"/>
        <v>736.17846902966596</v>
      </c>
    </row>
    <row r="36" spans="1:6">
      <c r="A36" s="7">
        <v>42946</v>
      </c>
      <c r="B36" s="1">
        <v>0.33333333333333331</v>
      </c>
      <c r="C36">
        <v>8994.5</v>
      </c>
      <c r="D36">
        <v>7.6</v>
      </c>
      <c r="E36" s="3">
        <f t="shared" si="2"/>
        <v>3.3270837839942696E-2</v>
      </c>
      <c r="F36" s="4">
        <f t="shared" si="1"/>
        <v>735.39362545967413</v>
      </c>
    </row>
    <row r="37" spans="1:6">
      <c r="A37" s="7">
        <v>42957</v>
      </c>
      <c r="B37" s="1">
        <v>0.33333333333333331</v>
      </c>
      <c r="C37">
        <v>8958.2000000000007</v>
      </c>
      <c r="D37">
        <v>8.3000000000000007</v>
      </c>
      <c r="E37" s="3">
        <f t="shared" si="2"/>
        <v>4.1884583521814317E-2</v>
      </c>
      <c r="F37" s="4">
        <f t="shared" si="1"/>
        <v>736.27222751922511</v>
      </c>
    </row>
    <row r="38" spans="1:6">
      <c r="A38" s="7">
        <v>42967</v>
      </c>
      <c r="B38" s="1">
        <v>0.33333333333333331</v>
      </c>
      <c r="C38">
        <v>8971.7999999999993</v>
      </c>
      <c r="D38">
        <v>8.6999999999999993</v>
      </c>
      <c r="E38" s="3">
        <f t="shared" si="2"/>
        <v>4.076633903793439E-2</v>
      </c>
      <c r="F38" s="4">
        <f t="shared" si="1"/>
        <v>736.1581665818693</v>
      </c>
    </row>
    <row r="39" spans="1:6">
      <c r="A39" s="7">
        <v>42977</v>
      </c>
      <c r="B39" s="1">
        <v>0.33333333333333331</v>
      </c>
      <c r="C39">
        <v>8970.7000000000007</v>
      </c>
      <c r="D39">
        <v>9.1</v>
      </c>
      <c r="E39" s="3">
        <f t="shared" si="2"/>
        <v>4.2233675194358153E-2</v>
      </c>
      <c r="F39" s="4">
        <f t="shared" si="1"/>
        <v>736.30783486982455</v>
      </c>
    </row>
    <row r="40" spans="1:6">
      <c r="A40" s="7">
        <v>42988</v>
      </c>
      <c r="B40" s="1">
        <v>0.33333333333333331</v>
      </c>
      <c r="C40">
        <v>8977</v>
      </c>
      <c r="D40">
        <v>9.5</v>
      </c>
      <c r="E40" s="3">
        <f t="shared" si="2"/>
        <v>4.2399473674548827E-2</v>
      </c>
      <c r="F40" s="4">
        <f t="shared" si="1"/>
        <v>736.32474631480397</v>
      </c>
    </row>
    <row r="41" spans="1:6">
      <c r="A41" s="7">
        <v>42998</v>
      </c>
      <c r="B41" s="1">
        <v>0.33333333333333331</v>
      </c>
      <c r="C41">
        <v>8981.1</v>
      </c>
      <c r="D41">
        <v>9.5</v>
      </c>
      <c r="E41" s="3">
        <f t="shared" si="2"/>
        <v>4.1678369695014761E-2</v>
      </c>
      <c r="F41" s="4">
        <f t="shared" si="1"/>
        <v>736.25119370889149</v>
      </c>
    </row>
    <row r="42" spans="1:6">
      <c r="A42" s="7">
        <v>43008</v>
      </c>
      <c r="B42" s="1">
        <v>0.33333333333333331</v>
      </c>
      <c r="C42">
        <v>8985.6</v>
      </c>
      <c r="D42">
        <v>9.5</v>
      </c>
      <c r="E42" s="3">
        <f t="shared" si="2"/>
        <v>4.0886929522512105E-2</v>
      </c>
      <c r="F42" s="4">
        <f t="shared" si="1"/>
        <v>736.17046681129625</v>
      </c>
    </row>
    <row r="43" spans="1:6">
      <c r="A43" s="7">
        <v>43018</v>
      </c>
      <c r="B43" s="1">
        <v>0.33333333333333331</v>
      </c>
      <c r="C43">
        <v>8985.4</v>
      </c>
      <c r="D43">
        <v>9.6</v>
      </c>
      <c r="E43" s="3">
        <f t="shared" si="2"/>
        <v>4.1240569898739157E-2</v>
      </c>
      <c r="F43" s="4">
        <f t="shared" si="1"/>
        <v>736.20653812967134</v>
      </c>
    </row>
    <row r="44" spans="1:6">
      <c r="A44" s="7">
        <v>43230</v>
      </c>
      <c r="B44" s="1">
        <v>0.33333333333333331</v>
      </c>
      <c r="C44">
        <v>8933.2000000000007</v>
      </c>
      <c r="D44">
        <v>6.4</v>
      </c>
      <c r="E44" s="3">
        <f t="shared" si="2"/>
        <v>4.0231376797039087E-2</v>
      </c>
      <c r="F44" s="4">
        <f t="shared" si="1"/>
        <v>736.10360043329797</v>
      </c>
    </row>
    <row r="45" spans="1:6">
      <c r="A45" s="7">
        <v>43240</v>
      </c>
      <c r="B45" s="1">
        <v>0.33333333333333331</v>
      </c>
      <c r="C45">
        <v>8936.5</v>
      </c>
      <c r="D45">
        <v>6.5</v>
      </c>
      <c r="E45" s="3">
        <f>($B$2*C45^2+$B$3*C45+$B$4)-$B$5*D45-$E$7</f>
        <v>3.9969325436572403E-2</v>
      </c>
      <c r="F45" s="4">
        <f t="shared" si="1"/>
        <v>736.07687119453044</v>
      </c>
    </row>
    <row r="46" spans="1:6">
      <c r="A46" s="7">
        <v>43250</v>
      </c>
      <c r="B46" s="1">
        <v>0.33333333333333331</v>
      </c>
      <c r="C46">
        <v>8934.2999999999993</v>
      </c>
      <c r="D46">
        <v>6.5</v>
      </c>
      <c r="E46" s="3">
        <f>($B$2*C46^2+$B$3*C46+$B$4)-$B$5*D46-$E$7</f>
        <v>4.0356335779628286E-2</v>
      </c>
      <c r="F46" s="4">
        <f t="shared" si="1"/>
        <v>736.11634624952205</v>
      </c>
    </row>
    <row r="47" spans="1:6">
      <c r="A47" s="7">
        <v>43261</v>
      </c>
      <c r="B47" s="1">
        <v>0.33333333333333331</v>
      </c>
      <c r="C47">
        <v>8922.2000000000007</v>
      </c>
      <c r="D47">
        <v>6.3</v>
      </c>
      <c r="E47" s="3">
        <f>($B$2*C47^2+$B$3*C47+$B$4)-$B$5*D47-$E$7</f>
        <v>4.1848030386878218E-2</v>
      </c>
      <c r="F47" s="4">
        <f t="shared" si="1"/>
        <v>736.26849909946156</v>
      </c>
    </row>
    <row r="48" spans="1:6">
      <c r="A48" s="7">
        <v>43271</v>
      </c>
      <c r="B48" s="1">
        <v>0.33333333333333331</v>
      </c>
      <c r="C48">
        <v>8872.1</v>
      </c>
      <c r="D48">
        <v>7.4</v>
      </c>
      <c r="E48" s="3">
        <f>($B$2*C48^2+$B$3*C48+$B$4)-$B$5*D48-$E$7</f>
        <v>5.4165959582992959E-2</v>
      </c>
      <c r="F48" s="4">
        <f t="shared" si="1"/>
        <v>737.5249278774653</v>
      </c>
    </row>
    <row r="49" spans="1:6">
      <c r="A49" s="7">
        <v>43281</v>
      </c>
      <c r="B49" s="1">
        <v>0.33333333333333331</v>
      </c>
      <c r="C49">
        <v>8894.2999999999993</v>
      </c>
      <c r="D49">
        <v>7.6</v>
      </c>
      <c r="E49" s="3">
        <f>($B$2*C49^2+$B$3*C49+$B$4)-$B$5*D49-$E$7</f>
        <v>5.0896681427268248E-2</v>
      </c>
      <c r="F49" s="4">
        <f t="shared" si="1"/>
        <v>737.1914615055814</v>
      </c>
    </row>
    <row r="50" spans="1:6">
      <c r="A50" s="7">
        <v>43291</v>
      </c>
      <c r="B50" s="1">
        <v>0.33333333333333331</v>
      </c>
      <c r="C50">
        <v>8938.5</v>
      </c>
      <c r="D50">
        <v>7.7</v>
      </c>
      <c r="E50" s="3">
        <f t="shared" ref="E50:E52" si="3">($B$2*C50^2+$B$3*C50+$B$4)-$B$5*D50-$E$7</f>
        <v>4.343908839782272E-2</v>
      </c>
      <c r="F50" s="4">
        <f t="shared" si="1"/>
        <v>736.43078701657794</v>
      </c>
    </row>
    <row r="51" spans="1:6">
      <c r="A51" s="7">
        <v>43301</v>
      </c>
      <c r="B51" s="1">
        <v>0.33333333333333331</v>
      </c>
      <c r="C51">
        <v>8933.6</v>
      </c>
      <c r="D51">
        <v>7.9</v>
      </c>
      <c r="E51" s="3">
        <f t="shared" si="3"/>
        <v>4.4937994642816129E-2</v>
      </c>
      <c r="F51" s="4">
        <f t="shared" si="1"/>
        <v>736.58367545356725</v>
      </c>
    </row>
    <row r="52" spans="1:6">
      <c r="A52" s="7">
        <v>43311</v>
      </c>
      <c r="B52" s="1">
        <v>0.33333333333333331</v>
      </c>
      <c r="C52">
        <v>8935.9</v>
      </c>
      <c r="D52">
        <v>7.8</v>
      </c>
      <c r="E52" s="3">
        <f t="shared" si="3"/>
        <v>4.4214926129568954E-2</v>
      </c>
      <c r="F52" s="4">
        <f t="shared" si="1"/>
        <v>736.50992246521605</v>
      </c>
    </row>
    <row r="53" spans="1:6">
      <c r="A53" s="7">
        <v>43322</v>
      </c>
      <c r="B53" s="1">
        <v>0.33333333333333331</v>
      </c>
      <c r="C53">
        <v>8926.1</v>
      </c>
      <c r="D53">
        <v>8.4</v>
      </c>
      <c r="E53" s="3">
        <f>($B$2*C53^2+$B$3*C53+$B$4)-$B$5*D53-$E$7</f>
        <v>4.7849709244774871E-2</v>
      </c>
      <c r="F53" s="4">
        <f>$D$1+102*E53</f>
        <v>736.88067034296705</v>
      </c>
    </row>
    <row r="54" spans="1:6">
      <c r="A54" s="7">
        <v>43332</v>
      </c>
      <c r="B54" s="1">
        <v>0.33333333333333331</v>
      </c>
      <c r="C54">
        <v>8939.6</v>
      </c>
      <c r="D54">
        <v>8.1999999999999993</v>
      </c>
      <c r="E54" s="3">
        <f>($B$2*C54^2+$B$3*C54+$B$4)-$B$5*D54-$E$7</f>
        <v>4.4837914424764161E-2</v>
      </c>
      <c r="F54" s="4">
        <f>$D$1+102*E54</f>
        <v>736.57346727132597</v>
      </c>
    </row>
    <row r="55" spans="1:6">
      <c r="A55" s="7">
        <v>43342</v>
      </c>
      <c r="B55" s="1">
        <v>0.33333333333333331</v>
      </c>
      <c r="C55">
        <v>8917.2000000000007</v>
      </c>
      <c r="D55">
        <v>8.8000000000000007</v>
      </c>
      <c r="E55" s="3">
        <f>($B$2*C55^2+$B$3*C55+$B$4)-$B$5*D55-$E$7</f>
        <v>5.0689301883823257E-2</v>
      </c>
      <c r="F55" s="4">
        <f>$D$1+102*E55</f>
        <v>737.17030879214997</v>
      </c>
    </row>
    <row r="56" spans="1:6">
      <c r="A56" s="7">
        <v>43353</v>
      </c>
      <c r="B56" s="1">
        <v>0.33333333333333331</v>
      </c>
      <c r="C56">
        <v>8900.9</v>
      </c>
      <c r="D56">
        <v>9.1</v>
      </c>
      <c r="E56" s="3">
        <f t="shared" ref="E56:E71" si="4">($B$2*C56^2+$B$3*C56+$B$4)-$B$5*D56-$E$7</f>
        <v>5.4512435654848965E-2</v>
      </c>
      <c r="F56" s="4">
        <f t="shared" ref="F56:F71" si="5">$D$1+102*E56</f>
        <v>737.56026843679456</v>
      </c>
    </row>
    <row r="57" spans="1:6">
      <c r="A57" s="7">
        <v>43363</v>
      </c>
      <c r="B57" s="1">
        <v>0.33333333333333331</v>
      </c>
      <c r="C57">
        <v>8930.9</v>
      </c>
      <c r="D57">
        <v>9.1</v>
      </c>
      <c r="E57" s="3">
        <f t="shared" si="4"/>
        <v>4.9234555857359016E-2</v>
      </c>
      <c r="F57" s="4">
        <f t="shared" si="5"/>
        <v>737.02192469745057</v>
      </c>
    </row>
    <row r="58" spans="1:6">
      <c r="A58" s="7">
        <v>43373</v>
      </c>
      <c r="B58" s="1">
        <v>0.33333333333333331</v>
      </c>
      <c r="C58">
        <v>8942.2999999999993</v>
      </c>
      <c r="D58">
        <v>8.9</v>
      </c>
      <c r="E58" s="3">
        <f t="shared" si="4"/>
        <v>4.6592218323060333E-2</v>
      </c>
      <c r="F58" s="4">
        <f t="shared" si="5"/>
        <v>736.7524062689522</v>
      </c>
    </row>
    <row r="59" spans="1:6">
      <c r="A59" s="7">
        <v>43383</v>
      </c>
      <c r="B59" s="1">
        <v>0.33333333333333331</v>
      </c>
      <c r="C59">
        <v>8945.7000000000007</v>
      </c>
      <c r="D59">
        <v>8.6999999999999993</v>
      </c>
      <c r="E59" s="3">
        <f t="shared" si="4"/>
        <v>4.5357203522708028E-2</v>
      </c>
      <c r="F59" s="4">
        <f t="shared" si="5"/>
        <v>736.62643475931623</v>
      </c>
    </row>
    <row r="60" spans="1:6">
      <c r="A60" s="7">
        <v>43393</v>
      </c>
      <c r="B60" s="1">
        <v>0.33333333333333331</v>
      </c>
      <c r="C60">
        <v>8952.2999999999993</v>
      </c>
      <c r="D60">
        <v>8.4</v>
      </c>
      <c r="E60" s="3">
        <f t="shared" si="4"/>
        <v>4.3240847199050123E-2</v>
      </c>
      <c r="F60" s="4">
        <f t="shared" si="5"/>
        <v>736.41056641430316</v>
      </c>
    </row>
    <row r="61" spans="1:6">
      <c r="A61" s="7">
        <v>43605</v>
      </c>
      <c r="B61" s="1">
        <v>0.33333333333333331</v>
      </c>
      <c r="C61">
        <v>8982.6</v>
      </c>
      <c r="D61">
        <v>8.1999999999999993</v>
      </c>
      <c r="E61" s="3">
        <f t="shared" si="4"/>
        <v>3.7274501711763067E-2</v>
      </c>
      <c r="F61" s="4">
        <f t="shared" si="5"/>
        <v>735.80199917459981</v>
      </c>
    </row>
    <row r="62" spans="1:6">
      <c r="A62" s="7">
        <v>43615</v>
      </c>
      <c r="B62" s="1">
        <v>0.33333333333333331</v>
      </c>
      <c r="C62">
        <v>8980.7000000000007</v>
      </c>
      <c r="D62">
        <v>8.4</v>
      </c>
      <c r="E62" s="3">
        <f t="shared" si="4"/>
        <v>3.8245599113268122E-2</v>
      </c>
      <c r="F62" s="4">
        <f t="shared" si="5"/>
        <v>735.90105110955335</v>
      </c>
    </row>
    <row r="63" spans="1:6">
      <c r="A63" s="7">
        <v>43626</v>
      </c>
      <c r="B63" s="1">
        <v>0.33333333333333331</v>
      </c>
      <c r="C63">
        <v>8980.2000000000007</v>
      </c>
      <c r="D63">
        <v>8.6</v>
      </c>
      <c r="E63" s="3">
        <f t="shared" si="4"/>
        <v>3.8970469265326171E-2</v>
      </c>
      <c r="F63" s="4">
        <f t="shared" si="5"/>
        <v>735.97498786506321</v>
      </c>
    </row>
    <row r="64" spans="1:6">
      <c r="A64" s="7">
        <v>43636</v>
      </c>
      <c r="B64" s="1">
        <v>0.33333333333333331</v>
      </c>
      <c r="C64">
        <v>8979.4</v>
      </c>
      <c r="D64">
        <v>8.8000000000000007</v>
      </c>
      <c r="E64" s="3">
        <f t="shared" si="4"/>
        <v>3.9748103202867258E-2</v>
      </c>
      <c r="F64" s="4">
        <f t="shared" si="5"/>
        <v>736.05430652669247</v>
      </c>
    </row>
    <row r="65" spans="1:6">
      <c r="A65" s="7">
        <v>43646</v>
      </c>
      <c r="B65" s="1">
        <v>0.33333333333333331</v>
      </c>
      <c r="C65">
        <v>8958.1</v>
      </c>
      <c r="D65">
        <v>8.8000000000000007</v>
      </c>
      <c r="E65" s="3">
        <f t="shared" si="4"/>
        <v>4.3494501088710891E-2</v>
      </c>
      <c r="F65" s="4">
        <f t="shared" si="5"/>
        <v>736.43643911104846</v>
      </c>
    </row>
    <row r="66" spans="1:6">
      <c r="A66" s="7">
        <v>43656</v>
      </c>
      <c r="B66" s="1">
        <v>0.33333333333333331</v>
      </c>
      <c r="C66">
        <v>8950.2999999999993</v>
      </c>
      <c r="D66">
        <v>8.8000000000000007</v>
      </c>
      <c r="E66" s="3">
        <f t="shared" si="4"/>
        <v>4.4866511850812252E-2</v>
      </c>
      <c r="F66" s="4">
        <f t="shared" si="5"/>
        <v>736.57638420878288</v>
      </c>
    </row>
    <row r="67" spans="1:6">
      <c r="A67" s="7">
        <v>43666</v>
      </c>
      <c r="B67" s="1">
        <v>0.33333333333333331</v>
      </c>
      <c r="C67">
        <v>8939.2000000000007</v>
      </c>
      <c r="D67">
        <v>8.6999999999999993</v>
      </c>
      <c r="E67" s="3">
        <f t="shared" si="4"/>
        <v>4.6500606667075145E-2</v>
      </c>
      <c r="F67" s="4">
        <f t="shared" si="5"/>
        <v>736.74306188004164</v>
      </c>
    </row>
    <row r="68" spans="1:6">
      <c r="A68" s="7">
        <v>43676</v>
      </c>
      <c r="B68" s="1">
        <v>0.33333333333333331</v>
      </c>
      <c r="C68">
        <v>8930.2999999999993</v>
      </c>
      <c r="D68">
        <v>8.8000000000000007</v>
      </c>
      <c r="E68" s="3">
        <f t="shared" si="4"/>
        <v>4.8384709627032452E-2</v>
      </c>
      <c r="F68" s="4">
        <f t="shared" si="5"/>
        <v>736.93524038195733</v>
      </c>
    </row>
    <row r="69" spans="1:6">
      <c r="A69" s="7">
        <v>43687</v>
      </c>
      <c r="B69" s="1">
        <v>0.33333333333333331</v>
      </c>
      <c r="C69">
        <v>8919.6</v>
      </c>
      <c r="D69">
        <v>8.6999999999999993</v>
      </c>
      <c r="E69" s="3">
        <f t="shared" si="4"/>
        <v>4.9948610679804079E-2</v>
      </c>
      <c r="F69" s="4">
        <f t="shared" si="5"/>
        <v>737.09475828934001</v>
      </c>
    </row>
    <row r="70" spans="1:6">
      <c r="A70" s="7">
        <v>43697</v>
      </c>
      <c r="B70" s="1">
        <v>0.33333333333333331</v>
      </c>
      <c r="C70">
        <v>8908.4</v>
      </c>
      <c r="D70">
        <v>8.6999999999999993</v>
      </c>
      <c r="E70" s="3">
        <f t="shared" si="4"/>
        <v>5.1919036089820209E-2</v>
      </c>
      <c r="F70" s="4">
        <f t="shared" si="5"/>
        <v>737.29574168116164</v>
      </c>
    </row>
    <row r="71" spans="1:6">
      <c r="A71" s="7">
        <v>43707</v>
      </c>
      <c r="B71" s="1">
        <v>0.33333333333333331</v>
      </c>
      <c r="C71">
        <v>8895.2999999999993</v>
      </c>
      <c r="D71">
        <v>8.6999999999999993</v>
      </c>
      <c r="E71" s="3">
        <f t="shared" si="4"/>
        <v>5.4223856891792252E-2</v>
      </c>
      <c r="F71" s="4">
        <f t="shared" si="5"/>
        <v>737.5308334029628</v>
      </c>
    </row>
  </sheetData>
  <phoneticPr fontId="4" type="noConversion"/>
  <pageMargins left="0.69930555555555596" right="0.69930555555555596" top="0.75" bottom="0.75" header="0.3" footer="0.3"/>
  <pageSetup paperSize="9" orientation="portrait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9"/>
  <sheetViews>
    <sheetView topLeftCell="A44" workbookViewId="0">
      <selection activeCell="A63" sqref="A63:B69"/>
    </sheetView>
  </sheetViews>
  <sheetFormatPr defaultColWidth="9" defaultRowHeight="13.5"/>
  <cols>
    <col min="1" max="1" width="11.375" customWidth="1"/>
    <col min="2" max="2" width="13.875" customWidth="1"/>
    <col min="5" max="5" width="10.875" customWidth="1"/>
  </cols>
  <sheetData>
    <row r="1" spans="1:7">
      <c r="A1" t="s">
        <v>0</v>
      </c>
      <c r="B1">
        <v>11250</v>
      </c>
      <c r="C1" t="s">
        <v>1</v>
      </c>
      <c r="D1">
        <v>727.1</v>
      </c>
    </row>
    <row r="2" spans="1:7">
      <c r="A2" t="s">
        <v>2</v>
      </c>
      <c r="B2">
        <f>5.21532*10^-10</f>
        <v>5.2153200000000008E-10</v>
      </c>
    </row>
    <row r="3" spans="1:7">
      <c r="A3" t="s">
        <v>3</v>
      </c>
      <c r="B3">
        <v>-1.4475499999999999E-4</v>
      </c>
    </row>
    <row r="4" spans="1:7">
      <c r="A4" t="s">
        <v>4</v>
      </c>
      <c r="B4">
        <v>1.37740219</v>
      </c>
    </row>
    <row r="5" spans="1:7">
      <c r="A5" t="s">
        <v>5</v>
      </c>
      <c r="B5">
        <v>-8.8909520000000006E-3</v>
      </c>
    </row>
    <row r="6" spans="1:7">
      <c r="A6" t="s">
        <v>6</v>
      </c>
      <c r="B6" t="s">
        <v>7</v>
      </c>
      <c r="C6" t="s">
        <v>8</v>
      </c>
      <c r="D6" t="s">
        <v>9</v>
      </c>
      <c r="E6" t="s">
        <v>10</v>
      </c>
      <c r="F6" t="s">
        <v>11</v>
      </c>
      <c r="G6" t="s">
        <v>12</v>
      </c>
    </row>
    <row r="7" spans="1:7">
      <c r="A7" s="7">
        <v>42540</v>
      </c>
      <c r="B7" s="1">
        <v>0.33333333333333298</v>
      </c>
      <c r="C7" s="2">
        <v>9664.2999999999993</v>
      </c>
      <c r="D7" s="2">
        <v>13.6</v>
      </c>
      <c r="E7" s="3">
        <f>($B$2*C7^2+$B$3*C7+$B$4)-$B$5*D7</f>
        <v>0.14807379863475889</v>
      </c>
      <c r="G7" t="s">
        <v>13</v>
      </c>
    </row>
    <row r="8" spans="1:7">
      <c r="A8" s="7">
        <v>42540</v>
      </c>
      <c r="B8" s="1">
        <v>0.45833333333333298</v>
      </c>
      <c r="C8" s="2">
        <v>8854.2000000000007</v>
      </c>
      <c r="D8" s="2">
        <v>14.2</v>
      </c>
      <c r="E8" s="3">
        <f>($B$2*C8^2+$B$3*C8+$B$4)-$B$5*D8-$E$7</f>
        <v>0.11477665872394571</v>
      </c>
      <c r="F8" s="4">
        <f>$D$1+102*E8</f>
        <v>738.8072191898425</v>
      </c>
      <c r="G8" s="5" t="s">
        <v>14</v>
      </c>
    </row>
    <row r="9" spans="1:7">
      <c r="A9" s="7">
        <v>42541</v>
      </c>
      <c r="B9" s="1">
        <v>0.33333333333333298</v>
      </c>
      <c r="C9" s="2">
        <v>8811.2999999999993</v>
      </c>
      <c r="D9" s="2">
        <v>9.6</v>
      </c>
      <c r="E9" s="3">
        <f t="shared" ref="E9:E18" si="0">($B$2*C9^2+$B$3*C9+$B$4)-$B$5*D9-$E$7</f>
        <v>7.9693026023822222E-2</v>
      </c>
      <c r="F9" s="4">
        <f t="shared" ref="F9:F51" si="1">$D$1+102*E9</f>
        <v>735.2286886544299</v>
      </c>
    </row>
    <row r="10" spans="1:7">
      <c r="A10" s="7">
        <v>42542</v>
      </c>
      <c r="B10" s="1">
        <v>0.33333333333333298</v>
      </c>
      <c r="C10" s="2">
        <v>8754.5</v>
      </c>
      <c r="D10" s="2">
        <v>8.1</v>
      </c>
      <c r="E10" s="3">
        <f t="shared" si="0"/>
        <v>7.405833002126419E-2</v>
      </c>
      <c r="F10" s="4">
        <f t="shared" si="1"/>
        <v>734.653949662169</v>
      </c>
    </row>
    <row r="11" spans="1:7">
      <c r="A11" s="7">
        <v>42543</v>
      </c>
      <c r="B11" s="1">
        <v>0.33333333333333298</v>
      </c>
      <c r="C11" s="2">
        <v>8762.1</v>
      </c>
      <c r="D11" s="2">
        <v>7.9</v>
      </c>
      <c r="E11" s="3">
        <f t="shared" si="0"/>
        <v>7.1249431173741246E-2</v>
      </c>
      <c r="F11" s="4">
        <f t="shared" si="1"/>
        <v>734.36744197972166</v>
      </c>
    </row>
    <row r="12" spans="1:7">
      <c r="A12" s="7">
        <v>42544</v>
      </c>
      <c r="B12" s="1">
        <v>0.33333333333333298</v>
      </c>
      <c r="C12" s="2">
        <v>8774.7000000000007</v>
      </c>
      <c r="D12" s="2">
        <v>7.8</v>
      </c>
      <c r="E12" s="3">
        <f t="shared" si="0"/>
        <v>6.8651662603698815E-2</v>
      </c>
      <c r="F12" s="4">
        <f t="shared" si="1"/>
        <v>734.1024695855773</v>
      </c>
    </row>
    <row r="13" spans="1:7">
      <c r="A13" s="7">
        <v>42545</v>
      </c>
      <c r="B13" s="1">
        <v>0.33333333333333298</v>
      </c>
      <c r="C13" s="2">
        <v>8789</v>
      </c>
      <c r="D13" s="2">
        <v>7.7</v>
      </c>
      <c r="E13" s="3">
        <f t="shared" si="0"/>
        <v>6.5823559355413064E-2</v>
      </c>
      <c r="F13" s="4">
        <f t="shared" si="1"/>
        <v>733.81400305425211</v>
      </c>
    </row>
    <row r="14" spans="1:7">
      <c r="A14" s="7">
        <v>42546</v>
      </c>
      <c r="B14" s="9">
        <v>0.33333333333333298</v>
      </c>
      <c r="C14" s="2">
        <v>8791.2999999999993</v>
      </c>
      <c r="D14" s="2">
        <v>7.7</v>
      </c>
      <c r="E14" s="3">
        <f t="shared" si="0"/>
        <v>6.5511710840158388E-2</v>
      </c>
      <c r="F14" s="4">
        <f t="shared" si="1"/>
        <v>733.78219450569622</v>
      </c>
    </row>
    <row r="15" spans="1:7">
      <c r="A15" s="7">
        <v>42551</v>
      </c>
      <c r="B15" s="1">
        <v>0.33333333333333298</v>
      </c>
      <c r="C15" s="2">
        <v>8803.7999999999993</v>
      </c>
      <c r="D15" s="2">
        <v>7.6</v>
      </c>
      <c r="E15" s="3">
        <f t="shared" si="0"/>
        <v>6.2927883236323395E-2</v>
      </c>
      <c r="F15" s="4">
        <f t="shared" si="1"/>
        <v>733.518644090105</v>
      </c>
    </row>
    <row r="16" spans="1:7">
      <c r="A16" s="7">
        <v>42561</v>
      </c>
      <c r="B16" s="9">
        <v>0.33333333333333298</v>
      </c>
      <c r="C16" s="2">
        <v>8802.9</v>
      </c>
      <c r="D16" s="2">
        <v>7.6</v>
      </c>
      <c r="E16" s="3">
        <f t="shared" si="0"/>
        <v>6.3049898524605325E-2</v>
      </c>
      <c r="F16" s="4">
        <f t="shared" si="1"/>
        <v>733.53108964950979</v>
      </c>
    </row>
    <row r="17" spans="1:7">
      <c r="A17" s="7">
        <v>42571</v>
      </c>
      <c r="B17" s="1">
        <v>0.33333333333333298</v>
      </c>
      <c r="C17" s="2">
        <v>8808.5</v>
      </c>
      <c r="D17" s="2">
        <v>7.6</v>
      </c>
      <c r="E17" s="3">
        <f t="shared" si="0"/>
        <v>6.2290706013128166E-2</v>
      </c>
      <c r="F17" s="4">
        <f t="shared" si="1"/>
        <v>733.45365201333914</v>
      </c>
      <c r="G17" s="5"/>
    </row>
    <row r="18" spans="1:7">
      <c r="A18" s="7">
        <v>42581</v>
      </c>
      <c r="B18" s="9">
        <v>0.33333333333333398</v>
      </c>
      <c r="C18" s="2">
        <v>8806.7999999999993</v>
      </c>
      <c r="D18" s="2">
        <v>7.6</v>
      </c>
      <c r="E18" s="3">
        <f t="shared" si="0"/>
        <v>6.2521171710641116E-2</v>
      </c>
      <c r="F18" s="4">
        <f t="shared" si="1"/>
        <v>733.47715951448538</v>
      </c>
    </row>
    <row r="19" spans="1:7">
      <c r="A19" s="7">
        <v>42592</v>
      </c>
      <c r="B19" s="1">
        <v>0.33333333333333298</v>
      </c>
      <c r="C19" s="2">
        <v>8806.4</v>
      </c>
      <c r="D19" s="2">
        <v>7.7</v>
      </c>
      <c r="E19" s="3">
        <f t="shared" ref="E19:E42" si="2">($B$2*C19^2+$B$3*C19+$B$4)-$B$5*D19-$E$7</f>
        <v>6.3464494571671803E-2</v>
      </c>
      <c r="F19" s="4">
        <f t="shared" si="1"/>
        <v>733.57337844631058</v>
      </c>
    </row>
    <row r="20" spans="1:7">
      <c r="A20" s="7">
        <v>42602</v>
      </c>
      <c r="B20" s="1">
        <v>0.33333333333333298</v>
      </c>
      <c r="C20" s="2">
        <v>8819.1</v>
      </c>
      <c r="D20" s="2">
        <v>7.8</v>
      </c>
      <c r="E20" s="3">
        <f t="shared" si="2"/>
        <v>6.2631943002450008E-2</v>
      </c>
      <c r="F20" s="4">
        <f t="shared" si="1"/>
        <v>733.48845818624989</v>
      </c>
      <c r="G20" s="2"/>
    </row>
    <row r="21" spans="1:7">
      <c r="A21" s="7">
        <v>42612</v>
      </c>
      <c r="B21" s="1">
        <v>0.33333333333333298</v>
      </c>
      <c r="C21" s="2">
        <v>8817.6</v>
      </c>
      <c r="D21" s="2">
        <v>7.9</v>
      </c>
      <c r="E21" s="3">
        <f t="shared" si="2"/>
        <v>6.3724373547313612E-2</v>
      </c>
      <c r="F21" s="4">
        <f t="shared" si="1"/>
        <v>733.59988610182597</v>
      </c>
      <c r="G21" s="2"/>
    </row>
    <row r="22" spans="1:7">
      <c r="A22" s="7">
        <v>42623</v>
      </c>
      <c r="B22" s="1">
        <v>0.33333333333333298</v>
      </c>
      <c r="C22">
        <v>8805.4</v>
      </c>
      <c r="D22">
        <v>8.1</v>
      </c>
      <c r="E22" s="3">
        <f t="shared" si="2"/>
        <v>6.7156445254394154E-2</v>
      </c>
      <c r="F22" s="4">
        <f t="shared" si="1"/>
        <v>733.94995741594823</v>
      </c>
    </row>
    <row r="23" spans="1:7">
      <c r="A23" s="7">
        <v>42633</v>
      </c>
      <c r="B23" s="1">
        <v>0.33333333333333331</v>
      </c>
      <c r="C23" s="2">
        <v>8789.7999999999993</v>
      </c>
      <c r="D23" s="2">
        <v>8</v>
      </c>
      <c r="E23" s="3">
        <f t="shared" si="2"/>
        <v>6.8382375280790553E-2</v>
      </c>
      <c r="F23" s="4">
        <f t="shared" si="1"/>
        <v>734.07500227864068</v>
      </c>
    </row>
    <row r="24" spans="1:7">
      <c r="A24" s="7">
        <v>42643</v>
      </c>
      <c r="B24" s="1">
        <v>0.33333333333333331</v>
      </c>
      <c r="C24" s="2">
        <v>8639.7000000000007</v>
      </c>
      <c r="D24" s="2">
        <v>8.4</v>
      </c>
      <c r="E24" s="3">
        <f t="shared" si="2"/>
        <v>9.2302066277490796E-2</v>
      </c>
      <c r="F24" s="4">
        <f t="shared" si="1"/>
        <v>736.51481076030404</v>
      </c>
    </row>
    <row r="25" spans="1:7">
      <c r="A25" s="6">
        <v>42653</v>
      </c>
      <c r="B25" s="1">
        <v>0.33333333333333331</v>
      </c>
      <c r="C25" s="2">
        <v>8661.6</v>
      </c>
      <c r="D25" s="2">
        <v>8.4</v>
      </c>
      <c r="E25" s="3">
        <f t="shared" si="2"/>
        <v>8.9329539454347046E-2</v>
      </c>
      <c r="F25" s="4">
        <f t="shared" si="1"/>
        <v>736.21161302434348</v>
      </c>
    </row>
    <row r="26" spans="1:7">
      <c r="A26" s="7">
        <v>42855</v>
      </c>
      <c r="B26" s="1">
        <v>0.33333333333333331</v>
      </c>
      <c r="C26" s="2">
        <v>8629.2999999999993</v>
      </c>
      <c r="D26" s="2">
        <v>8.1</v>
      </c>
      <c r="E26" s="3">
        <f t="shared" si="2"/>
        <v>9.1046566781967903E-2</v>
      </c>
      <c r="F26" s="4">
        <f t="shared" si="1"/>
        <v>736.38674981176075</v>
      </c>
    </row>
    <row r="27" spans="1:7">
      <c r="A27" s="7">
        <v>42865</v>
      </c>
      <c r="B27" s="1">
        <v>0.33333333333333331</v>
      </c>
      <c r="C27" s="2">
        <v>8582.6</v>
      </c>
      <c r="D27" s="2">
        <v>8</v>
      </c>
      <c r="E27" s="3">
        <f t="shared" si="2"/>
        <v>9.6498324887309417E-2</v>
      </c>
      <c r="F27" s="4">
        <f t="shared" si="1"/>
        <v>736.94282913850554</v>
      </c>
    </row>
    <row r="28" spans="1:7">
      <c r="A28" s="7">
        <v>42875</v>
      </c>
      <c r="B28" s="1">
        <v>0.33333333333333331</v>
      </c>
      <c r="C28" s="2">
        <v>8639</v>
      </c>
      <c r="D28" s="2">
        <v>8</v>
      </c>
      <c r="E28" s="3">
        <f t="shared" si="2"/>
        <v>8.8840706001013181E-2</v>
      </c>
      <c r="F28" s="4">
        <f t="shared" si="1"/>
        <v>736.16175201210342</v>
      </c>
    </row>
    <row r="29" spans="1:7">
      <c r="A29" s="7">
        <v>42885</v>
      </c>
      <c r="B29" s="1">
        <v>0.33333333333333331</v>
      </c>
      <c r="C29" s="2">
        <v>8657</v>
      </c>
      <c r="D29" s="2">
        <v>7.9</v>
      </c>
      <c r="E29" s="3">
        <f t="shared" si="2"/>
        <v>8.5508388315509193E-2</v>
      </c>
      <c r="F29" s="4">
        <f t="shared" si="1"/>
        <v>735.82185560818198</v>
      </c>
    </row>
    <row r="30" spans="1:7">
      <c r="A30" s="7">
        <v>42896</v>
      </c>
      <c r="B30" s="1">
        <v>0.33333333333333331</v>
      </c>
      <c r="C30" s="2">
        <v>8654.2000000000007</v>
      </c>
      <c r="D30" s="2">
        <v>7.9</v>
      </c>
      <c r="E30" s="3">
        <f t="shared" si="2"/>
        <v>8.5888422950185478E-2</v>
      </c>
      <c r="F30" s="4">
        <f t="shared" si="1"/>
        <v>735.86061914091897</v>
      </c>
    </row>
    <row r="31" spans="1:7">
      <c r="A31" s="7">
        <v>42906</v>
      </c>
      <c r="B31" s="1">
        <v>0.33333333333333331</v>
      </c>
      <c r="C31" s="2">
        <v>8641.7999999999993</v>
      </c>
      <c r="D31" s="2">
        <v>7.8</v>
      </c>
      <c r="E31" s="3">
        <f t="shared" si="2"/>
        <v>8.6682436573532806E-2</v>
      </c>
      <c r="F31" s="4">
        <f t="shared" si="1"/>
        <v>735.94160853050039</v>
      </c>
    </row>
    <row r="32" spans="1:7">
      <c r="A32" s="7">
        <v>42926</v>
      </c>
      <c r="B32" s="1">
        <v>0.33333333333333331</v>
      </c>
      <c r="C32" s="2">
        <v>8653.7999999999993</v>
      </c>
      <c r="D32" s="2">
        <v>7.7</v>
      </c>
      <c r="E32" s="3">
        <f t="shared" si="2"/>
        <v>8.4164523879843411E-2</v>
      </c>
      <c r="F32" s="4">
        <f t="shared" si="1"/>
        <v>735.68478143574407</v>
      </c>
    </row>
    <row r="33" spans="1:6">
      <c r="A33" s="7">
        <v>42936</v>
      </c>
      <c r="B33" s="1">
        <v>0.33333333333333331</v>
      </c>
      <c r="C33" s="2">
        <v>8653.5</v>
      </c>
      <c r="D33" s="2">
        <v>7.7</v>
      </c>
      <c r="E33" s="3">
        <f t="shared" si="2"/>
        <v>8.4205242486608212E-2</v>
      </c>
      <c r="F33" s="4">
        <f t="shared" si="1"/>
        <v>735.68893473363403</v>
      </c>
    </row>
    <row r="34" spans="1:6">
      <c r="A34" s="7">
        <v>42946</v>
      </c>
      <c r="B34" s="1">
        <v>0.33333333333333331</v>
      </c>
      <c r="C34" s="2">
        <v>8656.9</v>
      </c>
      <c r="D34" s="2">
        <v>7.7</v>
      </c>
      <c r="E34" s="3">
        <f t="shared" si="2"/>
        <v>8.3743770440219745E-2</v>
      </c>
      <c r="F34" s="4">
        <f t="shared" si="1"/>
        <v>735.64186458490246</v>
      </c>
    </row>
    <row r="35" spans="1:6">
      <c r="A35" s="7">
        <v>42957</v>
      </c>
      <c r="B35" s="1">
        <v>0.33333333333333331</v>
      </c>
      <c r="C35" s="2">
        <v>8648.4</v>
      </c>
      <c r="D35" s="2">
        <v>7.6</v>
      </c>
      <c r="E35" s="3">
        <f t="shared" si="2"/>
        <v>8.4008377964603059E-2</v>
      </c>
      <c r="F35" s="4">
        <f t="shared" si="1"/>
        <v>735.66885455238958</v>
      </c>
    </row>
    <row r="36" spans="1:6">
      <c r="A36" s="7">
        <v>42967</v>
      </c>
      <c r="B36" s="1">
        <v>0.33333333333333331</v>
      </c>
      <c r="C36" s="2">
        <v>8657.6</v>
      </c>
      <c r="D36" s="2">
        <v>7.7</v>
      </c>
      <c r="E36" s="3">
        <f t="shared" si="2"/>
        <v>8.3648762986289427E-2</v>
      </c>
      <c r="F36" s="4">
        <f t="shared" si="1"/>
        <v>735.63217382460152</v>
      </c>
    </row>
    <row r="37" spans="1:6">
      <c r="A37" s="7">
        <v>42977</v>
      </c>
      <c r="B37" s="1">
        <v>0.33333333333333331</v>
      </c>
      <c r="C37" s="2">
        <v>8645</v>
      </c>
      <c r="D37" s="2">
        <v>7.7</v>
      </c>
      <c r="E37" s="3">
        <f t="shared" si="2"/>
        <v>8.5358975355541267E-2</v>
      </c>
      <c r="F37" s="4">
        <f t="shared" si="1"/>
        <v>735.80661548626529</v>
      </c>
    </row>
    <row r="38" spans="1:6">
      <c r="A38" s="7">
        <v>42988</v>
      </c>
      <c r="B38" s="1">
        <v>0.33333333333333331</v>
      </c>
      <c r="C38" s="2">
        <v>8644.9</v>
      </c>
      <c r="D38" s="2">
        <v>8</v>
      </c>
      <c r="E38" s="3">
        <f t="shared" si="2"/>
        <v>8.8039834731928612E-2</v>
      </c>
      <c r="F38" s="4">
        <f t="shared" si="1"/>
        <v>736.08006314265674</v>
      </c>
    </row>
    <row r="39" spans="1:6">
      <c r="A39" s="7">
        <v>42998</v>
      </c>
      <c r="B39" s="1">
        <v>0.33333333333333331</v>
      </c>
      <c r="C39" s="2">
        <v>8648.7000000000007</v>
      </c>
      <c r="D39" s="2">
        <v>7.8</v>
      </c>
      <c r="E39" s="3">
        <f t="shared" si="2"/>
        <v>8.5745848161950189E-2</v>
      </c>
      <c r="F39" s="4">
        <f t="shared" si="1"/>
        <v>735.84607651251895</v>
      </c>
    </row>
    <row r="40" spans="1:6">
      <c r="A40" s="7">
        <v>43008</v>
      </c>
      <c r="B40" s="1">
        <v>0.33333333333333331</v>
      </c>
      <c r="C40" s="2">
        <v>8652</v>
      </c>
      <c r="D40" s="2">
        <v>7.5</v>
      </c>
      <c r="E40" s="3">
        <f t="shared" si="2"/>
        <v>8.2630646528569163E-2</v>
      </c>
      <c r="F40" s="4">
        <f t="shared" si="1"/>
        <v>735.52832594591405</v>
      </c>
    </row>
    <row r="41" spans="1:6">
      <c r="A41" s="7">
        <v>43018</v>
      </c>
      <c r="B41" s="1">
        <v>0.33333333333333331</v>
      </c>
      <c r="C41" s="2">
        <v>8650.5</v>
      </c>
      <c r="D41" s="2">
        <v>7.6</v>
      </c>
      <c r="E41" s="3">
        <f t="shared" si="2"/>
        <v>8.3723338517424334E-2</v>
      </c>
      <c r="F41" s="4">
        <f t="shared" si="1"/>
        <v>735.63978052877735</v>
      </c>
    </row>
    <row r="42" spans="1:6">
      <c r="A42" s="7">
        <v>43230</v>
      </c>
      <c r="B42" s="1">
        <v>0.33333333333333331</v>
      </c>
      <c r="C42" s="2">
        <v>8660.9</v>
      </c>
      <c r="D42" s="2">
        <v>7.9</v>
      </c>
      <c r="E42" s="3">
        <f t="shared" si="2"/>
        <v>8.4979067987698248E-2</v>
      </c>
      <c r="F42" s="4">
        <f t="shared" si="1"/>
        <v>735.76786493474526</v>
      </c>
    </row>
    <row r="43" spans="1:6">
      <c r="A43" s="7">
        <v>43240</v>
      </c>
      <c r="B43" s="1">
        <v>0.33333333333333331</v>
      </c>
      <c r="C43" s="2">
        <v>8663.9</v>
      </c>
      <c r="D43" s="2">
        <v>8.1999999999999993</v>
      </c>
      <c r="E43" s="3">
        <f>($B$2*C43^2+$B$3*C43+$B$4)-$B$5*D43-$E$7</f>
        <v>8.7239194900479045E-2</v>
      </c>
      <c r="F43" s="4">
        <f t="shared" si="1"/>
        <v>735.99839787984888</v>
      </c>
    </row>
    <row r="44" spans="1:6">
      <c r="A44" s="7">
        <v>43250</v>
      </c>
      <c r="B44" s="1">
        <v>0.33333333333333331</v>
      </c>
      <c r="C44" s="2">
        <v>8656.7999999999993</v>
      </c>
      <c r="D44" s="2">
        <v>7.8</v>
      </c>
      <c r="E44" s="3">
        <f>($B$2*C44^2+$B$3*C44+$B$4)-$B$5*D44-$E$7</f>
        <v>8.4646438175360883E-2</v>
      </c>
      <c r="F44" s="4">
        <f t="shared" si="1"/>
        <v>735.73393669388679</v>
      </c>
    </row>
    <row r="45" spans="1:6">
      <c r="A45" s="7">
        <v>43261</v>
      </c>
      <c r="B45" s="1">
        <v>0.33333333333333331</v>
      </c>
      <c r="C45" s="2">
        <v>8627.9</v>
      </c>
      <c r="D45" s="2">
        <v>7.8</v>
      </c>
      <c r="E45" s="3">
        <f>($B$2*C45^2+$B$3*C45+$B$4)-$B$5*D45-$E$7</f>
        <v>8.8569337927125291E-2</v>
      </c>
      <c r="F45" s="4">
        <f t="shared" si="1"/>
        <v>736.13407246856684</v>
      </c>
    </row>
    <row r="46" spans="1:6">
      <c r="A46" s="7">
        <v>43271</v>
      </c>
      <c r="B46" s="1">
        <v>0.33333333333333331</v>
      </c>
      <c r="C46" s="2">
        <v>8529.2000000000007</v>
      </c>
      <c r="D46" s="2">
        <v>8.6999999999999993</v>
      </c>
      <c r="E46" s="3">
        <f>($B$2*C46^2+$B$3*C46+$B$4)-$B$5*D46-$E$7</f>
        <v>0.10997534792908548</v>
      </c>
      <c r="F46" s="4">
        <f t="shared" si="1"/>
        <v>738.31748548876669</v>
      </c>
    </row>
    <row r="47" spans="1:6">
      <c r="A47" s="7">
        <v>43281</v>
      </c>
      <c r="B47" s="1">
        <v>0.33333333333333331</v>
      </c>
      <c r="C47" s="2">
        <v>8574.2000000000007</v>
      </c>
      <c r="D47" s="2">
        <v>8</v>
      </c>
      <c r="E47" s="3">
        <f>($B$2*C47^2+$B$3*C47+$B$4)-$B$5*D47-$E$7</f>
        <v>9.7639105197481368E-2</v>
      </c>
      <c r="F47" s="4">
        <f t="shared" si="1"/>
        <v>737.05918873014309</v>
      </c>
    </row>
    <row r="48" spans="1:6">
      <c r="A48" s="7">
        <v>43291</v>
      </c>
      <c r="B48" s="1">
        <v>0.33333333333333331</v>
      </c>
      <c r="C48" s="2">
        <v>8627.1</v>
      </c>
      <c r="D48" s="2">
        <v>8.4</v>
      </c>
      <c r="E48" s="3">
        <f t="shared" ref="E48:E51" si="3">($B$2*C48^2+$B$3*C48+$B$4)-$B$5*D48-$E$7</f>
        <v>9.4012513899397326E-2</v>
      </c>
      <c r="F48" s="4">
        <f t="shared" si="1"/>
        <v>736.6892764177386</v>
      </c>
    </row>
    <row r="49" spans="1:6">
      <c r="A49" s="7">
        <v>43301</v>
      </c>
      <c r="B49" s="1">
        <v>0.33333333333333331</v>
      </c>
      <c r="C49" s="2">
        <v>8630.7000000000007</v>
      </c>
      <c r="D49" s="2">
        <v>8</v>
      </c>
      <c r="E49" s="3">
        <f t="shared" si="3"/>
        <v>8.9967416881215623E-2</v>
      </c>
      <c r="F49" s="4">
        <f t="shared" si="1"/>
        <v>736.27667652188404</v>
      </c>
    </row>
    <row r="50" spans="1:6">
      <c r="A50" s="7">
        <v>43311</v>
      </c>
      <c r="B50" s="1">
        <v>0.33333333333333331</v>
      </c>
      <c r="C50" s="2">
        <v>8630.7999999999993</v>
      </c>
      <c r="D50" s="2">
        <v>7.9</v>
      </c>
      <c r="E50" s="3">
        <f t="shared" si="3"/>
        <v>8.9064746423677538E-2</v>
      </c>
      <c r="F50" s="4">
        <f t="shared" si="1"/>
        <v>736.18460413521518</v>
      </c>
    </row>
    <row r="51" spans="1:6">
      <c r="A51" s="7">
        <v>43322</v>
      </c>
      <c r="B51" s="1">
        <v>0.33333333333333331</v>
      </c>
      <c r="C51" s="2">
        <v>8610.9</v>
      </c>
      <c r="D51" s="2">
        <v>8.1999999999999993</v>
      </c>
      <c r="E51" s="3">
        <f t="shared" si="3"/>
        <v>9.4433713767818062E-2</v>
      </c>
      <c r="F51" s="4">
        <f t="shared" si="1"/>
        <v>736.73223880431749</v>
      </c>
    </row>
    <row r="52" spans="1:6">
      <c r="A52" s="7">
        <v>43332</v>
      </c>
      <c r="B52" s="1">
        <v>0.33333333333333331</v>
      </c>
      <c r="C52" s="2">
        <v>8626.2999999999993</v>
      </c>
      <c r="D52" s="2">
        <v>7.8</v>
      </c>
      <c r="E52" s="3">
        <f t="shared" ref="E52:E53" si="4">($B$2*C52^2+$B$3*C52+$B$4)-$B$5*D52-$E$7</f>
        <v>8.8786548139230259E-2</v>
      </c>
      <c r="F52" s="4">
        <f t="shared" ref="F52:F53" si="5">$D$1+102*E52</f>
        <v>736.15622791020155</v>
      </c>
    </row>
    <row r="53" spans="1:6">
      <c r="A53" s="7">
        <v>43342</v>
      </c>
      <c r="B53" s="1">
        <v>0.33333333333333331</v>
      </c>
      <c r="C53" s="2">
        <v>8600.1</v>
      </c>
      <c r="D53" s="2">
        <v>8.1</v>
      </c>
      <c r="E53" s="3">
        <f t="shared" si="4"/>
        <v>9.5011030825496473E-2</v>
      </c>
      <c r="F53" s="4">
        <f t="shared" si="5"/>
        <v>736.79112514420069</v>
      </c>
    </row>
    <row r="54" spans="1:6">
      <c r="A54" s="7">
        <v>43353</v>
      </c>
      <c r="B54" s="1">
        <v>0.33333333333333331</v>
      </c>
      <c r="C54" s="2">
        <v>8539</v>
      </c>
      <c r="D54" s="2">
        <v>8.3000000000000007</v>
      </c>
      <c r="E54" s="3">
        <f t="shared" ref="E54:E69" si="6">($B$2*C54^2+$B$3*C54+$B$4)-$B$5*D54-$E$7</f>
        <v>0.10508760393141314</v>
      </c>
      <c r="F54" s="4">
        <f t="shared" ref="F54:F69" si="7">$D$1+102*E54</f>
        <v>737.81893560100411</v>
      </c>
    </row>
    <row r="55" spans="1:6">
      <c r="A55" s="7">
        <v>43363</v>
      </c>
      <c r="B55" s="1">
        <v>0.33333333333333331</v>
      </c>
      <c r="C55" s="2">
        <v>8600</v>
      </c>
      <c r="D55" s="2">
        <v>7.8</v>
      </c>
      <c r="E55" s="3">
        <f t="shared" si="6"/>
        <v>9.2357323685241077E-2</v>
      </c>
      <c r="F55" s="4">
        <f t="shared" si="7"/>
        <v>736.52044701589466</v>
      </c>
    </row>
    <row r="56" spans="1:6">
      <c r="A56" s="7">
        <v>43373</v>
      </c>
      <c r="B56" s="1">
        <v>0.33333333333333331</v>
      </c>
      <c r="C56" s="2">
        <v>8597.2000000000007</v>
      </c>
      <c r="D56" s="2">
        <v>7.5</v>
      </c>
      <c r="E56" s="3">
        <f t="shared" si="6"/>
        <v>9.0070239192931834E-2</v>
      </c>
      <c r="F56" s="4">
        <f t="shared" si="7"/>
        <v>736.28716439767902</v>
      </c>
    </row>
    <row r="57" spans="1:6">
      <c r="A57" s="7">
        <v>43383</v>
      </c>
      <c r="B57" s="1">
        <v>0.33333333333333331</v>
      </c>
      <c r="C57" s="2">
        <v>8602.4</v>
      </c>
      <c r="D57" s="2">
        <v>7.4</v>
      </c>
      <c r="E57" s="3">
        <f t="shared" si="6"/>
        <v>8.8475062730225623E-2</v>
      </c>
      <c r="F57" s="4">
        <f t="shared" si="7"/>
        <v>736.12445639848306</v>
      </c>
    </row>
    <row r="58" spans="1:6">
      <c r="A58" s="7">
        <v>43393</v>
      </c>
      <c r="B58" s="1">
        <v>0.33333333333333331</v>
      </c>
      <c r="C58" s="2">
        <v>8608.7000000000007</v>
      </c>
      <c r="D58" s="2">
        <v>7.1</v>
      </c>
      <c r="E58" s="3">
        <f t="shared" si="6"/>
        <v>8.4952370308478187E-2</v>
      </c>
      <c r="F58" s="4">
        <f t="shared" si="7"/>
        <v>735.76514177146476</v>
      </c>
    </row>
    <row r="59" spans="1:6">
      <c r="A59" s="7">
        <v>43605</v>
      </c>
      <c r="B59" s="1">
        <v>0.33333333333333331</v>
      </c>
      <c r="C59" s="2">
        <v>8637.5</v>
      </c>
      <c r="D59" s="2">
        <v>6.5</v>
      </c>
      <c r="E59" s="3">
        <f t="shared" si="6"/>
        <v>7.5707895129616232E-2</v>
      </c>
      <c r="F59" s="4">
        <f t="shared" si="7"/>
        <v>734.82220530322093</v>
      </c>
    </row>
    <row r="60" spans="1:6">
      <c r="A60" s="7">
        <v>43615</v>
      </c>
      <c r="B60" s="1">
        <v>0.33333333333333331</v>
      </c>
      <c r="C60" s="2">
        <v>8638.2999999999993</v>
      </c>
      <c r="D60" s="2">
        <v>6.7</v>
      </c>
      <c r="E60" s="3">
        <f t="shared" si="6"/>
        <v>7.7377489435636743E-2</v>
      </c>
      <c r="F60" s="4">
        <f t="shared" si="7"/>
        <v>734.99250392243493</v>
      </c>
    </row>
    <row r="61" spans="1:6">
      <c r="A61" s="7">
        <v>43626</v>
      </c>
      <c r="B61" s="1">
        <v>0.33333333333333331</v>
      </c>
      <c r="C61" s="2">
        <v>8640.2000000000007</v>
      </c>
      <c r="D61" s="2">
        <v>6.9</v>
      </c>
      <c r="E61" s="3">
        <f t="shared" si="6"/>
        <v>7.8897766787894258E-2</v>
      </c>
      <c r="F61" s="4">
        <f t="shared" si="7"/>
        <v>735.14757221236528</v>
      </c>
    </row>
    <row r="62" spans="1:6">
      <c r="A62" s="7">
        <v>43636</v>
      </c>
      <c r="B62" s="1">
        <v>0.33333333333333331</v>
      </c>
      <c r="C62" s="2">
        <v>8641.2999999999993</v>
      </c>
      <c r="D62" s="2">
        <v>7.2</v>
      </c>
      <c r="E62" s="3">
        <f t="shared" si="6"/>
        <v>8.1415736028678354E-2</v>
      </c>
      <c r="F62" s="4">
        <f t="shared" si="7"/>
        <v>735.40440507492519</v>
      </c>
    </row>
    <row r="63" spans="1:6">
      <c r="A63" s="7">
        <v>43646</v>
      </c>
      <c r="B63" s="1">
        <v>0.33333333333333331</v>
      </c>
      <c r="C63" s="2">
        <v>8605.7000000000007</v>
      </c>
      <c r="D63" s="2">
        <v>7.3</v>
      </c>
      <c r="E63" s="3">
        <f t="shared" si="6"/>
        <v>8.7137892127095662E-2</v>
      </c>
      <c r="F63" s="4">
        <f t="shared" si="7"/>
        <v>735.98806499696377</v>
      </c>
    </row>
    <row r="64" spans="1:6">
      <c r="A64" s="7">
        <v>43656</v>
      </c>
      <c r="B64" s="1">
        <v>0.33333333333333331</v>
      </c>
      <c r="C64" s="2">
        <v>8598.2000000000007</v>
      </c>
      <c r="D64" s="2">
        <v>7.3</v>
      </c>
      <c r="E64" s="3">
        <f t="shared" si="6"/>
        <v>8.8156261744284703E-2</v>
      </c>
      <c r="F64" s="4">
        <f t="shared" si="7"/>
        <v>736.09193869791704</v>
      </c>
    </row>
    <row r="65" spans="1:6">
      <c r="A65" s="7">
        <v>43666</v>
      </c>
      <c r="B65" s="1">
        <v>0.33333333333333331</v>
      </c>
      <c r="C65" s="2">
        <v>8585.1</v>
      </c>
      <c r="D65" s="2">
        <v>7.5</v>
      </c>
      <c r="E65" s="3">
        <f t="shared" si="6"/>
        <v>9.1713345149600223E-2</v>
      </c>
      <c r="F65" s="4">
        <f t="shared" si="7"/>
        <v>736.45476120525927</v>
      </c>
    </row>
    <row r="66" spans="1:6">
      <c r="A66" s="7">
        <v>43676</v>
      </c>
      <c r="B66" s="1">
        <v>0.33333333333333331</v>
      </c>
      <c r="C66" s="2">
        <v>8576.2000000000007</v>
      </c>
      <c r="D66" s="2">
        <v>7.5</v>
      </c>
      <c r="E66" s="3">
        <f t="shared" si="6"/>
        <v>9.2922008162307057E-2</v>
      </c>
      <c r="F66" s="4">
        <f t="shared" si="7"/>
        <v>736.57804483255529</v>
      </c>
    </row>
    <row r="67" spans="1:6">
      <c r="A67" s="7">
        <v>43687</v>
      </c>
      <c r="B67" s="1">
        <v>0.33333333333333331</v>
      </c>
      <c r="C67" s="2">
        <v>8569.4</v>
      </c>
      <c r="D67" s="2">
        <v>7.5</v>
      </c>
      <c r="E67" s="3">
        <f t="shared" si="6"/>
        <v>9.3845536704704691E-2</v>
      </c>
      <c r="F67" s="4">
        <f t="shared" si="7"/>
        <v>736.6722447438799</v>
      </c>
    </row>
    <row r="68" spans="1:6">
      <c r="A68" s="7">
        <v>43697</v>
      </c>
      <c r="B68" s="1">
        <v>0.33333333333333331</v>
      </c>
      <c r="C68" s="2">
        <v>8560.2000000000007</v>
      </c>
      <c r="D68" s="2">
        <v>7.7</v>
      </c>
      <c r="E68" s="3">
        <f t="shared" si="6"/>
        <v>9.6873283666870424E-2</v>
      </c>
      <c r="F68" s="4">
        <f t="shared" si="7"/>
        <v>736.98107493402085</v>
      </c>
    </row>
    <row r="69" spans="1:6">
      <c r="A69" s="7">
        <v>43707</v>
      </c>
      <c r="B69" s="1">
        <v>0.33333333333333331</v>
      </c>
      <c r="C69" s="2">
        <v>8554.7999999999993</v>
      </c>
      <c r="D69" s="2">
        <v>7.7</v>
      </c>
      <c r="E69" s="3">
        <f t="shared" si="6"/>
        <v>9.7606760157898709E-2</v>
      </c>
      <c r="F69" s="4">
        <f t="shared" si="7"/>
        <v>737.05588953610572</v>
      </c>
    </row>
  </sheetData>
  <phoneticPr fontId="4" type="noConversion"/>
  <pageMargins left="0.69930555555555596" right="0.69930555555555596" top="0.75" bottom="0.75" header="0.3" footer="0.3"/>
  <pageSetup paperSize="9" orientation="portrait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1"/>
  <sheetViews>
    <sheetView topLeftCell="A52" workbookViewId="0">
      <selection activeCell="A65" sqref="A65:B71"/>
    </sheetView>
  </sheetViews>
  <sheetFormatPr defaultColWidth="9" defaultRowHeight="13.5"/>
  <cols>
    <col min="1" max="1" width="11.125" customWidth="1"/>
    <col min="2" max="2" width="13.875" customWidth="1"/>
    <col min="5" max="5" width="10.875" customWidth="1"/>
  </cols>
  <sheetData>
    <row r="1" spans="1:7">
      <c r="A1" t="s">
        <v>0</v>
      </c>
      <c r="B1">
        <v>11248</v>
      </c>
      <c r="C1" t="s">
        <v>1</v>
      </c>
      <c r="D1">
        <v>727.1</v>
      </c>
    </row>
    <row r="2" spans="1:7">
      <c r="A2" t="s">
        <v>2</v>
      </c>
      <c r="B2">
        <f>3.91963*10^-10</f>
        <v>3.9196300000000003E-10</v>
      </c>
    </row>
    <row r="3" spans="1:7">
      <c r="A3" t="s">
        <v>3</v>
      </c>
      <c r="B3">
        <v>-1.7246300000000001E-4</v>
      </c>
    </row>
    <row r="4" spans="1:7">
      <c r="A4" t="s">
        <v>4</v>
      </c>
      <c r="B4">
        <v>1.5890599000000001</v>
      </c>
    </row>
    <row r="5" spans="1:7">
      <c r="A5" t="s">
        <v>5</v>
      </c>
      <c r="B5">
        <v>-3.1358599999999999E-3</v>
      </c>
    </row>
    <row r="6" spans="1:7">
      <c r="A6" t="s">
        <v>6</v>
      </c>
      <c r="B6" t="s">
        <v>7</v>
      </c>
      <c r="C6" t="s">
        <v>8</v>
      </c>
      <c r="D6" t="s">
        <v>9</v>
      </c>
      <c r="E6" t="s">
        <v>10</v>
      </c>
      <c r="F6" t="s">
        <v>11</v>
      </c>
      <c r="G6" t="s">
        <v>12</v>
      </c>
    </row>
    <row r="7" spans="1:7">
      <c r="A7" s="7">
        <v>42537</v>
      </c>
      <c r="B7" s="1">
        <v>0.79166666666666696</v>
      </c>
      <c r="C7" s="2">
        <v>9262.6</v>
      </c>
      <c r="D7" s="2">
        <v>14.1</v>
      </c>
      <c r="E7" s="3">
        <f>($B$2*C7^2+$B$3*C7+$B$4)-$B$5*D7</f>
        <v>6.9448505190845819E-2</v>
      </c>
      <c r="G7" t="s">
        <v>13</v>
      </c>
    </row>
    <row r="8" spans="1:7">
      <c r="A8" s="7">
        <v>42538</v>
      </c>
      <c r="B8" s="1">
        <v>0.33333333333333298</v>
      </c>
      <c r="C8" s="2">
        <v>8814.2999999999993</v>
      </c>
      <c r="D8" s="2">
        <v>9.1</v>
      </c>
      <c r="E8" s="3">
        <f>($B$2*C8^2+$B$3*C8+$B$4)-$B$5*D8-$E$7</f>
        <v>5.845944402950827E-2</v>
      </c>
      <c r="F8" s="4">
        <f>$D$1+102*E8</f>
        <v>733.06286329100988</v>
      </c>
      <c r="G8" s="5" t="s">
        <v>14</v>
      </c>
    </row>
    <row r="9" spans="1:7">
      <c r="A9" s="7">
        <v>42539</v>
      </c>
      <c r="B9" s="1">
        <v>0.33333333333333298</v>
      </c>
      <c r="C9" s="2">
        <v>8787.7999999999993</v>
      </c>
      <c r="D9" s="2">
        <v>8.1</v>
      </c>
      <c r="E9" s="3">
        <f t="shared" ref="E9:E20" si="0">($B$2*C9^2+$B$3*C9+$B$4)-$B$5*D9-$E$7</f>
        <v>5.9711020173567289E-2</v>
      </c>
      <c r="F9" s="4">
        <f t="shared" ref="F9:F53" si="1">$D$1+102*E9</f>
        <v>733.1905240577039</v>
      </c>
    </row>
    <row r="10" spans="1:7">
      <c r="A10" s="7">
        <v>42540</v>
      </c>
      <c r="B10" s="1">
        <v>0.33333333333333298</v>
      </c>
      <c r="C10" s="2">
        <v>8761.9</v>
      </c>
      <c r="D10" s="2">
        <v>7.8</v>
      </c>
      <c r="E10" s="3">
        <f t="shared" si="0"/>
        <v>6.3058892097284755E-2</v>
      </c>
      <c r="F10" s="4">
        <f t="shared" si="1"/>
        <v>733.53200699392312</v>
      </c>
    </row>
    <row r="11" spans="1:7">
      <c r="A11" s="7">
        <v>42541</v>
      </c>
      <c r="B11" s="1">
        <v>0.33333333333333298</v>
      </c>
      <c r="C11" s="2">
        <v>8756.1</v>
      </c>
      <c r="D11" s="2">
        <v>7.8</v>
      </c>
      <c r="E11" s="3">
        <f t="shared" si="0"/>
        <v>6.4019352331847509E-2</v>
      </c>
      <c r="F11" s="4">
        <f t="shared" si="1"/>
        <v>733.62997393784849</v>
      </c>
    </row>
    <row r="12" spans="1:7">
      <c r="A12" s="7">
        <v>42542</v>
      </c>
      <c r="B12" s="1">
        <v>0.33333333333333298</v>
      </c>
      <c r="C12" s="2">
        <v>8745.6</v>
      </c>
      <c r="D12" s="2">
        <v>7.8</v>
      </c>
      <c r="E12" s="3">
        <f t="shared" si="0"/>
        <v>6.5758183634057707E-2</v>
      </c>
      <c r="F12" s="4">
        <f t="shared" si="1"/>
        <v>733.80733473067392</v>
      </c>
    </row>
    <row r="13" spans="1:7">
      <c r="A13" s="7">
        <v>42543</v>
      </c>
      <c r="B13" s="1">
        <v>0.33333333333333298</v>
      </c>
      <c r="C13" s="2">
        <v>8756.7000000000007</v>
      </c>
      <c r="D13" s="2">
        <v>7.8</v>
      </c>
      <c r="E13" s="3">
        <f t="shared" si="0"/>
        <v>6.3919993153623164E-2</v>
      </c>
      <c r="F13" s="4">
        <f t="shared" si="1"/>
        <v>733.61983930166957</v>
      </c>
    </row>
    <row r="14" spans="1:7">
      <c r="A14" s="7">
        <v>42544</v>
      </c>
      <c r="B14" s="1">
        <v>0.33333333333333298</v>
      </c>
      <c r="C14" s="2">
        <v>8769.5</v>
      </c>
      <c r="D14" s="2">
        <v>7.8</v>
      </c>
      <c r="E14" s="3">
        <f t="shared" si="0"/>
        <v>6.1800397914334879E-2</v>
      </c>
      <c r="F14" s="4">
        <f t="shared" si="1"/>
        <v>733.4036405872622</v>
      </c>
    </row>
    <row r="15" spans="1:7">
      <c r="A15" s="7">
        <v>42545</v>
      </c>
      <c r="B15" s="1">
        <v>0.33333333333333298</v>
      </c>
      <c r="C15" s="2">
        <v>8784.5</v>
      </c>
      <c r="D15" s="2">
        <v>7.9</v>
      </c>
      <c r="E15" s="3">
        <f t="shared" si="0"/>
        <v>5.963024669186491E-2</v>
      </c>
      <c r="F15" s="4">
        <f t="shared" si="1"/>
        <v>733.18228516257022</v>
      </c>
    </row>
    <row r="16" spans="1:7">
      <c r="A16" s="7">
        <v>42546</v>
      </c>
      <c r="B16" s="9">
        <v>0.33333333333333298</v>
      </c>
      <c r="C16" s="2">
        <v>8786</v>
      </c>
      <c r="D16" s="2">
        <v>7.9</v>
      </c>
      <c r="E16" s="3">
        <f t="shared" si="0"/>
        <v>5.9381882670702116E-2</v>
      </c>
      <c r="F16" s="4">
        <f t="shared" si="1"/>
        <v>733.1569520324116</v>
      </c>
    </row>
    <row r="17" spans="1:7">
      <c r="A17" s="7">
        <v>42551</v>
      </c>
      <c r="B17" s="1">
        <v>0.33333333333333298</v>
      </c>
      <c r="C17" s="2">
        <v>8800.9</v>
      </c>
      <c r="D17" s="2">
        <v>8.3000000000000007</v>
      </c>
      <c r="E17" s="3">
        <f t="shared" si="0"/>
        <v>5.8169239840564199E-2</v>
      </c>
      <c r="F17" s="4">
        <f t="shared" si="1"/>
        <v>733.03326246373751</v>
      </c>
      <c r="G17" s="5"/>
    </row>
    <row r="18" spans="1:7">
      <c r="A18" s="7">
        <v>42561</v>
      </c>
      <c r="B18" s="9">
        <v>0.33333333333333298</v>
      </c>
      <c r="C18" s="2">
        <v>8810.6</v>
      </c>
      <c r="D18" s="2">
        <v>8.8000000000000007</v>
      </c>
      <c r="E18" s="3">
        <f t="shared" si="0"/>
        <v>5.813123838739688E-2</v>
      </c>
      <c r="F18" s="4">
        <f t="shared" si="1"/>
        <v>733.02938631551456</v>
      </c>
    </row>
    <row r="19" spans="1:7">
      <c r="A19" s="7">
        <v>42571</v>
      </c>
      <c r="B19" s="1">
        <v>0.33333333333333298</v>
      </c>
      <c r="C19" s="2">
        <v>8827.1</v>
      </c>
      <c r="D19" s="2">
        <v>9.4</v>
      </c>
      <c r="E19" s="3">
        <f t="shared" si="0"/>
        <v>5.7281184763181017E-2</v>
      </c>
      <c r="F19" s="4">
        <f t="shared" si="1"/>
        <v>732.94268084584451</v>
      </c>
    </row>
    <row r="20" spans="1:7">
      <c r="A20" s="7">
        <v>42581</v>
      </c>
      <c r="B20" s="9">
        <v>0.33333333333333398</v>
      </c>
      <c r="C20" s="2">
        <v>8836.6</v>
      </c>
      <c r="D20" s="2">
        <v>10.199999999999999</v>
      </c>
      <c r="E20" s="3">
        <f t="shared" si="0"/>
        <v>5.8217247673190461E-2</v>
      </c>
      <c r="F20" s="4">
        <f t="shared" si="1"/>
        <v>733.03815926266543</v>
      </c>
      <c r="G20" s="2"/>
    </row>
    <row r="21" spans="1:7">
      <c r="A21" s="7">
        <v>42592</v>
      </c>
      <c r="B21" s="1">
        <v>0.33333333333333298</v>
      </c>
      <c r="C21" s="2">
        <v>8846</v>
      </c>
      <c r="D21" s="2">
        <v>10.7</v>
      </c>
      <c r="E21" s="3">
        <f t="shared" ref="E21:E44" si="2">($B$2*C21^2+$B$3*C21+$B$4)-$B$5*D21-$E$7</f>
        <v>5.8229176167662197E-2</v>
      </c>
      <c r="F21" s="4">
        <f t="shared" si="1"/>
        <v>733.03937596910157</v>
      </c>
      <c r="G21" s="2"/>
    </row>
    <row r="22" spans="1:7">
      <c r="A22" s="7">
        <v>42602</v>
      </c>
      <c r="B22" s="1">
        <v>0.33333333333333298</v>
      </c>
      <c r="C22">
        <v>8863.7999999999993</v>
      </c>
      <c r="D22">
        <v>11.3</v>
      </c>
      <c r="E22" s="3">
        <f t="shared" si="2"/>
        <v>5.7164411004468021E-2</v>
      </c>
      <c r="F22" s="4">
        <f t="shared" si="1"/>
        <v>732.93076992245574</v>
      </c>
    </row>
    <row r="23" spans="1:7">
      <c r="A23" s="7">
        <v>42612</v>
      </c>
      <c r="B23" s="1">
        <v>0.33333333333333298</v>
      </c>
      <c r="C23">
        <v>8867</v>
      </c>
      <c r="D23">
        <v>11.5</v>
      </c>
      <c r="E23" s="3">
        <f t="shared" si="2"/>
        <v>5.7261940820661009E-2</v>
      </c>
      <c r="F23" s="4">
        <f t="shared" si="1"/>
        <v>732.94071796370747</v>
      </c>
    </row>
    <row r="24" spans="1:7">
      <c r="A24" s="7">
        <v>42623</v>
      </c>
      <c r="B24" s="1">
        <v>0.33333333333333298</v>
      </c>
      <c r="C24">
        <v>8855.5</v>
      </c>
      <c r="D24">
        <v>11.6</v>
      </c>
      <c r="E24" s="3">
        <f t="shared" si="2"/>
        <v>5.9478965831584837E-2</v>
      </c>
      <c r="F24" s="4">
        <f t="shared" si="1"/>
        <v>733.16685451482169</v>
      </c>
    </row>
    <row r="25" spans="1:7">
      <c r="A25" s="6">
        <v>42633</v>
      </c>
      <c r="B25" s="1">
        <v>0.33333333333333331</v>
      </c>
      <c r="C25">
        <v>8840.2999999999993</v>
      </c>
      <c r="D25">
        <v>11.4</v>
      </c>
      <c r="E25" s="8">
        <f t="shared" si="2"/>
        <v>6.1367802728982943E-2</v>
      </c>
      <c r="F25" s="4">
        <f t="shared" si="1"/>
        <v>733.35951587835632</v>
      </c>
    </row>
    <row r="26" spans="1:7">
      <c r="A26" s="7">
        <v>42643</v>
      </c>
      <c r="B26" s="1">
        <v>0.33333333333333331</v>
      </c>
      <c r="C26">
        <v>8715.5</v>
      </c>
      <c r="D26">
        <v>11.4</v>
      </c>
      <c r="E26" s="3">
        <f t="shared" si="2"/>
        <v>8.2032408369365026E-2</v>
      </c>
      <c r="F26" s="4">
        <f t="shared" si="1"/>
        <v>735.46730565367523</v>
      </c>
    </row>
    <row r="27" spans="1:7">
      <c r="A27" s="7">
        <v>42653</v>
      </c>
      <c r="B27" s="1">
        <v>0.33333333333333331</v>
      </c>
      <c r="C27">
        <v>8733</v>
      </c>
      <c r="D27">
        <v>12.1</v>
      </c>
      <c r="E27" s="3">
        <f t="shared" si="2"/>
        <v>8.1329093281461193E-2</v>
      </c>
      <c r="F27" s="4">
        <f t="shared" si="1"/>
        <v>735.39556751470911</v>
      </c>
    </row>
    <row r="28" spans="1:7">
      <c r="A28" s="7">
        <v>42855</v>
      </c>
      <c r="B28" s="1">
        <v>0.33333333333333331</v>
      </c>
      <c r="C28">
        <v>8630.7000000000007</v>
      </c>
      <c r="D28">
        <v>7.5</v>
      </c>
      <c r="E28" s="3">
        <f t="shared" si="2"/>
        <v>8.3850855752881912E-2</v>
      </c>
      <c r="F28" s="4">
        <f t="shared" si="1"/>
        <v>735.65278728679402</v>
      </c>
    </row>
    <row r="29" spans="1:7">
      <c r="A29" s="7">
        <v>42865</v>
      </c>
      <c r="B29" s="1">
        <v>0.33333333333333331</v>
      </c>
      <c r="C29">
        <v>8589.7000000000007</v>
      </c>
      <c r="D29">
        <v>7.4</v>
      </c>
      <c r="E29" s="3">
        <f t="shared" si="2"/>
        <v>9.0331512607428791E-2</v>
      </c>
      <c r="F29" s="4">
        <f t="shared" si="1"/>
        <v>736.31381428595773</v>
      </c>
    </row>
    <row r="30" spans="1:7">
      <c r="A30" s="7">
        <v>42875</v>
      </c>
      <c r="B30" s="1">
        <v>0.33333333333333331</v>
      </c>
      <c r="C30">
        <v>8629</v>
      </c>
      <c r="D30">
        <v>7.3</v>
      </c>
      <c r="E30" s="3">
        <f t="shared" si="2"/>
        <v>8.3505370074437243E-2</v>
      </c>
      <c r="F30" s="4">
        <f t="shared" si="1"/>
        <v>735.61754774759265</v>
      </c>
    </row>
    <row r="31" spans="1:7">
      <c r="A31" s="7">
        <v>42885</v>
      </c>
      <c r="B31" s="1">
        <v>0.33333333333333331</v>
      </c>
      <c r="C31">
        <v>8644.4</v>
      </c>
      <c r="D31">
        <v>7.3</v>
      </c>
      <c r="E31" s="3">
        <f t="shared" si="2"/>
        <v>8.0953706093173969E-2</v>
      </c>
      <c r="F31" s="4">
        <f t="shared" si="1"/>
        <v>735.35727802150382</v>
      </c>
    </row>
    <row r="32" spans="1:7">
      <c r="A32" s="7">
        <v>42896</v>
      </c>
      <c r="B32" s="1">
        <v>0.33333333333333331</v>
      </c>
      <c r="C32">
        <v>8642.1</v>
      </c>
      <c r="D32">
        <v>7.2</v>
      </c>
      <c r="E32" s="3">
        <f t="shared" si="2"/>
        <v>8.1021200955854925E-2</v>
      </c>
      <c r="F32" s="4">
        <f t="shared" si="1"/>
        <v>735.3641624974972</v>
      </c>
    </row>
    <row r="33" spans="1:6">
      <c r="A33" s="7">
        <v>42906</v>
      </c>
      <c r="B33" s="1">
        <v>0.33333333333333331</v>
      </c>
      <c r="C33">
        <v>8632.1</v>
      </c>
      <c r="D33">
        <v>7.2</v>
      </c>
      <c r="E33" s="3">
        <f t="shared" si="2"/>
        <v>8.2678122483308927E-2</v>
      </c>
      <c r="F33" s="4">
        <f t="shared" si="1"/>
        <v>735.53316849329758</v>
      </c>
    </row>
    <row r="34" spans="1:6">
      <c r="A34" s="7">
        <v>42926</v>
      </c>
      <c r="B34" s="1">
        <v>0.33333333333333331</v>
      </c>
      <c r="C34">
        <v>8643.2000000000007</v>
      </c>
      <c r="D34">
        <v>7.2</v>
      </c>
      <c r="E34" s="3">
        <f t="shared" si="2"/>
        <v>8.0838944373703273E-2</v>
      </c>
      <c r="F34" s="4">
        <f t="shared" si="1"/>
        <v>735.3455723261178</v>
      </c>
    </row>
    <row r="35" spans="1:6">
      <c r="A35" s="7">
        <v>42936</v>
      </c>
      <c r="B35" s="1">
        <v>0.33333333333333331</v>
      </c>
      <c r="C35">
        <v>8643.1</v>
      </c>
      <c r="D35">
        <v>7.2</v>
      </c>
      <c r="E35" s="3">
        <f t="shared" si="2"/>
        <v>8.0855513114702696E-2</v>
      </c>
      <c r="F35" s="4">
        <f t="shared" si="1"/>
        <v>735.3472623376997</v>
      </c>
    </row>
    <row r="36" spans="1:6">
      <c r="A36" s="7">
        <v>42946</v>
      </c>
      <c r="B36" s="1">
        <v>0.33333333333333331</v>
      </c>
      <c r="C36">
        <v>8647.7999999999993</v>
      </c>
      <c r="D36">
        <v>7.2</v>
      </c>
      <c r="E36" s="3">
        <f t="shared" si="2"/>
        <v>8.0076790761975117E-2</v>
      </c>
      <c r="F36" s="4">
        <f t="shared" si="1"/>
        <v>735.26783265772144</v>
      </c>
    </row>
    <row r="37" spans="1:6">
      <c r="A37" s="7">
        <v>42957</v>
      </c>
      <c r="B37" s="1">
        <v>0.33333333333333331</v>
      </c>
      <c r="C37">
        <v>8642.1</v>
      </c>
      <c r="D37">
        <v>7.3</v>
      </c>
      <c r="E37" s="3">
        <f t="shared" si="2"/>
        <v>8.1334786955854929E-2</v>
      </c>
      <c r="F37" s="4">
        <f t="shared" si="1"/>
        <v>735.39614826949719</v>
      </c>
    </row>
    <row r="38" spans="1:6">
      <c r="A38" s="7">
        <v>42967</v>
      </c>
      <c r="B38" s="1">
        <v>0.33333333333333331</v>
      </c>
      <c r="C38">
        <v>8651.7000000000007</v>
      </c>
      <c r="D38">
        <v>7.6</v>
      </c>
      <c r="E38" s="3">
        <f t="shared" si="2"/>
        <v>8.0684974041257115E-2</v>
      </c>
      <c r="F38" s="4">
        <f t="shared" si="1"/>
        <v>735.32986735220823</v>
      </c>
    </row>
    <row r="39" spans="1:6">
      <c r="A39" s="7">
        <v>42977</v>
      </c>
      <c r="B39" s="1">
        <v>0.33333333333333331</v>
      </c>
      <c r="C39">
        <v>8643.6</v>
      </c>
      <c r="D39">
        <v>7.5</v>
      </c>
      <c r="E39" s="3">
        <f t="shared" si="2"/>
        <v>8.1713427488098664E-2</v>
      </c>
      <c r="F39" s="4">
        <f t="shared" si="1"/>
        <v>735.43476960378609</v>
      </c>
    </row>
    <row r="40" spans="1:6">
      <c r="A40" s="7">
        <v>42988</v>
      </c>
      <c r="B40" s="1">
        <v>0.33333333333333331</v>
      </c>
      <c r="C40">
        <v>8645.9</v>
      </c>
      <c r="D40">
        <v>7.6</v>
      </c>
      <c r="E40" s="3">
        <f t="shared" si="2"/>
        <v>8.1645935329962269E-2</v>
      </c>
      <c r="F40" s="4">
        <f t="shared" si="1"/>
        <v>735.42788540365621</v>
      </c>
    </row>
    <row r="41" spans="1:6">
      <c r="A41" s="7">
        <v>42998</v>
      </c>
      <c r="B41" s="1">
        <v>0.33333333333333331</v>
      </c>
      <c r="C41">
        <v>8649.9</v>
      </c>
      <c r="D41">
        <v>7.8</v>
      </c>
      <c r="E41" s="3">
        <f t="shared" si="2"/>
        <v>8.1610372584583799E-2</v>
      </c>
      <c r="F41" s="4">
        <f t="shared" si="1"/>
        <v>735.42425800362753</v>
      </c>
    </row>
    <row r="42" spans="1:6">
      <c r="A42" s="7">
        <v>43008</v>
      </c>
      <c r="B42" s="1">
        <v>0.33333333333333331</v>
      </c>
      <c r="C42">
        <v>8654.1</v>
      </c>
      <c r="D42">
        <v>7.7</v>
      </c>
      <c r="E42" s="3">
        <f t="shared" si="2"/>
        <v>8.0600928601142277E-2</v>
      </c>
      <c r="F42" s="4">
        <f t="shared" si="1"/>
        <v>735.3212947173165</v>
      </c>
    </row>
    <row r="43" spans="1:6">
      <c r="A43" s="7">
        <v>43018</v>
      </c>
      <c r="B43" s="1">
        <v>0.33333333333333331</v>
      </c>
      <c r="C43">
        <v>8653.5</v>
      </c>
      <c r="D43">
        <v>7.8</v>
      </c>
      <c r="E43" s="3">
        <f t="shared" si="2"/>
        <v>8.1013922037850947E-2</v>
      </c>
      <c r="F43" s="4">
        <f t="shared" si="1"/>
        <v>735.36342004786081</v>
      </c>
    </row>
    <row r="44" spans="1:6">
      <c r="A44" s="7">
        <v>43230</v>
      </c>
      <c r="B44" s="1">
        <v>0.33333333333333331</v>
      </c>
      <c r="C44">
        <v>8650</v>
      </c>
      <c r="D44">
        <v>7.5</v>
      </c>
      <c r="E44" s="3">
        <f t="shared" si="2"/>
        <v>8.06530463766542E-2</v>
      </c>
      <c r="F44" s="4">
        <f t="shared" si="1"/>
        <v>735.32661073041879</v>
      </c>
    </row>
    <row r="45" spans="1:6">
      <c r="A45" s="7">
        <v>43240</v>
      </c>
      <c r="B45" s="1">
        <v>0.33333333333333331</v>
      </c>
      <c r="C45">
        <v>8652.5</v>
      </c>
      <c r="D45">
        <v>7.6</v>
      </c>
      <c r="E45" s="3">
        <f>($B$2*C45^2+$B$3*C45+$B$4)-$B$5*D45-$E$7</f>
        <v>8.0552429726172978E-2</v>
      </c>
      <c r="F45" s="4">
        <f t="shared" si="1"/>
        <v>735.31634783206971</v>
      </c>
    </row>
    <row r="46" spans="1:6">
      <c r="A46" s="7">
        <v>43250</v>
      </c>
      <c r="B46" s="1">
        <v>0.33333333333333331</v>
      </c>
      <c r="C46">
        <v>8647.1</v>
      </c>
      <c r="D46">
        <v>7.3</v>
      </c>
      <c r="E46" s="3">
        <f>($B$2*C46^2+$B$3*C46+$B$4)-$B$5*D46-$E$7</f>
        <v>8.0506355589353026E-2</v>
      </c>
      <c r="F46" s="4">
        <f t="shared" si="1"/>
        <v>735.31164827011401</v>
      </c>
    </row>
    <row r="47" spans="1:6">
      <c r="A47" s="7">
        <v>43261</v>
      </c>
      <c r="B47" s="1">
        <v>0.33333333333333331</v>
      </c>
      <c r="C47">
        <v>8626</v>
      </c>
      <c r="D47">
        <v>7.3</v>
      </c>
      <c r="E47" s="3">
        <f>($B$2*C47^2+$B$3*C47+$B$4)-$B$5*D47-$E$7</f>
        <v>8.4002469109742281E-2</v>
      </c>
      <c r="F47" s="4">
        <f t="shared" si="1"/>
        <v>735.66825184919378</v>
      </c>
    </row>
    <row r="48" spans="1:6">
      <c r="A48" s="7">
        <v>43271</v>
      </c>
      <c r="B48" s="1">
        <v>0.33333333333333331</v>
      </c>
      <c r="C48">
        <v>8541.1</v>
      </c>
      <c r="D48">
        <v>7.7</v>
      </c>
      <c r="E48" s="3">
        <f>($B$2*C48^2+$B$3*C48+$B$4)-$B$5*D48-$E$7</f>
        <v>9.9327640915073248E-2</v>
      </c>
      <c r="F48" s="4">
        <f t="shared" si="1"/>
        <v>737.23141937333753</v>
      </c>
    </row>
    <row r="49" spans="1:6">
      <c r="A49" s="7">
        <v>43281</v>
      </c>
      <c r="B49" s="1">
        <v>0.33333333333333331</v>
      </c>
      <c r="C49">
        <v>8584.7000000000007</v>
      </c>
      <c r="D49">
        <v>7.6</v>
      </c>
      <c r="E49" s="3">
        <f>($B$2*C49^2+$B$3*C49+$B$4)-$B$5*D49-$E$7</f>
        <v>9.1787340960692784E-2</v>
      </c>
      <c r="F49" s="4">
        <f t="shared" si="1"/>
        <v>736.46230877799064</v>
      </c>
    </row>
    <row r="50" spans="1:6">
      <c r="A50" s="7">
        <v>43291</v>
      </c>
      <c r="B50" s="1">
        <v>0.33333333333333331</v>
      </c>
      <c r="C50">
        <v>8629.2000000000007</v>
      </c>
      <c r="D50">
        <v>8</v>
      </c>
      <c r="E50" s="3">
        <f t="shared" ref="E50:E53" si="3">($B$2*C50^2+$B$3*C50+$B$4)-$B$5*D50-$E$7</f>
        <v>8.5667332389606485E-2</v>
      </c>
      <c r="F50" s="4">
        <f t="shared" si="1"/>
        <v>735.8380679037399</v>
      </c>
    </row>
    <row r="51" spans="1:6">
      <c r="A51" s="7">
        <v>43301</v>
      </c>
      <c r="B51" s="1">
        <v>0.33333333333333331</v>
      </c>
      <c r="C51">
        <v>8628.7000000000007</v>
      </c>
      <c r="D51">
        <v>7.9</v>
      </c>
      <c r="E51" s="3">
        <f t="shared" si="3"/>
        <v>8.5436595660477579E-2</v>
      </c>
      <c r="F51" s="4">
        <f t="shared" si="1"/>
        <v>735.81453275736874</v>
      </c>
    </row>
    <row r="52" spans="1:6">
      <c r="A52" s="7">
        <v>43311</v>
      </c>
      <c r="B52" s="1">
        <v>0.33333333333333331</v>
      </c>
      <c r="C52">
        <v>8629.1</v>
      </c>
      <c r="D52">
        <v>7.6</v>
      </c>
      <c r="E52" s="3">
        <f t="shared" si="3"/>
        <v>8.4429558228102206E-2</v>
      </c>
      <c r="F52" s="4">
        <f t="shared" si="1"/>
        <v>735.71181493926645</v>
      </c>
    </row>
    <row r="53" spans="1:6">
      <c r="A53" s="7">
        <v>43322</v>
      </c>
      <c r="B53" s="1">
        <v>0.33333333333333331</v>
      </c>
      <c r="C53">
        <v>8613.2999999999993</v>
      </c>
      <c r="D53">
        <v>7.6</v>
      </c>
      <c r="E53" s="3">
        <f t="shared" si="3"/>
        <v>8.7047691179369543E-2</v>
      </c>
      <c r="F53" s="4">
        <f t="shared" si="1"/>
        <v>735.97886450029569</v>
      </c>
    </row>
    <row r="54" spans="1:6">
      <c r="A54" s="7">
        <v>43332</v>
      </c>
      <c r="B54" s="1">
        <v>0.33333333333333331</v>
      </c>
      <c r="C54">
        <v>8626</v>
      </c>
      <c r="D54">
        <v>7.7</v>
      </c>
      <c r="E54" s="3">
        <f t="shared" ref="E54:E55" si="4">($B$2*C54^2+$B$3*C54+$B$4)-$B$5*D54-$E$7</f>
        <v>8.5256813109742272E-2</v>
      </c>
      <c r="F54" s="4">
        <f t="shared" ref="F54:F55" si="5">$D$1+102*E54</f>
        <v>735.79619493719372</v>
      </c>
    </row>
    <row r="55" spans="1:6">
      <c r="A55" s="7">
        <v>43342</v>
      </c>
      <c r="B55" s="1">
        <v>0.33333333333333331</v>
      </c>
      <c r="C55">
        <v>8592.2999999999993</v>
      </c>
      <c r="D55">
        <v>8.1999999999999993</v>
      </c>
      <c r="E55" s="3">
        <f t="shared" si="4"/>
        <v>9.2409307048920544E-2</v>
      </c>
      <c r="F55" s="4">
        <f t="shared" si="5"/>
        <v>736.52574931898994</v>
      </c>
    </row>
    <row r="56" spans="1:6">
      <c r="A56" s="7">
        <v>43353</v>
      </c>
      <c r="B56" s="1">
        <v>0.33333333333333331</v>
      </c>
      <c r="C56">
        <v>8565.5</v>
      </c>
      <c r="D56">
        <v>8.6999999999999993</v>
      </c>
      <c r="E56" s="3">
        <f t="shared" ref="E56:E71" si="6">($B$2*C56^2+$B$3*C56+$B$4)-$B$5*D56-$E$7</f>
        <v>9.841900947891509E-2</v>
      </c>
      <c r="F56" s="4">
        <f t="shared" ref="F56:F71" si="7">$D$1+102*E56</f>
        <v>737.13873896684936</v>
      </c>
    </row>
    <row r="57" spans="1:6">
      <c r="A57" s="7">
        <v>43363</v>
      </c>
      <c r="B57" s="1">
        <v>0.33333333333333331</v>
      </c>
      <c r="C57">
        <v>8607</v>
      </c>
      <c r="D57">
        <v>8</v>
      </c>
      <c r="E57" s="3">
        <f t="shared" si="6"/>
        <v>8.9346028840541256E-2</v>
      </c>
      <c r="F57" s="4">
        <f t="shared" si="7"/>
        <v>736.21329494173528</v>
      </c>
    </row>
    <row r="58" spans="1:6">
      <c r="A58" s="7">
        <v>43373</v>
      </c>
      <c r="B58" s="1">
        <v>0.33333333333333331</v>
      </c>
      <c r="C58">
        <v>8620.7000000000007</v>
      </c>
      <c r="D58">
        <v>8.3000000000000007</v>
      </c>
      <c r="E58" s="3">
        <f t="shared" si="6"/>
        <v>8.8016554647899911E-2</v>
      </c>
      <c r="F58" s="4">
        <f t="shared" si="7"/>
        <v>736.07768857408587</v>
      </c>
    </row>
    <row r="59" spans="1:6">
      <c r="A59" s="7">
        <v>43383</v>
      </c>
      <c r="B59" s="1">
        <v>0.33333333333333331</v>
      </c>
      <c r="C59">
        <v>8628.2999999999993</v>
      </c>
      <c r="D59">
        <v>8.1999999999999993</v>
      </c>
      <c r="E59" s="3">
        <f t="shared" si="6"/>
        <v>8.6443633218281482E-2</v>
      </c>
      <c r="F59" s="4">
        <f t="shared" si="7"/>
        <v>735.91725058826478</v>
      </c>
    </row>
    <row r="60" spans="1:6">
      <c r="A60" s="7">
        <v>43393</v>
      </c>
      <c r="B60" s="1">
        <v>0.33333333333333331</v>
      </c>
      <c r="C60">
        <v>8632.7000000000007</v>
      </c>
      <c r="D60">
        <v>7.8</v>
      </c>
      <c r="E60" s="3">
        <f t="shared" si="6"/>
        <v>8.4460220980990361E-2</v>
      </c>
      <c r="F60" s="4">
        <f t="shared" si="7"/>
        <v>735.71494254006109</v>
      </c>
    </row>
    <row r="61" spans="1:6">
      <c r="A61" s="7">
        <v>43605</v>
      </c>
      <c r="B61" s="1">
        <v>0.33333333333333331</v>
      </c>
      <c r="C61">
        <v>8656.4</v>
      </c>
      <c r="D61">
        <v>7</v>
      </c>
      <c r="E61" s="3">
        <f t="shared" si="6"/>
        <v>7.8024767374818685E-2</v>
      </c>
      <c r="F61" s="4">
        <f t="shared" si="7"/>
        <v>735.05852627223157</v>
      </c>
    </row>
    <row r="62" spans="1:6">
      <c r="A62" s="7">
        <v>43615</v>
      </c>
      <c r="B62" s="1">
        <v>0.33333333333333331</v>
      </c>
      <c r="C62">
        <v>8656.9</v>
      </c>
      <c r="D62">
        <v>7.1</v>
      </c>
      <c r="E62" s="3">
        <f t="shared" si="6"/>
        <v>7.8255514961322811E-2</v>
      </c>
      <c r="F62" s="4">
        <f t="shared" si="7"/>
        <v>735.08206252605498</v>
      </c>
    </row>
    <row r="63" spans="1:6">
      <c r="A63" s="7">
        <v>43626</v>
      </c>
      <c r="B63" s="1">
        <v>0.33333333333333331</v>
      </c>
      <c r="C63">
        <v>8657.2999999999993</v>
      </c>
      <c r="D63">
        <v>7.3</v>
      </c>
      <c r="E63" s="3">
        <f t="shared" si="6"/>
        <v>7.8816416371632711E-2</v>
      </c>
      <c r="F63" s="4">
        <f t="shared" si="7"/>
        <v>735.13927446990658</v>
      </c>
    </row>
    <row r="64" spans="1:6">
      <c r="A64" s="7">
        <v>43636</v>
      </c>
      <c r="B64" s="1">
        <v>0.33333333333333331</v>
      </c>
      <c r="C64">
        <v>8657</v>
      </c>
      <c r="D64">
        <v>6.9</v>
      </c>
      <c r="E64" s="3">
        <f t="shared" si="6"/>
        <v>7.7611775302141153E-2</v>
      </c>
      <c r="F64" s="4">
        <f t="shared" si="7"/>
        <v>735.01640108081847</v>
      </c>
    </row>
    <row r="65" spans="1:6">
      <c r="A65" s="7">
        <v>43646</v>
      </c>
      <c r="B65" s="1">
        <v>0.33333333333333331</v>
      </c>
      <c r="C65">
        <v>8627.2999999999993</v>
      </c>
      <c r="D65">
        <v>7.2</v>
      </c>
      <c r="E65" s="3">
        <f t="shared" si="6"/>
        <v>8.3473472661538553E-2</v>
      </c>
      <c r="F65" s="4">
        <f t="shared" si="7"/>
        <v>735.61429421147693</v>
      </c>
    </row>
    <row r="66" spans="1:6">
      <c r="A66" s="7">
        <v>43656</v>
      </c>
      <c r="B66" s="1">
        <v>0.33333333333333331</v>
      </c>
      <c r="C66">
        <v>8610.5</v>
      </c>
      <c r="D66">
        <v>7.3</v>
      </c>
      <c r="E66" s="3">
        <f t="shared" si="6"/>
        <v>8.6570926520874933E-2</v>
      </c>
      <c r="F66" s="4">
        <f t="shared" si="7"/>
        <v>735.93023450512931</v>
      </c>
    </row>
    <row r="67" spans="1:6">
      <c r="A67" s="7">
        <v>43666</v>
      </c>
      <c r="B67" s="1">
        <v>0.33333333333333331</v>
      </c>
      <c r="C67">
        <v>8597.2999999999993</v>
      </c>
      <c r="D67">
        <v>7.5</v>
      </c>
      <c r="E67" s="3">
        <f t="shared" si="6"/>
        <v>8.9385578484844561E-2</v>
      </c>
      <c r="F67" s="4">
        <f t="shared" si="7"/>
        <v>736.21732900545419</v>
      </c>
    </row>
    <row r="68" spans="1:6">
      <c r="A68" s="7">
        <v>43676</v>
      </c>
      <c r="B68" s="1">
        <v>0.33333333333333331</v>
      </c>
      <c r="C68">
        <v>8592.6</v>
      </c>
      <c r="D68">
        <v>7.5</v>
      </c>
      <c r="E68" s="3">
        <f t="shared" si="6"/>
        <v>9.01644869024079E-2</v>
      </c>
      <c r="F68" s="4">
        <f t="shared" si="7"/>
        <v>736.29677766404563</v>
      </c>
    </row>
    <row r="69" spans="1:6">
      <c r="A69" s="7">
        <v>43687</v>
      </c>
      <c r="B69" s="1">
        <v>0.33333333333333331</v>
      </c>
      <c r="C69">
        <v>8587.2000000000007</v>
      </c>
      <c r="D69">
        <v>7.6</v>
      </c>
      <c r="E69" s="3">
        <f t="shared" si="6"/>
        <v>9.1373010334291946E-2</v>
      </c>
      <c r="F69" s="4">
        <f t="shared" si="7"/>
        <v>736.42004705409784</v>
      </c>
    </row>
    <row r="70" spans="1:6">
      <c r="A70" s="7">
        <v>43697</v>
      </c>
      <c r="B70" s="1">
        <v>0.33333333333333331</v>
      </c>
      <c r="C70">
        <v>8580.2999999999993</v>
      </c>
      <c r="D70">
        <v>7.6</v>
      </c>
      <c r="E70" s="3">
        <f t="shared" si="6"/>
        <v>9.2516574763155043E-2</v>
      </c>
      <c r="F70" s="4">
        <f t="shared" si="7"/>
        <v>736.53669062584186</v>
      </c>
    </row>
    <row r="71" spans="1:6">
      <c r="A71" s="7">
        <v>43707</v>
      </c>
      <c r="B71" s="1">
        <v>0.33333333333333331</v>
      </c>
      <c r="C71">
        <v>8572</v>
      </c>
      <c r="D71">
        <v>7.8</v>
      </c>
      <c r="E71" s="3">
        <f t="shared" si="6"/>
        <v>9.4519388207346275E-2</v>
      </c>
      <c r="F71" s="4">
        <f t="shared" si="7"/>
        <v>736.74097759714937</v>
      </c>
    </row>
  </sheetData>
  <phoneticPr fontId="4" type="noConversion"/>
  <pageMargins left="0.69930555555555596" right="0.69930555555555596" top="0.75" bottom="0.75" header="0.3" footer="0.3"/>
  <pageSetup paperSize="9" orientation="portrait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9"/>
  <sheetViews>
    <sheetView topLeftCell="A44" workbookViewId="0">
      <selection activeCell="A63" sqref="A63:B69"/>
    </sheetView>
  </sheetViews>
  <sheetFormatPr defaultColWidth="9" defaultRowHeight="13.5"/>
  <cols>
    <col min="1" max="1" width="11.5" customWidth="1"/>
    <col min="2" max="2" width="13.875" customWidth="1"/>
    <col min="5" max="5" width="10.875" customWidth="1"/>
  </cols>
  <sheetData>
    <row r="1" spans="1:7">
      <c r="A1" t="s">
        <v>0</v>
      </c>
      <c r="B1">
        <v>11259</v>
      </c>
      <c r="C1" t="s">
        <v>1</v>
      </c>
      <c r="D1">
        <v>714.5</v>
      </c>
    </row>
    <row r="2" spans="1:7">
      <c r="A2" t="s">
        <v>2</v>
      </c>
      <c r="B2">
        <f>6.43531*10^-11</f>
        <v>6.4353099999999996E-11</v>
      </c>
    </row>
    <row r="3" spans="1:7">
      <c r="A3" t="s">
        <v>3</v>
      </c>
      <c r="B3">
        <v>-1.6398000000000001E-4</v>
      </c>
    </row>
    <row r="4" spans="1:7">
      <c r="A4" t="s">
        <v>4</v>
      </c>
      <c r="B4">
        <v>1.5649860200000001</v>
      </c>
    </row>
    <row r="5" spans="1:7">
      <c r="A5" t="s">
        <v>5</v>
      </c>
      <c r="B5">
        <v>-2.854026E-3</v>
      </c>
    </row>
    <row r="6" spans="1:7">
      <c r="A6" t="s">
        <v>6</v>
      </c>
      <c r="B6" t="s">
        <v>7</v>
      </c>
      <c r="C6" t="s">
        <v>8</v>
      </c>
      <c r="D6" t="s">
        <v>9</v>
      </c>
      <c r="E6" t="s">
        <v>10</v>
      </c>
      <c r="F6" t="s">
        <v>11</v>
      </c>
      <c r="G6" t="s">
        <v>12</v>
      </c>
    </row>
    <row r="7" spans="1:7">
      <c r="A7" s="7">
        <v>42540</v>
      </c>
      <c r="B7" s="1">
        <v>0.33333333333333298</v>
      </c>
      <c r="C7" s="2">
        <v>9415.1</v>
      </c>
      <c r="D7" s="2">
        <v>13.9</v>
      </c>
      <c r="E7" s="3">
        <f>($B$2*C7^2+$B$3*C7+$B$4)-$B$5*D7</f>
        <v>6.6473406547178232E-2</v>
      </c>
      <c r="G7" t="s">
        <v>13</v>
      </c>
    </row>
    <row r="8" spans="1:7">
      <c r="A8" s="7">
        <v>42540</v>
      </c>
      <c r="B8" s="1">
        <v>0.45833333333333298</v>
      </c>
      <c r="C8" s="2">
        <v>7890.7</v>
      </c>
      <c r="D8" s="2">
        <v>11.2</v>
      </c>
      <c r="E8" s="3">
        <f>($B$2*C8^2+$B$3*C8+$B$4)-$B$5*D8-$E$7</f>
        <v>0.24056754514520731</v>
      </c>
      <c r="F8" s="4">
        <f>$D$1+102*E8</f>
        <v>739.0378896048112</v>
      </c>
      <c r="G8" s="5" t="s">
        <v>14</v>
      </c>
    </row>
    <row r="9" spans="1:7">
      <c r="A9" s="7">
        <v>42541</v>
      </c>
      <c r="B9" s="1">
        <v>0.33333333333333298</v>
      </c>
      <c r="C9" s="2">
        <v>7965.3</v>
      </c>
      <c r="D9" s="2">
        <v>9.6</v>
      </c>
      <c r="E9" s="3">
        <f t="shared" ref="E9:E18" si="0">($B$2*C9^2+$B$3*C9+$B$4)-$B$5*D9-$E$7</f>
        <v>0.22384431609862596</v>
      </c>
      <c r="F9" s="4">
        <f t="shared" ref="F9:F51" si="1">$D$1+102*E9</f>
        <v>737.33212024205989</v>
      </c>
    </row>
    <row r="10" spans="1:7">
      <c r="A10" s="7">
        <v>42542</v>
      </c>
      <c r="B10" s="1">
        <v>0.33333333333333298</v>
      </c>
      <c r="C10" s="2">
        <v>8086.9</v>
      </c>
      <c r="D10" s="2">
        <v>7.5</v>
      </c>
      <c r="E10" s="3">
        <f t="shared" si="0"/>
        <v>0.19803650737257525</v>
      </c>
      <c r="F10" s="4">
        <f t="shared" si="1"/>
        <v>734.69972375200268</v>
      </c>
    </row>
    <row r="11" spans="1:7">
      <c r="A11" s="7">
        <v>42543</v>
      </c>
      <c r="B11" s="1">
        <v>0.33333333333333298</v>
      </c>
      <c r="C11" s="2">
        <v>8095.7</v>
      </c>
      <c r="D11" s="2">
        <v>7.4</v>
      </c>
      <c r="E11" s="3">
        <f t="shared" si="0"/>
        <v>0.19631724509676471</v>
      </c>
      <c r="F11" s="4">
        <f t="shared" si="1"/>
        <v>734.52435899986995</v>
      </c>
    </row>
    <row r="12" spans="1:7">
      <c r="A12" s="7">
        <v>42544</v>
      </c>
      <c r="B12" s="1">
        <v>0.33333333333333298</v>
      </c>
      <c r="C12" s="2">
        <v>8107.8</v>
      </c>
      <c r="D12" s="2">
        <v>7.4</v>
      </c>
      <c r="E12" s="3">
        <f t="shared" si="0"/>
        <v>0.19434570431678042</v>
      </c>
      <c r="F12" s="4">
        <f t="shared" si="1"/>
        <v>734.3232618403116</v>
      </c>
    </row>
    <row r="13" spans="1:7">
      <c r="A13" s="7">
        <v>42545</v>
      </c>
      <c r="B13" s="1">
        <v>0.33333333333333298</v>
      </c>
      <c r="C13" s="2">
        <v>8120.9</v>
      </c>
      <c r="D13" s="2">
        <v>7.4</v>
      </c>
      <c r="E13" s="3">
        <f t="shared" si="0"/>
        <v>0.1922112475264974</v>
      </c>
      <c r="F13" s="4">
        <f t="shared" si="1"/>
        <v>734.1055472477027</v>
      </c>
    </row>
    <row r="14" spans="1:7">
      <c r="A14" s="7">
        <v>42546</v>
      </c>
      <c r="B14" s="9">
        <v>0.33333333333333298</v>
      </c>
      <c r="C14" s="2">
        <v>8123.6</v>
      </c>
      <c r="D14" s="2">
        <v>7.4</v>
      </c>
      <c r="E14" s="3">
        <f t="shared" si="0"/>
        <v>0.19177132406311623</v>
      </c>
      <c r="F14" s="4">
        <f t="shared" si="1"/>
        <v>734.06067505443787</v>
      </c>
    </row>
    <row r="15" spans="1:7">
      <c r="A15" s="7">
        <v>42551</v>
      </c>
      <c r="B15" s="1">
        <v>0.33333333333333298</v>
      </c>
      <c r="C15" s="2">
        <v>8136.6</v>
      </c>
      <c r="D15" s="2">
        <v>7.4</v>
      </c>
      <c r="E15" s="3">
        <f t="shared" si="0"/>
        <v>0.18965318718871235</v>
      </c>
      <c r="F15" s="4">
        <f t="shared" si="1"/>
        <v>733.84462509324862</v>
      </c>
    </row>
    <row r="16" spans="1:7">
      <c r="A16" s="7">
        <v>42561</v>
      </c>
      <c r="B16" s="9">
        <v>0.33333333333333298</v>
      </c>
      <c r="C16" s="2">
        <v>8136.5</v>
      </c>
      <c r="D16" s="2">
        <v>7.3</v>
      </c>
      <c r="E16" s="3">
        <f t="shared" si="0"/>
        <v>0.18938407786626929</v>
      </c>
      <c r="F16" s="4">
        <f t="shared" si="1"/>
        <v>733.81717594235943</v>
      </c>
    </row>
    <row r="17" spans="1:7">
      <c r="A17" s="7">
        <v>42571</v>
      </c>
      <c r="B17" s="1">
        <v>0.33333333333333298</v>
      </c>
      <c r="C17" s="2">
        <v>8141.2</v>
      </c>
      <c r="D17" s="2">
        <v>7.3</v>
      </c>
      <c r="E17" s="3">
        <f t="shared" si="0"/>
        <v>0.18861829521241189</v>
      </c>
      <c r="F17" s="4">
        <f t="shared" si="1"/>
        <v>733.73906611166603</v>
      </c>
      <c r="G17" s="5"/>
    </row>
    <row r="18" spans="1:7">
      <c r="A18" s="7">
        <v>42581</v>
      </c>
      <c r="B18" s="9">
        <v>0.33333333333333398</v>
      </c>
      <c r="C18" s="2">
        <v>8139.3</v>
      </c>
      <c r="D18" s="2">
        <v>7.3</v>
      </c>
      <c r="E18" s="3">
        <f t="shared" si="0"/>
        <v>0.18892786658118718</v>
      </c>
      <c r="F18" s="4">
        <f t="shared" si="1"/>
        <v>733.77064239128106</v>
      </c>
    </row>
    <row r="19" spans="1:7">
      <c r="A19" s="7">
        <v>42592</v>
      </c>
      <c r="B19" s="1">
        <v>0.33333333333333298</v>
      </c>
      <c r="C19" s="2">
        <v>8138</v>
      </c>
      <c r="D19" s="2">
        <v>7.3</v>
      </c>
      <c r="E19" s="3">
        <f t="shared" ref="E19:E42" si="2">($B$2*C19^2+$B$3*C19+$B$4)-$B$5*D19-$E$7</f>
        <v>0.18913967883805824</v>
      </c>
      <c r="F19" s="4">
        <f t="shared" si="1"/>
        <v>733.79224724148196</v>
      </c>
    </row>
    <row r="20" spans="1:7">
      <c r="A20" s="7">
        <v>42602</v>
      </c>
      <c r="B20" s="1">
        <v>0.33333333333333298</v>
      </c>
      <c r="C20" s="2">
        <v>8147</v>
      </c>
      <c r="D20" s="2">
        <v>7.3</v>
      </c>
      <c r="E20" s="3">
        <f t="shared" si="2"/>
        <v>0.18767329075015979</v>
      </c>
      <c r="F20" s="4">
        <f t="shared" si="1"/>
        <v>733.6426756565163</v>
      </c>
      <c r="G20" s="2"/>
    </row>
    <row r="21" spans="1:7">
      <c r="A21" s="7">
        <v>42612</v>
      </c>
      <c r="B21" s="1">
        <v>0.33333333333333298</v>
      </c>
      <c r="C21" s="2">
        <v>8143.7</v>
      </c>
      <c r="D21" s="2">
        <v>7.3</v>
      </c>
      <c r="E21" s="3">
        <f t="shared" si="2"/>
        <v>0.18821096517190736</v>
      </c>
      <c r="F21" s="4">
        <f t="shared" si="1"/>
        <v>733.69751844753455</v>
      </c>
      <c r="G21" s="2"/>
    </row>
    <row r="22" spans="1:7">
      <c r="A22" s="7">
        <v>42623</v>
      </c>
      <c r="B22" s="1">
        <v>0.33333333333333298</v>
      </c>
      <c r="C22">
        <v>8131.5</v>
      </c>
      <c r="D22">
        <v>7.3</v>
      </c>
      <c r="E22" s="3">
        <f t="shared" si="2"/>
        <v>0.19019874338511519</v>
      </c>
      <c r="F22" s="4">
        <f t="shared" si="1"/>
        <v>733.90027182528172</v>
      </c>
    </row>
    <row r="23" spans="1:7">
      <c r="A23" s="7">
        <v>42633</v>
      </c>
      <c r="B23" s="1">
        <v>0.33333333333333331</v>
      </c>
      <c r="C23" s="2">
        <v>8116.5</v>
      </c>
      <c r="D23" s="2">
        <v>7.3</v>
      </c>
      <c r="E23" s="3">
        <f t="shared" si="2"/>
        <v>0.19264275924758331</v>
      </c>
      <c r="F23" s="4">
        <f t="shared" si="1"/>
        <v>734.14956144325345</v>
      </c>
    </row>
    <row r="24" spans="1:7">
      <c r="A24" s="7">
        <v>42643</v>
      </c>
      <c r="B24" s="1">
        <v>0.33333333333333331</v>
      </c>
      <c r="C24" s="2">
        <v>7986.7</v>
      </c>
      <c r="D24" s="2">
        <v>7.3</v>
      </c>
      <c r="E24" s="3">
        <f t="shared" si="2"/>
        <v>0.21379285269656165</v>
      </c>
      <c r="F24" s="4">
        <f t="shared" si="1"/>
        <v>736.30687097504926</v>
      </c>
    </row>
    <row r="25" spans="1:7">
      <c r="A25" s="6">
        <v>42653</v>
      </c>
      <c r="B25" s="1">
        <v>0.33333333333333331</v>
      </c>
      <c r="C25" s="2">
        <v>8003.7</v>
      </c>
      <c r="D25" s="2">
        <v>7.3</v>
      </c>
      <c r="E25" s="3">
        <f t="shared" si="2"/>
        <v>0.21102268623733575</v>
      </c>
      <c r="F25" s="4">
        <f t="shared" si="1"/>
        <v>736.02431399620821</v>
      </c>
    </row>
    <row r="26" spans="1:7">
      <c r="A26" s="7">
        <v>42855</v>
      </c>
      <c r="B26" s="1">
        <v>0.33333333333333331</v>
      </c>
      <c r="C26" s="2">
        <v>7990.9</v>
      </c>
      <c r="D26" s="2">
        <v>7.6</v>
      </c>
      <c r="E26" s="3">
        <f t="shared" si="2"/>
        <v>0.21396466297054209</v>
      </c>
      <c r="F26" s="4">
        <f t="shared" si="1"/>
        <v>736.32439562299533</v>
      </c>
    </row>
    <row r="27" spans="1:7">
      <c r="A27" s="7">
        <v>42865</v>
      </c>
      <c r="B27" s="1">
        <v>0.33333333333333331</v>
      </c>
      <c r="C27" s="2">
        <v>7952.8</v>
      </c>
      <c r="D27" s="2">
        <v>7.7</v>
      </c>
      <c r="E27" s="3">
        <f t="shared" si="2"/>
        <v>0.2204586119601121</v>
      </c>
      <c r="F27" s="4">
        <f t="shared" si="1"/>
        <v>736.9867784199314</v>
      </c>
    </row>
    <row r="28" spans="1:7">
      <c r="A28" s="7">
        <v>42875</v>
      </c>
      <c r="B28" s="1">
        <v>0.33333333333333331</v>
      </c>
      <c r="C28" s="2">
        <v>8002.7</v>
      </c>
      <c r="D28" s="2">
        <v>7.7</v>
      </c>
      <c r="E28" s="3">
        <f t="shared" si="2"/>
        <v>0.21232724657587579</v>
      </c>
      <c r="F28" s="4">
        <f t="shared" si="1"/>
        <v>736.1573791507393</v>
      </c>
    </row>
    <row r="29" spans="1:7">
      <c r="A29" s="7">
        <v>42885</v>
      </c>
      <c r="B29" s="1">
        <v>0.33333333333333331</v>
      </c>
      <c r="C29" s="2">
        <v>8019</v>
      </c>
      <c r="D29" s="2">
        <v>7.7</v>
      </c>
      <c r="E29" s="3">
        <f t="shared" si="2"/>
        <v>0.20967117862669085</v>
      </c>
      <c r="F29" s="4">
        <f t="shared" si="1"/>
        <v>735.88646021992247</v>
      </c>
    </row>
    <row r="30" spans="1:7">
      <c r="A30" s="7">
        <v>42896</v>
      </c>
      <c r="B30" s="1">
        <v>0.33333333333333331</v>
      </c>
      <c r="C30" s="2">
        <v>8017.6</v>
      </c>
      <c r="D30" s="2">
        <v>7.7</v>
      </c>
      <c r="E30" s="3">
        <f t="shared" si="2"/>
        <v>0.2098993058197979</v>
      </c>
      <c r="F30" s="4">
        <f t="shared" si="1"/>
        <v>735.90972919361934</v>
      </c>
    </row>
    <row r="31" spans="1:7">
      <c r="A31" s="7">
        <v>42906</v>
      </c>
      <c r="B31" s="1">
        <v>0.33333333333333331</v>
      </c>
      <c r="C31" s="2">
        <v>8007.6</v>
      </c>
      <c r="D31" s="2">
        <v>7.7</v>
      </c>
      <c r="E31" s="3">
        <f t="shared" si="2"/>
        <v>0.21152879310681696</v>
      </c>
      <c r="F31" s="4">
        <f t="shared" si="1"/>
        <v>736.07593689689531</v>
      </c>
    </row>
    <row r="32" spans="1:7">
      <c r="A32" s="7">
        <v>42926</v>
      </c>
      <c r="B32" s="1">
        <v>0.33333333333333331</v>
      </c>
      <c r="C32" s="2">
        <v>8019.2</v>
      </c>
      <c r="D32" s="2">
        <v>7.7</v>
      </c>
      <c r="E32" s="3">
        <f t="shared" si="2"/>
        <v>0.20963858904826851</v>
      </c>
      <c r="F32" s="4">
        <f t="shared" si="1"/>
        <v>735.88313608292344</v>
      </c>
    </row>
    <row r="33" spans="1:6">
      <c r="A33" s="7">
        <v>42936</v>
      </c>
      <c r="B33" s="1">
        <v>0.33333333333333331</v>
      </c>
      <c r="C33" s="2">
        <v>8019.2</v>
      </c>
      <c r="D33" s="2">
        <v>7.7</v>
      </c>
      <c r="E33" s="3">
        <f t="shared" si="2"/>
        <v>0.20963858904826851</v>
      </c>
      <c r="F33" s="4">
        <f t="shared" si="1"/>
        <v>735.88313608292344</v>
      </c>
    </row>
    <row r="34" spans="1:6">
      <c r="A34" s="7">
        <v>42946</v>
      </c>
      <c r="B34" s="1">
        <v>0.33333333333333331</v>
      </c>
      <c r="C34" s="2">
        <v>8022.6</v>
      </c>
      <c r="D34" s="2">
        <v>7.7</v>
      </c>
      <c r="E34" s="3">
        <f t="shared" si="2"/>
        <v>0.20908456700277092</v>
      </c>
      <c r="F34" s="4">
        <f t="shared" si="1"/>
        <v>735.82662583428259</v>
      </c>
    </row>
    <row r="35" spans="1:6">
      <c r="A35" s="7">
        <v>42957</v>
      </c>
      <c r="B35" s="1">
        <v>0.33333333333333331</v>
      </c>
      <c r="C35" s="2">
        <v>8016.3</v>
      </c>
      <c r="D35" s="2">
        <v>7.8</v>
      </c>
      <c r="E35" s="3">
        <f t="shared" si="2"/>
        <v>0.21039654103927699</v>
      </c>
      <c r="F35" s="4">
        <f t="shared" si="1"/>
        <v>735.96044718600626</v>
      </c>
    </row>
    <row r="36" spans="1:6">
      <c r="A36" s="7">
        <v>42967</v>
      </c>
      <c r="B36" s="1">
        <v>0.33333333333333331</v>
      </c>
      <c r="C36" s="2">
        <v>8024.3</v>
      </c>
      <c r="D36" s="2">
        <v>7.9</v>
      </c>
      <c r="E36" s="3">
        <f t="shared" si="2"/>
        <v>0.20937836173796379</v>
      </c>
      <c r="F36" s="4">
        <f t="shared" si="1"/>
        <v>735.85659289727232</v>
      </c>
    </row>
    <row r="37" spans="1:6">
      <c r="A37" s="7">
        <v>42977</v>
      </c>
      <c r="B37" s="1">
        <v>0.33333333333333331</v>
      </c>
      <c r="C37" s="2">
        <v>8014</v>
      </c>
      <c r="D37" s="2">
        <v>7.8</v>
      </c>
      <c r="E37" s="3">
        <f t="shared" si="2"/>
        <v>0.21077132236042931</v>
      </c>
      <c r="F37" s="4">
        <f t="shared" si="1"/>
        <v>735.99867488076382</v>
      </c>
    </row>
    <row r="38" spans="1:6">
      <c r="A38" s="7">
        <v>42988</v>
      </c>
      <c r="B38" s="1">
        <v>0.33333333333333331</v>
      </c>
      <c r="C38" s="2">
        <v>8014.2</v>
      </c>
      <c r="D38" s="2">
        <v>7.9</v>
      </c>
      <c r="E38" s="3">
        <f t="shared" si="2"/>
        <v>0.2110241352533008</v>
      </c>
      <c r="F38" s="4">
        <f t="shared" si="1"/>
        <v>736.02446179583671</v>
      </c>
    </row>
    <row r="39" spans="1:6">
      <c r="A39" s="7">
        <v>42998</v>
      </c>
      <c r="B39" s="1">
        <v>0.33333333333333331</v>
      </c>
      <c r="C39" s="2">
        <v>8017.3</v>
      </c>
      <c r="D39" s="2">
        <v>7.8</v>
      </c>
      <c r="E39" s="3">
        <f t="shared" si="2"/>
        <v>0.21023359285114099</v>
      </c>
      <c r="F39" s="4">
        <f t="shared" si="1"/>
        <v>735.94382647081636</v>
      </c>
    </row>
    <row r="40" spans="1:6">
      <c r="A40" s="7">
        <v>43008</v>
      </c>
      <c r="B40" s="1">
        <v>0.33333333333333331</v>
      </c>
      <c r="C40" s="2">
        <v>8020.3</v>
      </c>
      <c r="D40" s="2">
        <v>7.7</v>
      </c>
      <c r="E40" s="3">
        <f t="shared" si="2"/>
        <v>0.20945934645897082</v>
      </c>
      <c r="F40" s="4">
        <f t="shared" si="1"/>
        <v>735.86485333881501</v>
      </c>
    </row>
    <row r="41" spans="1:6">
      <c r="A41" s="7">
        <v>43018</v>
      </c>
      <c r="B41" s="1">
        <v>0.33333333333333331</v>
      </c>
      <c r="C41" s="2">
        <v>8018.8</v>
      </c>
      <c r="D41" s="2">
        <v>7.7</v>
      </c>
      <c r="E41" s="3">
        <f t="shared" si="2"/>
        <v>0.20970376821026129</v>
      </c>
      <c r="F41" s="4">
        <f t="shared" si="1"/>
        <v>735.88978435744662</v>
      </c>
    </row>
    <row r="42" spans="1:6">
      <c r="A42" s="7">
        <v>43230</v>
      </c>
      <c r="B42" s="1">
        <v>0.33333333333333331</v>
      </c>
      <c r="C42" s="2">
        <v>8020.7</v>
      </c>
      <c r="D42" s="2">
        <v>7.7</v>
      </c>
      <c r="E42" s="3">
        <f t="shared" si="2"/>
        <v>0.20939416737420161</v>
      </c>
      <c r="F42" s="4">
        <f t="shared" si="1"/>
        <v>735.85820507216852</v>
      </c>
    </row>
    <row r="43" spans="1:6">
      <c r="A43" s="7">
        <v>43240</v>
      </c>
      <c r="B43" s="1">
        <v>0.33333333333333331</v>
      </c>
      <c r="C43" s="2">
        <v>8023.3</v>
      </c>
      <c r="D43" s="2">
        <v>7.8</v>
      </c>
      <c r="E43" s="3">
        <f>($B$2*C43^2+$B$3*C43+$B$4)-$B$5*D43-$E$7</f>
        <v>0.20925590642515604</v>
      </c>
      <c r="F43" s="4">
        <f t="shared" si="1"/>
        <v>735.84410245536594</v>
      </c>
    </row>
    <row r="44" spans="1:6">
      <c r="A44" s="7">
        <v>43250</v>
      </c>
      <c r="B44" s="1">
        <v>0.33333333333333331</v>
      </c>
      <c r="C44" s="2">
        <v>8017.4</v>
      </c>
      <c r="D44" s="2">
        <v>7.7</v>
      </c>
      <c r="E44" s="3">
        <f>($B$2*C44^2+$B$3*C44+$B$4)-$B$5*D44-$E$7</f>
        <v>0.20993189543940641</v>
      </c>
      <c r="F44" s="4">
        <f t="shared" si="1"/>
        <v>735.91305333481944</v>
      </c>
    </row>
    <row r="45" spans="1:6">
      <c r="A45" s="7">
        <v>43261</v>
      </c>
      <c r="B45" s="1">
        <v>0.33333333333333331</v>
      </c>
      <c r="C45" s="2">
        <v>7992.7</v>
      </c>
      <c r="D45" s="2">
        <v>7.7</v>
      </c>
      <c r="E45" s="3">
        <f>($B$2*C45^2+$B$3*C45+$B$4)-$B$5*D45-$E$7</f>
        <v>0.21395675304011866</v>
      </c>
      <c r="F45" s="4">
        <f t="shared" si="1"/>
        <v>736.32358881009213</v>
      </c>
    </row>
    <row r="46" spans="1:6">
      <c r="A46" s="7">
        <v>43271</v>
      </c>
      <c r="B46" s="1">
        <v>0.33333333333333331</v>
      </c>
      <c r="C46" s="2">
        <v>7908.8</v>
      </c>
      <c r="D46" s="2">
        <v>8</v>
      </c>
      <c r="E46" s="3">
        <f>($B$2*C46^2+$B$3*C46+$B$4)-$B$5*D46-$E$7</f>
        <v>0.22848502706234983</v>
      </c>
      <c r="F46" s="4">
        <f t="shared" si="1"/>
        <v>737.80547276035963</v>
      </c>
    </row>
    <row r="47" spans="1:6">
      <c r="A47" s="7">
        <v>43281</v>
      </c>
      <c r="B47" s="1">
        <v>0.33333333333333331</v>
      </c>
      <c r="C47" s="2">
        <v>7947.1</v>
      </c>
      <c r="D47" s="2">
        <v>7.8</v>
      </c>
      <c r="E47" s="3">
        <f>($B$2*C47^2+$B$3*C47+$B$4)-$B$5*D47-$E$7</f>
        <v>0.22167286827534041</v>
      </c>
      <c r="F47" s="4">
        <f t="shared" si="1"/>
        <v>737.11063256408477</v>
      </c>
    </row>
    <row r="48" spans="1:6">
      <c r="A48" s="7">
        <v>43291</v>
      </c>
      <c r="B48" s="1">
        <v>0.33333333333333331</v>
      </c>
      <c r="C48" s="2">
        <v>7991</v>
      </c>
      <c r="D48" s="2">
        <v>7.9</v>
      </c>
      <c r="E48" s="3">
        <f t="shared" ref="E48:E51" si="3">($B$2*C48^2+$B$3*C48+$B$4)-$B$5*D48-$E$7</f>
        <v>0.2148045756190228</v>
      </c>
      <c r="F48" s="4">
        <f t="shared" si="1"/>
        <v>736.41006671314028</v>
      </c>
    </row>
    <row r="49" spans="1:6">
      <c r="A49" s="7">
        <v>43301</v>
      </c>
      <c r="B49" s="1">
        <v>0.33333333333333331</v>
      </c>
      <c r="C49" s="2">
        <v>7995.1</v>
      </c>
      <c r="D49" s="2">
        <v>7.8</v>
      </c>
      <c r="E49" s="3">
        <f t="shared" si="3"/>
        <v>0.21385107291489949</v>
      </c>
      <c r="F49" s="4">
        <f t="shared" si="1"/>
        <v>736.31280943731974</v>
      </c>
    </row>
    <row r="50" spans="1:6">
      <c r="A50" s="7">
        <v>43311</v>
      </c>
      <c r="B50" s="1">
        <v>0.33333333333333331</v>
      </c>
      <c r="C50" s="2">
        <v>7995.4</v>
      </c>
      <c r="D50" s="2">
        <v>7.6</v>
      </c>
      <c r="E50" s="3">
        <f t="shared" si="3"/>
        <v>0.21323138242637343</v>
      </c>
      <c r="F50" s="4">
        <f t="shared" si="1"/>
        <v>736.24960100749013</v>
      </c>
    </row>
    <row r="51" spans="1:6">
      <c r="A51" s="7">
        <v>43322</v>
      </c>
      <c r="B51" s="1">
        <v>0.33333333333333331</v>
      </c>
      <c r="C51" s="2">
        <v>7978.9</v>
      </c>
      <c r="D51" s="2">
        <v>7.9</v>
      </c>
      <c r="E51" s="3">
        <f t="shared" si="3"/>
        <v>0.2167762982969054</v>
      </c>
      <c r="F51" s="4">
        <f t="shared" si="1"/>
        <v>736.61118242628436</v>
      </c>
    </row>
    <row r="52" spans="1:6">
      <c r="A52" s="7">
        <v>43332</v>
      </c>
      <c r="B52" s="1">
        <v>0.33333333333333331</v>
      </c>
      <c r="C52" s="2">
        <v>7991.7</v>
      </c>
      <c r="D52" s="2">
        <v>7.7</v>
      </c>
      <c r="E52" s="3">
        <f t="shared" ref="E52:E53" si="4">($B$2*C52^2+$B$3*C52+$B$4)-$B$5*D52-$E$7</f>
        <v>0.21411970439442687</v>
      </c>
      <c r="F52" s="4">
        <f t="shared" ref="F52:F53" si="5">$D$1+102*E52</f>
        <v>736.34020984823155</v>
      </c>
    </row>
    <row r="53" spans="1:6">
      <c r="A53" s="7">
        <v>43342</v>
      </c>
      <c r="B53" s="1">
        <v>0.33333333333333331</v>
      </c>
      <c r="C53" s="2">
        <v>7876.2</v>
      </c>
      <c r="D53" s="2">
        <v>7.7</v>
      </c>
      <c r="E53" s="3">
        <f t="shared" si="4"/>
        <v>0.23294145173626793</v>
      </c>
      <c r="F53" s="4">
        <f t="shared" si="5"/>
        <v>738.26002807709938</v>
      </c>
    </row>
    <row r="54" spans="1:6">
      <c r="A54" s="7">
        <v>43353</v>
      </c>
      <c r="B54" s="1">
        <v>0.33333333333333331</v>
      </c>
      <c r="C54" s="2">
        <v>7719.3</v>
      </c>
      <c r="D54" s="2">
        <v>7.7</v>
      </c>
      <c r="E54" s="3">
        <f t="shared" ref="E54:E69" si="6">($B$2*C54^2+$B$3*C54+$B$4)-$B$5*D54-$E$7</f>
        <v>0.2585124459510898</v>
      </c>
      <c r="F54" s="4">
        <f t="shared" ref="F54:F69" si="7">$D$1+102*E54</f>
        <v>740.86826948701116</v>
      </c>
    </row>
    <row r="55" spans="1:6">
      <c r="A55" s="7">
        <v>43363</v>
      </c>
      <c r="B55" s="1">
        <v>0.33333333333333331</v>
      </c>
      <c r="C55" s="2">
        <v>7969.9</v>
      </c>
      <c r="D55" s="2">
        <v>7.8</v>
      </c>
      <c r="E55" s="3">
        <f t="shared" si="6"/>
        <v>0.21795747850441385</v>
      </c>
      <c r="F55" s="4">
        <f t="shared" si="7"/>
        <v>736.73166280745022</v>
      </c>
    </row>
    <row r="56" spans="1:6">
      <c r="A56" s="7">
        <v>43373</v>
      </c>
      <c r="B56" s="1">
        <v>0.33333333333333331</v>
      </c>
      <c r="C56" s="2">
        <v>7980.3</v>
      </c>
      <c r="D56" s="2">
        <v>7.6</v>
      </c>
      <c r="E56" s="3">
        <f t="shared" si="6"/>
        <v>0.21569195633049623</v>
      </c>
      <c r="F56" s="4">
        <f t="shared" si="7"/>
        <v>736.50057954571059</v>
      </c>
    </row>
    <row r="57" spans="1:6">
      <c r="A57" s="7">
        <v>43383</v>
      </c>
      <c r="B57" s="1">
        <v>0.33333333333333331</v>
      </c>
      <c r="C57" s="2">
        <v>7983.7</v>
      </c>
      <c r="D57" s="2">
        <v>7.5</v>
      </c>
      <c r="E57" s="3">
        <f t="shared" si="6"/>
        <v>0.21485251466231711</v>
      </c>
      <c r="F57" s="4">
        <f t="shared" si="7"/>
        <v>736.41495649555634</v>
      </c>
    </row>
    <row r="58" spans="1:6">
      <c r="A58" s="7">
        <v>43393</v>
      </c>
      <c r="B58" s="1">
        <v>0.33333333333333331</v>
      </c>
      <c r="C58" s="2">
        <v>7987.6</v>
      </c>
      <c r="D58" s="2">
        <v>7.2</v>
      </c>
      <c r="E58" s="3">
        <f t="shared" si="6"/>
        <v>0.21336079329271432</v>
      </c>
      <c r="F58" s="4">
        <f t="shared" si="7"/>
        <v>736.26280091585681</v>
      </c>
    </row>
    <row r="59" spans="1:6">
      <c r="A59" s="7">
        <v>43605</v>
      </c>
      <c r="B59" s="1">
        <v>0.33333333333333331</v>
      </c>
      <c r="C59" s="2">
        <v>7995.3</v>
      </c>
      <c r="D59" s="2">
        <v>6.7</v>
      </c>
      <c r="E59" s="3">
        <f t="shared" si="6"/>
        <v>0.21067905412126173</v>
      </c>
      <c r="F59" s="4">
        <f t="shared" si="7"/>
        <v>735.9892635203687</v>
      </c>
    </row>
    <row r="60" spans="1:6">
      <c r="A60" s="7">
        <v>43615</v>
      </c>
      <c r="B60" s="1">
        <v>0.33333333333333331</v>
      </c>
      <c r="C60" s="2">
        <v>7996.2</v>
      </c>
      <c r="D60" s="2">
        <v>6.9</v>
      </c>
      <c r="E60" s="3">
        <f t="shared" si="6"/>
        <v>0.21110320351360071</v>
      </c>
      <c r="F60" s="4">
        <f t="shared" si="7"/>
        <v>736.03252675838723</v>
      </c>
    </row>
    <row r="61" spans="1:6">
      <c r="A61" s="7">
        <v>43626</v>
      </c>
      <c r="B61" s="1">
        <v>0.33333333333333331</v>
      </c>
      <c r="C61" s="2">
        <v>7996.8</v>
      </c>
      <c r="D61" s="2">
        <v>7.1</v>
      </c>
      <c r="E61" s="3">
        <f t="shared" si="6"/>
        <v>0.2115762382330775</v>
      </c>
      <c r="F61" s="4">
        <f t="shared" si="7"/>
        <v>736.0807762997739</v>
      </c>
    </row>
    <row r="62" spans="1:6">
      <c r="A62" s="7">
        <v>43636</v>
      </c>
      <c r="B62" s="1">
        <v>0.33333333333333331</v>
      </c>
      <c r="C62" s="2">
        <v>7997.3</v>
      </c>
      <c r="D62" s="2">
        <v>7.4</v>
      </c>
      <c r="E62" s="3">
        <f t="shared" si="6"/>
        <v>0.21235097066803596</v>
      </c>
      <c r="F62" s="4">
        <f t="shared" si="7"/>
        <v>736.15979900813966</v>
      </c>
    </row>
    <row r="63" spans="1:6">
      <c r="A63" s="7">
        <v>43646</v>
      </c>
      <c r="B63" s="1">
        <v>0.33333333333333331</v>
      </c>
      <c r="C63" s="2">
        <v>7990.5</v>
      </c>
      <c r="D63" s="2">
        <v>7.4</v>
      </c>
      <c r="E63" s="3">
        <f t="shared" si="6"/>
        <v>0.21345903838948896</v>
      </c>
      <c r="F63" s="4">
        <f t="shared" si="7"/>
        <v>736.27282191572783</v>
      </c>
    </row>
    <row r="64" spans="1:6">
      <c r="A64" s="7">
        <v>43656</v>
      </c>
      <c r="B64" s="1">
        <v>0.33333333333333331</v>
      </c>
      <c r="C64" s="2">
        <v>7987.3</v>
      </c>
      <c r="D64" s="2">
        <v>7.4</v>
      </c>
      <c r="E64" s="3">
        <f t="shared" si="6"/>
        <v>0.2139804840824133</v>
      </c>
      <c r="F64" s="4">
        <f t="shared" si="7"/>
        <v>736.3260093764062</v>
      </c>
    </row>
    <row r="65" spans="1:6">
      <c r="A65" s="7">
        <v>43666</v>
      </c>
      <c r="B65" s="1">
        <v>0.33333333333333331</v>
      </c>
      <c r="C65" s="2">
        <v>7985.6</v>
      </c>
      <c r="D65" s="2">
        <v>7.5</v>
      </c>
      <c r="E65" s="3">
        <f t="shared" si="6"/>
        <v>0.21454290524284034</v>
      </c>
      <c r="F65" s="4">
        <f t="shared" si="7"/>
        <v>736.38337633476976</v>
      </c>
    </row>
    <row r="66" spans="1:6">
      <c r="A66" s="7">
        <v>43676</v>
      </c>
      <c r="B66" s="1">
        <v>0.33333333333333331</v>
      </c>
      <c r="C66" s="2">
        <v>7972.6</v>
      </c>
      <c r="D66" s="2">
        <v>7.6</v>
      </c>
      <c r="E66" s="3">
        <f t="shared" si="6"/>
        <v>0.21694669736751496</v>
      </c>
      <c r="F66" s="4">
        <f t="shared" si="7"/>
        <v>736.62856313148654</v>
      </c>
    </row>
    <row r="67" spans="1:6">
      <c r="A67" s="7">
        <v>43687</v>
      </c>
      <c r="B67" s="1">
        <v>0.33333333333333331</v>
      </c>
      <c r="C67" s="2">
        <v>7953.2</v>
      </c>
      <c r="D67" s="2">
        <v>7.6</v>
      </c>
      <c r="E67" s="3">
        <f t="shared" si="6"/>
        <v>0.22010802680027555</v>
      </c>
      <c r="F67" s="4">
        <f t="shared" si="7"/>
        <v>736.95101873362808</v>
      </c>
    </row>
    <row r="68" spans="1:6">
      <c r="A68" s="7">
        <v>43697</v>
      </c>
      <c r="B68" s="1">
        <v>0.33333333333333331</v>
      </c>
      <c r="C68" s="2">
        <v>7938.4</v>
      </c>
      <c r="D68" s="2">
        <v>7.5</v>
      </c>
      <c r="E68" s="3">
        <f t="shared" si="6"/>
        <v>0.22223439262916087</v>
      </c>
      <c r="F68" s="4">
        <f t="shared" si="7"/>
        <v>737.16790804817435</v>
      </c>
    </row>
    <row r="69" spans="1:6">
      <c r="A69" s="7">
        <v>43707</v>
      </c>
      <c r="B69" s="1">
        <v>0.33333333333333331</v>
      </c>
      <c r="C69" s="2">
        <v>7929.3</v>
      </c>
      <c r="D69" s="2">
        <v>7.6</v>
      </c>
      <c r="E69" s="3">
        <f t="shared" si="6"/>
        <v>0.22400272089442844</v>
      </c>
      <c r="F69" s="4">
        <f t="shared" si="7"/>
        <v>737.3482775312317</v>
      </c>
    </row>
  </sheetData>
  <phoneticPr fontId="4" type="noConversion"/>
  <pageMargins left="0.69930555555555596" right="0.69930555555555596" top="0.75" bottom="0.75" header="0.3" footer="0.3"/>
  <pageSetup paperSize="9" orientation="portrait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1"/>
  <sheetViews>
    <sheetView topLeftCell="A50" workbookViewId="0">
      <selection activeCell="A65" sqref="A65:B71"/>
    </sheetView>
  </sheetViews>
  <sheetFormatPr defaultColWidth="9" defaultRowHeight="13.5"/>
  <cols>
    <col min="1" max="1" width="11.5" customWidth="1"/>
    <col min="2" max="2" width="13.875" customWidth="1"/>
    <col min="5" max="5" width="10.875" customWidth="1"/>
  </cols>
  <sheetData>
    <row r="1" spans="1:7">
      <c r="A1" t="s">
        <v>0</v>
      </c>
      <c r="B1">
        <v>11254</v>
      </c>
      <c r="C1" t="s">
        <v>1</v>
      </c>
      <c r="D1">
        <v>714.5</v>
      </c>
    </row>
    <row r="2" spans="1:7">
      <c r="A2" t="s">
        <v>2</v>
      </c>
      <c r="B2">
        <f>3.04677*10^-10</f>
        <v>3.04677E-10</v>
      </c>
    </row>
    <row r="3" spans="1:7">
      <c r="A3" t="s">
        <v>3</v>
      </c>
      <c r="B3">
        <v>-1.5356699999999999E-4</v>
      </c>
    </row>
    <row r="4" spans="1:7">
      <c r="A4" t="s">
        <v>4</v>
      </c>
      <c r="B4">
        <v>1.4146364499999999</v>
      </c>
    </row>
    <row r="5" spans="1:7">
      <c r="A5" t="s">
        <v>5</v>
      </c>
      <c r="B5">
        <v>-2.612769E-3</v>
      </c>
    </row>
    <row r="6" spans="1:7">
      <c r="A6" t="s">
        <v>6</v>
      </c>
      <c r="B6" t="s">
        <v>7</v>
      </c>
      <c r="C6" t="s">
        <v>8</v>
      </c>
      <c r="D6" t="s">
        <v>9</v>
      </c>
      <c r="E6" t="s">
        <v>10</v>
      </c>
      <c r="F6" t="s">
        <v>11</v>
      </c>
      <c r="G6" t="s">
        <v>12</v>
      </c>
    </row>
    <row r="7" spans="1:7">
      <c r="A7" s="7">
        <v>42537</v>
      </c>
      <c r="B7" s="1">
        <v>0.79166666666666696</v>
      </c>
      <c r="C7" s="2">
        <v>9202.5</v>
      </c>
      <c r="D7" s="2">
        <v>14.2</v>
      </c>
      <c r="E7" s="3">
        <f>($B$2*C7^2+$B$3*C7+$B$4)-$B$5*D7</f>
        <v>6.4339330626231345E-2</v>
      </c>
      <c r="G7" t="s">
        <v>13</v>
      </c>
    </row>
    <row r="8" spans="1:7">
      <c r="A8" s="7">
        <v>42538</v>
      </c>
      <c r="B8" s="1">
        <v>0.33333333333333298</v>
      </c>
      <c r="C8" s="2">
        <v>7910.1</v>
      </c>
      <c r="D8" s="2">
        <v>8.3000000000000007</v>
      </c>
      <c r="E8" s="3">
        <f>($B$2*C8^2+$B$3*C8+$B$4)-$B$5*D8-$E$7</f>
        <v>0.17631631837952941</v>
      </c>
      <c r="F8" s="4">
        <f>$D$1+102*E8</f>
        <v>732.48426447471195</v>
      </c>
      <c r="G8" s="5" t="s">
        <v>14</v>
      </c>
    </row>
    <row r="9" spans="1:7">
      <c r="A9" s="7">
        <v>42539</v>
      </c>
      <c r="B9" s="1">
        <v>0.33333333333333298</v>
      </c>
      <c r="C9" s="2">
        <v>7880</v>
      </c>
      <c r="D9" s="2">
        <v>7.8</v>
      </c>
      <c r="E9" s="3">
        <f t="shared" ref="E9:E20" si="0">($B$2*C9^2+$B$3*C9+$B$4)-$B$5*D9-$E$7</f>
        <v>0.1794874930825687</v>
      </c>
      <c r="F9" s="4">
        <f t="shared" ref="F9:F55" si="1">$D$1+102*E9</f>
        <v>732.80772429442197</v>
      </c>
    </row>
    <row r="10" spans="1:7">
      <c r="A10" s="7">
        <v>42540</v>
      </c>
      <c r="B10" s="1">
        <v>0.33333333333333298</v>
      </c>
      <c r="C10" s="2">
        <v>7851.7</v>
      </c>
      <c r="D10" s="2">
        <v>7.6</v>
      </c>
      <c r="E10" s="3">
        <f t="shared" si="0"/>
        <v>0.18317524101591526</v>
      </c>
      <c r="F10" s="4">
        <f t="shared" si="1"/>
        <v>733.18387458362338</v>
      </c>
    </row>
    <row r="11" spans="1:7">
      <c r="A11" s="7">
        <v>42541</v>
      </c>
      <c r="B11" s="1">
        <v>0.33333333333333298</v>
      </c>
      <c r="C11" s="2">
        <v>7845.1</v>
      </c>
      <c r="D11" s="2">
        <v>7.6</v>
      </c>
      <c r="E11" s="3">
        <f t="shared" si="0"/>
        <v>0.18415721901995358</v>
      </c>
      <c r="F11" s="4">
        <f t="shared" si="1"/>
        <v>733.2840363400353</v>
      </c>
    </row>
    <row r="12" spans="1:7">
      <c r="A12" s="7">
        <v>42542</v>
      </c>
      <c r="B12" s="1">
        <v>0.33333333333333298</v>
      </c>
      <c r="C12" s="2">
        <v>7832</v>
      </c>
      <c r="D12" s="2">
        <v>7.6</v>
      </c>
      <c r="E12" s="3">
        <f t="shared" si="0"/>
        <v>0.18610637520141668</v>
      </c>
      <c r="F12" s="4">
        <f t="shared" si="1"/>
        <v>733.48285027054453</v>
      </c>
    </row>
    <row r="13" spans="1:7">
      <c r="A13" s="7">
        <v>42543</v>
      </c>
      <c r="B13" s="1">
        <v>0.33333333333333298</v>
      </c>
      <c r="C13" s="2">
        <v>7842.1</v>
      </c>
      <c r="D13" s="2">
        <v>7.5</v>
      </c>
      <c r="E13" s="3">
        <f t="shared" si="0"/>
        <v>0.18434230453285033</v>
      </c>
      <c r="F13" s="4">
        <f t="shared" si="1"/>
        <v>733.30291506235073</v>
      </c>
    </row>
    <row r="14" spans="1:7">
      <c r="A14" s="7">
        <v>42544</v>
      </c>
      <c r="B14" s="1">
        <v>0.33333333333333298</v>
      </c>
      <c r="C14" s="2">
        <v>7854.8</v>
      </c>
      <c r="D14" s="2">
        <v>7.5</v>
      </c>
      <c r="E14" s="3">
        <f t="shared" si="0"/>
        <v>0.1824527411847468</v>
      </c>
      <c r="F14" s="4">
        <f t="shared" si="1"/>
        <v>733.11017960084416</v>
      </c>
    </row>
    <row r="15" spans="1:7">
      <c r="A15" s="7">
        <v>42545</v>
      </c>
      <c r="B15" s="1">
        <v>0.33333333333333298</v>
      </c>
      <c r="C15" s="2">
        <v>7869.9</v>
      </c>
      <c r="D15" s="2">
        <v>7.5</v>
      </c>
      <c r="E15" s="3">
        <f t="shared" si="0"/>
        <v>0.18020622289651739</v>
      </c>
      <c r="F15" s="4">
        <f t="shared" si="1"/>
        <v>732.88103473544481</v>
      </c>
    </row>
    <row r="16" spans="1:7">
      <c r="A16" s="7">
        <v>42546</v>
      </c>
      <c r="B16" s="9">
        <v>0.33333333333333298</v>
      </c>
      <c r="C16" s="2">
        <v>7872.2</v>
      </c>
      <c r="D16" s="2">
        <v>7.5</v>
      </c>
      <c r="E16" s="3">
        <f t="shared" si="0"/>
        <v>0.17986405018486123</v>
      </c>
      <c r="F16" s="4">
        <f t="shared" si="1"/>
        <v>732.84613311885585</v>
      </c>
    </row>
    <row r="17" spans="1:7">
      <c r="A17" s="7">
        <v>42551</v>
      </c>
      <c r="B17" s="1">
        <v>0.33333333333333298</v>
      </c>
      <c r="C17" s="2">
        <v>7886.6</v>
      </c>
      <c r="D17" s="2">
        <v>7.5</v>
      </c>
      <c r="E17" s="3">
        <f t="shared" si="0"/>
        <v>0.17772182473713088</v>
      </c>
      <c r="F17" s="4">
        <f t="shared" si="1"/>
        <v>732.62762612318738</v>
      </c>
      <c r="G17" s="5"/>
    </row>
    <row r="18" spans="1:7">
      <c r="A18" s="7">
        <v>42561</v>
      </c>
      <c r="B18" s="9">
        <v>0.33333333333333298</v>
      </c>
      <c r="C18" s="2">
        <v>7886.3</v>
      </c>
      <c r="D18" s="2">
        <v>7.5</v>
      </c>
      <c r="E18" s="3">
        <f t="shared" si="0"/>
        <v>0.17776645314517486</v>
      </c>
      <c r="F18" s="4">
        <f t="shared" si="1"/>
        <v>732.63217822080787</v>
      </c>
    </row>
    <row r="19" spans="1:7">
      <c r="A19" s="7">
        <v>42571</v>
      </c>
      <c r="B19" s="1">
        <v>0.33333333333333298</v>
      </c>
      <c r="C19" s="2">
        <v>7892.4</v>
      </c>
      <c r="D19" s="2">
        <v>7.5</v>
      </c>
      <c r="E19" s="3">
        <f t="shared" si="0"/>
        <v>0.17685901962775225</v>
      </c>
      <c r="F19" s="4">
        <f t="shared" si="1"/>
        <v>732.53962000203069</v>
      </c>
    </row>
    <row r="20" spans="1:7">
      <c r="A20" s="7">
        <v>42581</v>
      </c>
      <c r="B20" s="9">
        <v>0.33333333333333398</v>
      </c>
      <c r="C20" s="2">
        <v>7888.9</v>
      </c>
      <c r="D20" s="2">
        <v>7.4</v>
      </c>
      <c r="E20" s="3">
        <f t="shared" si="0"/>
        <v>0.177118398530762</v>
      </c>
      <c r="F20" s="4">
        <f t="shared" si="1"/>
        <v>732.56607665013769</v>
      </c>
      <c r="G20" s="2"/>
    </row>
    <row r="21" spans="1:7">
      <c r="A21" s="7">
        <v>42592</v>
      </c>
      <c r="B21" s="1">
        <v>0.33333333333333298</v>
      </c>
      <c r="C21" s="2">
        <v>7888.2</v>
      </c>
      <c r="D21" s="2">
        <v>7.4</v>
      </c>
      <c r="E21" s="3">
        <f t="shared" ref="E21:E44" si="2">($B$2*C21^2+$B$3*C21+$B$4)-$B$5*D21-$E$7</f>
        <v>0.17722253058711418</v>
      </c>
      <c r="F21" s="4">
        <f t="shared" si="1"/>
        <v>732.57669811988569</v>
      </c>
      <c r="G21" s="2"/>
    </row>
    <row r="22" spans="1:7">
      <c r="A22" s="7">
        <v>42602</v>
      </c>
      <c r="B22" s="1">
        <v>0.33333333333333298</v>
      </c>
      <c r="C22">
        <v>7897.8</v>
      </c>
      <c r="D22">
        <v>7.4</v>
      </c>
      <c r="E22" s="3">
        <f t="shared" si="2"/>
        <v>0.17579445984588532</v>
      </c>
      <c r="F22" s="4">
        <f t="shared" si="1"/>
        <v>732.4310349042803</v>
      </c>
    </row>
    <row r="23" spans="1:7">
      <c r="A23" s="7">
        <v>42612</v>
      </c>
      <c r="B23" s="1">
        <v>0.33333333333333298</v>
      </c>
      <c r="C23">
        <v>7893.7</v>
      </c>
      <c r="D23">
        <v>7.4</v>
      </c>
      <c r="E23" s="3">
        <f t="shared" si="2"/>
        <v>0.17640435818781891</v>
      </c>
      <c r="F23" s="4">
        <f t="shared" si="1"/>
        <v>732.49324453515749</v>
      </c>
    </row>
    <row r="24" spans="1:7">
      <c r="A24" s="7">
        <v>42623</v>
      </c>
      <c r="B24" s="1">
        <v>0.33333333333333298</v>
      </c>
      <c r="C24">
        <v>7880.8</v>
      </c>
      <c r="D24">
        <v>7.4</v>
      </c>
      <c r="E24" s="3">
        <f t="shared" si="2"/>
        <v>0.17832337344517785</v>
      </c>
      <c r="F24" s="4">
        <f t="shared" si="1"/>
        <v>732.68898409140809</v>
      </c>
    </row>
    <row r="25" spans="1:7">
      <c r="A25" s="6">
        <v>42633</v>
      </c>
      <c r="B25" s="1">
        <v>0.33333333333333331</v>
      </c>
      <c r="C25">
        <v>7864.1</v>
      </c>
      <c r="D25">
        <v>7.4</v>
      </c>
      <c r="E25" s="3">
        <f t="shared" si="2"/>
        <v>0.18080783062659295</v>
      </c>
      <c r="F25" s="4">
        <f t="shared" si="1"/>
        <v>732.94239872391245</v>
      </c>
    </row>
    <row r="26" spans="1:7">
      <c r="A26" s="7">
        <v>42643</v>
      </c>
      <c r="B26" s="1">
        <v>0.33333333333333331</v>
      </c>
      <c r="C26">
        <v>7722.2</v>
      </c>
      <c r="D26">
        <v>7.4</v>
      </c>
      <c r="E26" s="3">
        <f t="shared" si="2"/>
        <v>0.20192513503354129</v>
      </c>
      <c r="F26" s="4">
        <f t="shared" si="1"/>
        <v>735.09636377342122</v>
      </c>
    </row>
    <row r="27" spans="1:7">
      <c r="A27" s="7">
        <v>42653</v>
      </c>
      <c r="B27" s="1">
        <v>0.33333333333333331</v>
      </c>
      <c r="C27">
        <v>7740.7</v>
      </c>
      <c r="D27">
        <v>7.4</v>
      </c>
      <c r="E27" s="3">
        <f t="shared" si="2"/>
        <v>0.19917130254823259</v>
      </c>
      <c r="F27" s="4">
        <f t="shared" si="1"/>
        <v>734.81547285991974</v>
      </c>
    </row>
    <row r="28" spans="1:7">
      <c r="A28" s="7">
        <v>42855</v>
      </c>
      <c r="B28" s="1">
        <v>0.33333333333333331</v>
      </c>
      <c r="C28">
        <v>7725.4</v>
      </c>
      <c r="D28">
        <v>7.8</v>
      </c>
      <c r="E28" s="3">
        <f t="shared" si="2"/>
        <v>0.20249388912450203</v>
      </c>
      <c r="F28" s="4">
        <f t="shared" si="1"/>
        <v>735.15437669069922</v>
      </c>
    </row>
    <row r="29" spans="1:7">
      <c r="A29" s="7">
        <v>42865</v>
      </c>
      <c r="B29" s="1">
        <v>0.33333333333333331</v>
      </c>
      <c r="C29">
        <v>7683.8</v>
      </c>
      <c r="D29">
        <v>7.8</v>
      </c>
      <c r="E29" s="3">
        <f t="shared" si="2"/>
        <v>0.20868697144524059</v>
      </c>
      <c r="F29" s="4">
        <f t="shared" si="1"/>
        <v>735.78607108741448</v>
      </c>
    </row>
    <row r="30" spans="1:7">
      <c r="A30" s="7">
        <v>42875</v>
      </c>
      <c r="B30" s="1">
        <v>0.33333333333333331</v>
      </c>
      <c r="C30">
        <v>7738.3</v>
      </c>
      <c r="D30">
        <v>7.8</v>
      </c>
      <c r="E30" s="3">
        <f t="shared" si="2"/>
        <v>0.20057365231955335</v>
      </c>
      <c r="F30" s="4">
        <f t="shared" si="1"/>
        <v>734.95851253659441</v>
      </c>
    </row>
    <row r="31" spans="1:7">
      <c r="A31" s="7">
        <v>42885</v>
      </c>
      <c r="B31" s="1">
        <v>0.33333333333333331</v>
      </c>
      <c r="C31">
        <v>7756</v>
      </c>
      <c r="D31">
        <v>7.8</v>
      </c>
      <c r="E31" s="3">
        <f t="shared" si="2"/>
        <v>0.19793907381564077</v>
      </c>
      <c r="F31" s="4">
        <f t="shared" si="1"/>
        <v>734.68978552919532</v>
      </c>
    </row>
    <row r="32" spans="1:7">
      <c r="A32" s="7">
        <v>42896</v>
      </c>
      <c r="B32" s="1">
        <v>0.33333333333333331</v>
      </c>
      <c r="C32">
        <v>7754</v>
      </c>
      <c r="D32">
        <v>7.8</v>
      </c>
      <c r="E32" s="3">
        <f t="shared" si="2"/>
        <v>0.19823675673510063</v>
      </c>
      <c r="F32" s="4">
        <f t="shared" si="1"/>
        <v>734.72014918698028</v>
      </c>
    </row>
    <row r="33" spans="1:6">
      <c r="A33" s="7">
        <v>42906</v>
      </c>
      <c r="B33" s="1">
        <v>0.33333333333333331</v>
      </c>
      <c r="C33">
        <v>7742.8</v>
      </c>
      <c r="D33">
        <v>7.8</v>
      </c>
      <c r="E33" s="3">
        <f t="shared" si="2"/>
        <v>0.1999038261275243</v>
      </c>
      <c r="F33" s="4">
        <f t="shared" si="1"/>
        <v>734.8901902650075</v>
      </c>
    </row>
    <row r="34" spans="1:6">
      <c r="A34" s="7">
        <v>42926</v>
      </c>
      <c r="B34" s="1">
        <v>0.33333333333333331</v>
      </c>
      <c r="C34">
        <v>7755.7</v>
      </c>
      <c r="D34">
        <v>7.8</v>
      </c>
      <c r="E34" s="3">
        <f t="shared" si="2"/>
        <v>0.19798372609817447</v>
      </c>
      <c r="F34" s="4">
        <f t="shared" si="1"/>
        <v>734.69434006201379</v>
      </c>
    </row>
    <row r="35" spans="1:6">
      <c r="A35" s="7">
        <v>42936</v>
      </c>
      <c r="B35" s="1">
        <v>0.33333333333333331</v>
      </c>
      <c r="C35">
        <v>7755.9</v>
      </c>
      <c r="D35">
        <v>7.8</v>
      </c>
      <c r="E35" s="3">
        <f t="shared" si="2"/>
        <v>0.19795395790372503</v>
      </c>
      <c r="F35" s="4">
        <f t="shared" si="1"/>
        <v>734.69130370617995</v>
      </c>
    </row>
    <row r="36" spans="1:6">
      <c r="A36" s="7">
        <v>42946</v>
      </c>
      <c r="B36" s="1">
        <v>0.33333333333333331</v>
      </c>
      <c r="C36">
        <v>7759.3</v>
      </c>
      <c r="D36">
        <v>7.8</v>
      </c>
      <c r="E36" s="3">
        <f t="shared" si="2"/>
        <v>0.19744790232733231</v>
      </c>
      <c r="F36" s="4">
        <f t="shared" si="1"/>
        <v>734.63968603738795</v>
      </c>
    </row>
    <row r="37" spans="1:6">
      <c r="A37" s="7">
        <v>42957</v>
      </c>
      <c r="B37" s="1">
        <v>0.33333333333333331</v>
      </c>
      <c r="C37">
        <v>7752.3</v>
      </c>
      <c r="D37">
        <v>7.8</v>
      </c>
      <c r="E37" s="3">
        <f t="shared" si="2"/>
        <v>0.1984897891330599</v>
      </c>
      <c r="F37" s="4">
        <f t="shared" si="1"/>
        <v>734.74595849157208</v>
      </c>
    </row>
    <row r="38" spans="1:6">
      <c r="A38" s="7">
        <v>42967</v>
      </c>
      <c r="B38" s="1">
        <v>0.33333333333333331</v>
      </c>
      <c r="C38">
        <v>7761.1</v>
      </c>
      <c r="D38">
        <v>8</v>
      </c>
      <c r="E38" s="3">
        <f t="shared" si="2"/>
        <v>0.19770254720337196</v>
      </c>
      <c r="F38" s="4">
        <f t="shared" si="1"/>
        <v>734.66565981474389</v>
      </c>
    </row>
    <row r="39" spans="1:6">
      <c r="A39" s="7">
        <v>42977</v>
      </c>
      <c r="B39" s="1">
        <v>0.33333333333333331</v>
      </c>
      <c r="C39">
        <v>7749.6</v>
      </c>
      <c r="D39">
        <v>7.9</v>
      </c>
      <c r="E39" s="3">
        <f t="shared" si="2"/>
        <v>0.19915294463761687</v>
      </c>
      <c r="F39" s="4">
        <f t="shared" si="1"/>
        <v>734.81360035303692</v>
      </c>
    </row>
    <row r="40" spans="1:6">
      <c r="A40" s="7">
        <v>42988</v>
      </c>
      <c r="B40" s="1">
        <v>0.33333333333333331</v>
      </c>
      <c r="C40">
        <v>7749.5</v>
      </c>
      <c r="D40">
        <v>8.1</v>
      </c>
      <c r="E40" s="3">
        <f t="shared" si="2"/>
        <v>0.19969038291568783</v>
      </c>
      <c r="F40" s="4">
        <f t="shared" si="1"/>
        <v>734.86841905740016</v>
      </c>
    </row>
    <row r="41" spans="1:6">
      <c r="A41" s="7">
        <v>42998</v>
      </c>
      <c r="B41" s="1">
        <v>0.33333333333333331</v>
      </c>
      <c r="C41">
        <v>7753.3</v>
      </c>
      <c r="D41">
        <v>8</v>
      </c>
      <c r="E41" s="3">
        <f t="shared" si="2"/>
        <v>0.1988635001327512</v>
      </c>
      <c r="F41" s="4">
        <f t="shared" si="1"/>
        <v>734.78407701354058</v>
      </c>
    </row>
    <row r="42" spans="1:6">
      <c r="A42" s="7">
        <v>43008</v>
      </c>
      <c r="B42" s="1">
        <v>0.33333333333333331</v>
      </c>
      <c r="C42">
        <v>7756</v>
      </c>
      <c r="D42">
        <v>7.8</v>
      </c>
      <c r="E42" s="3">
        <f t="shared" si="2"/>
        <v>0.19793907381564077</v>
      </c>
      <c r="F42" s="4">
        <f t="shared" si="1"/>
        <v>734.68978552919532</v>
      </c>
    </row>
    <row r="43" spans="1:6">
      <c r="A43" s="7">
        <v>43018</v>
      </c>
      <c r="B43" s="1">
        <v>0.33333333333333331</v>
      </c>
      <c r="C43">
        <v>7754.5</v>
      </c>
      <c r="D43">
        <v>7.9</v>
      </c>
      <c r="E43" s="3">
        <f t="shared" si="2"/>
        <v>0.1984236126767279</v>
      </c>
      <c r="F43" s="4">
        <f t="shared" si="1"/>
        <v>734.73920849302624</v>
      </c>
    </row>
    <row r="44" spans="1:6">
      <c r="A44" s="7">
        <v>43230</v>
      </c>
      <c r="B44" s="1">
        <v>0.33333333333333331</v>
      </c>
      <c r="C44">
        <v>7756.1</v>
      </c>
      <c r="D44">
        <v>7.9</v>
      </c>
      <c r="E44" s="3">
        <f t="shared" si="2"/>
        <v>0.19818546663364986</v>
      </c>
      <c r="F44" s="4">
        <f t="shared" si="1"/>
        <v>734.71491759663229</v>
      </c>
    </row>
    <row r="45" spans="1:6">
      <c r="A45" s="7">
        <v>43240</v>
      </c>
      <c r="B45" s="1">
        <v>0.33333333333333331</v>
      </c>
      <c r="C45">
        <v>7758.7</v>
      </c>
      <c r="D45">
        <v>8</v>
      </c>
      <c r="E45" s="3">
        <f>($B$2*C45^2+$B$3*C45+$B$4)-$B$5*D45-$E$7</f>
        <v>0.19805975954072072</v>
      </c>
      <c r="F45" s="4">
        <f t="shared" si="1"/>
        <v>734.70209547315346</v>
      </c>
    </row>
    <row r="46" spans="1:6">
      <c r="A46" s="7">
        <v>43250</v>
      </c>
      <c r="B46" s="1">
        <v>0.33333333333333331</v>
      </c>
      <c r="C46">
        <v>7752.1</v>
      </c>
      <c r="D46">
        <v>7.8</v>
      </c>
      <c r="E46" s="3">
        <f>($B$2*C46^2+$B$3*C46+$B$4)-$B$5*D46-$E$7</f>
        <v>0.19851955776624416</v>
      </c>
      <c r="F46" s="4">
        <f t="shared" si="1"/>
        <v>734.74899489215693</v>
      </c>
    </row>
    <row r="47" spans="1:6">
      <c r="A47" s="7">
        <v>43261</v>
      </c>
      <c r="B47" s="1">
        <v>0.33333333333333331</v>
      </c>
      <c r="C47">
        <v>7725.4</v>
      </c>
      <c r="D47">
        <v>7.6</v>
      </c>
      <c r="E47" s="3">
        <f>($B$2*C47^2+$B$3*C47+$B$4)-$B$5*D47-$E$7</f>
        <v>0.20197133532450204</v>
      </c>
      <c r="F47" s="4">
        <f t="shared" si="1"/>
        <v>735.10107620309918</v>
      </c>
    </row>
    <row r="48" spans="1:6">
      <c r="A48" s="7">
        <v>43271</v>
      </c>
      <c r="B48" s="1">
        <v>0.33333333333333331</v>
      </c>
      <c r="C48">
        <v>7633.8</v>
      </c>
      <c r="D48">
        <v>8.4</v>
      </c>
      <c r="E48" s="3">
        <f>($B$2*C48^2+$B$3*C48+$B$4)-$B$5*D48-$E$7</f>
        <v>0.21769963682448054</v>
      </c>
      <c r="F48" s="4">
        <f t="shared" si="1"/>
        <v>736.70536295609702</v>
      </c>
    </row>
    <row r="49" spans="1:6">
      <c r="A49" s="7">
        <v>43281</v>
      </c>
      <c r="B49" s="1">
        <v>0.33333333333333331</v>
      </c>
      <c r="C49">
        <v>7675.7</v>
      </c>
      <c r="D49">
        <v>7.9</v>
      </c>
      <c r="E49" s="3">
        <f>($B$2*C49^2+$B$3*C49+$B$4)-$B$5*D49-$E$7</f>
        <v>0.21015423558555044</v>
      </c>
      <c r="F49" s="4">
        <f t="shared" si="1"/>
        <v>735.93573202972618</v>
      </c>
    </row>
    <row r="50" spans="1:6">
      <c r="A50" s="7">
        <v>43291</v>
      </c>
      <c r="B50" s="1">
        <v>0.33333333333333331</v>
      </c>
      <c r="C50">
        <v>7723.5</v>
      </c>
      <c r="D50">
        <v>8.1999999999999993</v>
      </c>
      <c r="E50" s="3">
        <f t="shared" ref="E50:E55" si="3">($B$2*C50^2+$B$3*C50+$B$4)-$B$5*D50-$E$7</f>
        <v>0.20382183086794201</v>
      </c>
      <c r="F50" s="4">
        <f t="shared" si="1"/>
        <v>735.28982674853012</v>
      </c>
    </row>
    <row r="51" spans="1:6">
      <c r="A51" s="7">
        <v>43301</v>
      </c>
      <c r="B51" s="1">
        <v>0.33333333333333331</v>
      </c>
      <c r="C51">
        <v>7727.5</v>
      </c>
      <c r="D51">
        <v>7.9</v>
      </c>
      <c r="E51" s="3">
        <f t="shared" si="3"/>
        <v>0.20244256242525002</v>
      </c>
      <c r="F51" s="4">
        <f t="shared" si="1"/>
        <v>735.14914136737548</v>
      </c>
    </row>
    <row r="52" spans="1:6">
      <c r="A52" s="7">
        <v>43311</v>
      </c>
      <c r="B52" s="1">
        <v>0.33333333333333331</v>
      </c>
      <c r="C52">
        <v>7728.1</v>
      </c>
      <c r="D52">
        <v>7.8</v>
      </c>
      <c r="E52" s="3">
        <f t="shared" si="3"/>
        <v>0.20209197070475457</v>
      </c>
      <c r="F52" s="4">
        <f t="shared" si="1"/>
        <v>735.11338101188494</v>
      </c>
    </row>
    <row r="53" spans="1:6">
      <c r="A53" s="7">
        <v>43322</v>
      </c>
      <c r="B53" s="1">
        <v>0.33333333333333331</v>
      </c>
      <c r="C53">
        <v>7710.2</v>
      </c>
      <c r="D53">
        <v>8.1</v>
      </c>
      <c r="E53" s="3">
        <f t="shared" si="3"/>
        <v>0.20554045456552381</v>
      </c>
      <c r="F53" s="4">
        <f t="shared" si="1"/>
        <v>735.46512636568343</v>
      </c>
    </row>
    <row r="54" spans="1:6">
      <c r="A54" s="7">
        <v>43332</v>
      </c>
      <c r="B54" s="1">
        <v>0.33333333333333331</v>
      </c>
      <c r="C54">
        <v>7723.4</v>
      </c>
      <c r="D54">
        <v>7.6</v>
      </c>
      <c r="E54" s="3">
        <f t="shared" si="3"/>
        <v>0.20226905553642702</v>
      </c>
      <c r="F54" s="4">
        <f t="shared" si="1"/>
        <v>735.13144366471556</v>
      </c>
    </row>
    <row r="55" spans="1:6">
      <c r="A55" s="7">
        <v>43342</v>
      </c>
      <c r="B55" s="1">
        <v>0.33333333333333331</v>
      </c>
      <c r="C55">
        <v>7698.3</v>
      </c>
      <c r="D55">
        <v>8.1999999999999993</v>
      </c>
      <c r="E55" s="3">
        <f t="shared" si="3"/>
        <v>0.2075733128404251</v>
      </c>
      <c r="F55" s="4">
        <f t="shared" si="1"/>
        <v>735.6724779097234</v>
      </c>
    </row>
    <row r="56" spans="1:6">
      <c r="A56" s="7">
        <v>43353</v>
      </c>
      <c r="B56" s="1">
        <v>0.33333333333333331</v>
      </c>
      <c r="C56">
        <v>7642.8</v>
      </c>
      <c r="D56">
        <v>8.4</v>
      </c>
      <c r="E56" s="3">
        <f t="shared" ref="E56:E71" si="4">($B$2*C56^2+$B$3*C56+$B$4)-$B$5*D56-$E$7</f>
        <v>0.21635942368240421</v>
      </c>
      <c r="F56" s="4">
        <f t="shared" ref="F56:F71" si="5">$D$1+102*E56</f>
        <v>736.56866121560518</v>
      </c>
    </row>
    <row r="57" spans="1:6">
      <c r="A57" s="7">
        <v>43363</v>
      </c>
      <c r="B57" s="1">
        <v>0.33333333333333331</v>
      </c>
      <c r="C57">
        <v>7699.9</v>
      </c>
      <c r="D57">
        <v>7.9</v>
      </c>
      <c r="E57" s="3">
        <f t="shared" si="4"/>
        <v>0.20655128130423547</v>
      </c>
      <c r="F57" s="4">
        <f t="shared" si="5"/>
        <v>735.56823069303198</v>
      </c>
    </row>
    <row r="58" spans="1:6">
      <c r="A58" s="7">
        <v>43373</v>
      </c>
      <c r="B58" s="1">
        <v>0.33333333333333331</v>
      </c>
      <c r="C58">
        <v>7702.7</v>
      </c>
      <c r="D58">
        <v>7.7</v>
      </c>
      <c r="E58" s="3">
        <f t="shared" si="4"/>
        <v>0.20561187979452397</v>
      </c>
      <c r="F58" s="4">
        <f t="shared" si="5"/>
        <v>735.47241173904149</v>
      </c>
    </row>
    <row r="59" spans="1:6">
      <c r="A59" s="7">
        <v>43383</v>
      </c>
      <c r="B59" s="1">
        <v>0.33333333333333331</v>
      </c>
      <c r="C59">
        <v>7708.3</v>
      </c>
      <c r="D59">
        <v>7.5</v>
      </c>
      <c r="E59" s="3">
        <f t="shared" si="4"/>
        <v>0.20425564490710721</v>
      </c>
      <c r="F59" s="4">
        <f t="shared" si="5"/>
        <v>735.33407578052493</v>
      </c>
    </row>
    <row r="60" spans="1:6">
      <c r="A60" s="7">
        <v>43393</v>
      </c>
      <c r="B60" s="1">
        <v>0.33333333333333331</v>
      </c>
      <c r="C60">
        <v>7712.4</v>
      </c>
      <c r="D60">
        <v>7.2</v>
      </c>
      <c r="E60" s="3">
        <f t="shared" si="4"/>
        <v>0.20286145267082425</v>
      </c>
      <c r="F60" s="4">
        <f t="shared" si="5"/>
        <v>735.19186817242405</v>
      </c>
    </row>
    <row r="61" spans="1:6">
      <c r="A61" s="7">
        <v>43605</v>
      </c>
      <c r="B61" s="1">
        <v>0.33333333333333331</v>
      </c>
      <c r="C61">
        <v>7742.5</v>
      </c>
      <c r="D61">
        <v>7</v>
      </c>
      <c r="E61" s="3">
        <f t="shared" si="4"/>
        <v>0.19785826562309997</v>
      </c>
      <c r="F61" s="4">
        <f t="shared" si="5"/>
        <v>734.68154309355623</v>
      </c>
    </row>
    <row r="62" spans="1:6">
      <c r="A62" s="7">
        <v>43615</v>
      </c>
      <c r="B62" s="1">
        <v>0.33333333333333331</v>
      </c>
      <c r="C62">
        <v>7747.2</v>
      </c>
      <c r="D62">
        <v>7.2</v>
      </c>
      <c r="E62" s="3">
        <f t="shared" si="4"/>
        <v>0.19768123549313646</v>
      </c>
      <c r="F62" s="4">
        <f t="shared" si="5"/>
        <v>734.66348602029996</v>
      </c>
    </row>
    <row r="63" spans="1:6">
      <c r="A63" s="7">
        <v>43626</v>
      </c>
      <c r="B63" s="1">
        <v>0.33333333333333331</v>
      </c>
      <c r="C63">
        <v>7748.6</v>
      </c>
      <c r="D63">
        <v>7.4</v>
      </c>
      <c r="E63" s="3">
        <f t="shared" si="4"/>
        <v>0.19799540519253558</v>
      </c>
      <c r="F63" s="4">
        <f t="shared" si="5"/>
        <v>734.69553132963858</v>
      </c>
    </row>
    <row r="64" spans="1:6">
      <c r="A64" s="7">
        <v>43636</v>
      </c>
      <c r="B64" s="1">
        <v>0.33333333333333331</v>
      </c>
      <c r="C64">
        <v>7749.3</v>
      </c>
      <c r="D64">
        <v>7.7</v>
      </c>
      <c r="E64" s="3">
        <f t="shared" si="4"/>
        <v>0.19867504429011026</v>
      </c>
      <c r="F64" s="4">
        <f t="shared" si="5"/>
        <v>734.76485451759129</v>
      </c>
    </row>
    <row r="65" spans="1:6">
      <c r="A65" s="7">
        <v>43646</v>
      </c>
      <c r="B65" s="1">
        <v>0.33333333333333331</v>
      </c>
      <c r="C65">
        <v>7730.8</v>
      </c>
      <c r="D65">
        <v>7.6</v>
      </c>
      <c r="E65" s="3">
        <f t="shared" si="4"/>
        <v>0.20116750292719796</v>
      </c>
      <c r="F65" s="4">
        <f t="shared" si="5"/>
        <v>735.01908529857417</v>
      </c>
    </row>
    <row r="66" spans="1:6">
      <c r="A66" s="7">
        <v>43656</v>
      </c>
      <c r="B66" s="1">
        <v>0.33333333333333331</v>
      </c>
      <c r="C66">
        <v>7719.2</v>
      </c>
      <c r="D66">
        <v>7.6</v>
      </c>
      <c r="E66" s="3">
        <f t="shared" si="4"/>
        <v>0.20289427591525785</v>
      </c>
      <c r="F66" s="4">
        <f t="shared" si="5"/>
        <v>735.19521614335633</v>
      </c>
    </row>
    <row r="67" spans="1:6">
      <c r="A67" s="7">
        <v>43666</v>
      </c>
      <c r="B67" s="1">
        <v>0.33333333333333331</v>
      </c>
      <c r="C67">
        <v>7708.4</v>
      </c>
      <c r="D67">
        <v>7.6</v>
      </c>
      <c r="E67" s="3">
        <f t="shared" si="4"/>
        <v>0.20450203481849802</v>
      </c>
      <c r="F67" s="4">
        <f t="shared" si="5"/>
        <v>735.35920755148675</v>
      </c>
    </row>
    <row r="68" spans="1:6">
      <c r="A68" s="7">
        <v>43676</v>
      </c>
      <c r="B68" s="1">
        <v>0.33333333333333331</v>
      </c>
      <c r="C68">
        <v>7701.5</v>
      </c>
      <c r="D68">
        <v>7.5</v>
      </c>
      <c r="E68" s="3">
        <f t="shared" si="4"/>
        <v>0.20526797442799202</v>
      </c>
      <c r="F68" s="4">
        <f t="shared" si="5"/>
        <v>735.43733339165522</v>
      </c>
    </row>
    <row r="69" spans="1:6">
      <c r="A69" s="7">
        <v>43687</v>
      </c>
      <c r="B69" s="1">
        <v>0.33333333333333331</v>
      </c>
      <c r="C69">
        <v>7698.3</v>
      </c>
      <c r="D69">
        <v>7.6</v>
      </c>
      <c r="E69" s="3">
        <f t="shared" si="4"/>
        <v>0.20600565144042512</v>
      </c>
      <c r="F69" s="4">
        <f t="shared" si="5"/>
        <v>735.51257644692339</v>
      </c>
    </row>
    <row r="70" spans="1:6">
      <c r="A70" s="7">
        <v>43697</v>
      </c>
      <c r="B70" s="1">
        <v>0.33333333333333331</v>
      </c>
      <c r="C70">
        <v>7679.2</v>
      </c>
      <c r="D70">
        <v>7.7</v>
      </c>
      <c r="E70" s="3">
        <f t="shared" si="4"/>
        <v>0.20911057128258612</v>
      </c>
      <c r="F70" s="4">
        <f t="shared" si="5"/>
        <v>735.82927827082381</v>
      </c>
    </row>
    <row r="71" spans="1:6">
      <c r="A71" s="7">
        <v>43707</v>
      </c>
      <c r="B71" s="1">
        <v>0.33333333333333331</v>
      </c>
      <c r="C71">
        <v>7655.1</v>
      </c>
      <c r="D71">
        <v>7.7</v>
      </c>
      <c r="E71" s="3">
        <f t="shared" si="4"/>
        <v>0.21269894057722757</v>
      </c>
      <c r="F71" s="4">
        <f t="shared" si="5"/>
        <v>736.19529193887718</v>
      </c>
    </row>
  </sheetData>
  <phoneticPr fontId="4" type="noConversion"/>
  <pageMargins left="0.69930555555555596" right="0.69930555555555596" top="0.75" bottom="0.75" header="0.3" footer="0.3"/>
  <pageSetup paperSize="9" orientation="portrait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5"/>
  <sheetViews>
    <sheetView topLeftCell="A49" workbookViewId="0">
      <selection activeCell="A69" sqref="A69:B75"/>
    </sheetView>
  </sheetViews>
  <sheetFormatPr defaultColWidth="9" defaultRowHeight="13.5"/>
  <cols>
    <col min="1" max="1" width="11.75" customWidth="1"/>
    <col min="2" max="2" width="13.875" customWidth="1"/>
    <col min="5" max="5" width="10.875" customWidth="1"/>
  </cols>
  <sheetData>
    <row r="1" spans="1:7">
      <c r="A1" t="s">
        <v>0</v>
      </c>
      <c r="B1">
        <v>50401</v>
      </c>
      <c r="C1" t="s">
        <v>1</v>
      </c>
      <c r="D1">
        <v>733.5</v>
      </c>
    </row>
    <row r="2" spans="1:7">
      <c r="A2" t="s">
        <v>2</v>
      </c>
      <c r="B2">
        <f>4.10674*10^-10</f>
        <v>4.1067400000000002E-10</v>
      </c>
    </row>
    <row r="3" spans="1:7">
      <c r="A3" t="s">
        <v>3</v>
      </c>
      <c r="B3">
        <v>-7.2220999999999999E-5</v>
      </c>
    </row>
    <row r="4" spans="1:7">
      <c r="A4" t="s">
        <v>4</v>
      </c>
      <c r="B4">
        <v>0.63257646000000001</v>
      </c>
    </row>
    <row r="5" spans="1:7">
      <c r="A5" t="s">
        <v>5</v>
      </c>
      <c r="B5">
        <v>-8.5873600000000003E-4</v>
      </c>
    </row>
    <row r="6" spans="1:7">
      <c r="A6" t="s">
        <v>6</v>
      </c>
      <c r="B6" t="s">
        <v>7</v>
      </c>
      <c r="C6" t="s">
        <v>8</v>
      </c>
      <c r="D6" t="s">
        <v>9</v>
      </c>
      <c r="E6" t="s">
        <v>10</v>
      </c>
      <c r="F6" t="s">
        <v>11</v>
      </c>
      <c r="G6" t="s">
        <v>12</v>
      </c>
    </row>
    <row r="7" spans="1:7">
      <c r="A7" s="7">
        <v>42519</v>
      </c>
      <c r="B7" s="1">
        <v>0.47916666666666702</v>
      </c>
      <c r="C7" s="2">
        <v>9094.7000000000007</v>
      </c>
      <c r="D7" s="2">
        <v>8.9</v>
      </c>
      <c r="E7" s="3">
        <f>($B$2*C7^2+$B$3*C7+$B$4)-$B$5*D7</f>
        <v>1.7359193561792656E-2</v>
      </c>
      <c r="G7" t="s">
        <v>13</v>
      </c>
    </row>
    <row r="8" spans="1:7">
      <c r="A8" s="7">
        <v>42519</v>
      </c>
      <c r="B8" s="1">
        <v>0.64583333333333304</v>
      </c>
      <c r="C8" s="2">
        <v>9197.6</v>
      </c>
      <c r="D8" s="2">
        <v>14.2</v>
      </c>
      <c r="E8" s="3">
        <f>($B$2*C8^2+$B$3*C8+$B$4)-$B$5*D8-$E$7</f>
        <v>-2.1072376001504065E-3</v>
      </c>
      <c r="F8" s="4">
        <f>$D$1+102*E8</f>
        <v>733.2850617647847</v>
      </c>
      <c r="G8" t="s">
        <v>17</v>
      </c>
    </row>
    <row r="9" spans="1:7">
      <c r="A9" s="7">
        <v>42519</v>
      </c>
      <c r="B9" s="1">
        <v>0.66666666666666696</v>
      </c>
      <c r="C9" s="2">
        <v>9190.4</v>
      </c>
      <c r="D9" s="2">
        <v>14.6</v>
      </c>
      <c r="E9" s="3">
        <f t="shared" ref="E9:E24" si="0">($B$2*C9^2+$B$3*C9+$B$4)-$B$5*D9-$E$7</f>
        <v>-1.2981226094367637E-3</v>
      </c>
      <c r="F9" s="4">
        <f t="shared" ref="F9:F59" si="1">$D$1+102*E9</f>
        <v>733.36759149383749</v>
      </c>
    </row>
    <row r="10" spans="1:7">
      <c r="A10" s="7">
        <v>42520</v>
      </c>
      <c r="B10" s="1">
        <v>0.33333333333333298</v>
      </c>
      <c r="C10" s="2">
        <v>9190.1</v>
      </c>
      <c r="D10" s="2">
        <v>14.9</v>
      </c>
      <c r="E10" s="3">
        <f t="shared" si="0"/>
        <v>-1.0211000274739576E-3</v>
      </c>
      <c r="F10" s="4">
        <f t="shared" si="1"/>
        <v>733.39584779719769</v>
      </c>
    </row>
    <row r="11" spans="1:7">
      <c r="A11" s="7">
        <v>42521</v>
      </c>
      <c r="B11" s="1">
        <v>0.33333333333333298</v>
      </c>
      <c r="C11" s="2">
        <v>9189.7999999999993</v>
      </c>
      <c r="D11" s="2">
        <v>15.2</v>
      </c>
      <c r="E11" s="3">
        <f t="shared" si="0"/>
        <v>-7.4407737158962289E-4</v>
      </c>
      <c r="F11" s="4">
        <f t="shared" si="1"/>
        <v>733.42410410809782</v>
      </c>
    </row>
    <row r="12" spans="1:7">
      <c r="A12" s="7">
        <v>42522</v>
      </c>
      <c r="B12" s="1">
        <v>0.33333333333333298</v>
      </c>
      <c r="C12" s="2">
        <v>9189.2999999999993</v>
      </c>
      <c r="D12" s="2">
        <v>15.6</v>
      </c>
      <c r="E12" s="3">
        <f t="shared" si="0"/>
        <v>-3.6824638084631198E-4</v>
      </c>
      <c r="F12" s="4">
        <f t="shared" si="1"/>
        <v>733.46243886915363</v>
      </c>
    </row>
    <row r="13" spans="1:7">
      <c r="A13" s="7">
        <v>42523</v>
      </c>
      <c r="B13" s="1">
        <v>0.33333333333333298</v>
      </c>
      <c r="C13" s="2">
        <v>9189.2000000000007</v>
      </c>
      <c r="D13" s="2">
        <v>15.8</v>
      </c>
      <c r="E13" s="3">
        <f t="shared" si="0"/>
        <v>-1.9003183805733903E-4</v>
      </c>
      <c r="F13" s="4">
        <f t="shared" si="1"/>
        <v>733.48061675251813</v>
      </c>
    </row>
    <row r="14" spans="1:7">
      <c r="A14" s="7">
        <v>42524</v>
      </c>
      <c r="B14" s="1">
        <v>0.33333333333333298</v>
      </c>
      <c r="C14" s="2">
        <v>9189.1</v>
      </c>
      <c r="D14" s="2">
        <v>16</v>
      </c>
      <c r="E14" s="3">
        <f t="shared" si="0"/>
        <v>-1.1817287054710635E-5</v>
      </c>
      <c r="F14" s="4">
        <f t="shared" si="1"/>
        <v>733.49879463672039</v>
      </c>
    </row>
    <row r="15" spans="1:7">
      <c r="A15" s="7">
        <v>42525</v>
      </c>
      <c r="B15" s="1">
        <v>0.33333333333333298</v>
      </c>
      <c r="C15" s="2">
        <v>9189</v>
      </c>
      <c r="D15" s="2">
        <v>16.100000000000001</v>
      </c>
      <c r="E15" s="3">
        <f t="shared" si="0"/>
        <v>8.0523672161346427E-5</v>
      </c>
      <c r="F15" s="4">
        <f t="shared" si="1"/>
        <v>733.50821341456049</v>
      </c>
    </row>
    <row r="16" spans="1:7">
      <c r="A16" s="7">
        <v>42526</v>
      </c>
      <c r="B16" s="1">
        <v>0.33333333333333298</v>
      </c>
      <c r="C16" s="2">
        <v>9188.9</v>
      </c>
      <c r="D16" s="2">
        <v>16.2</v>
      </c>
      <c r="E16" s="3">
        <f t="shared" si="0"/>
        <v>1.7286463959093751E-4</v>
      </c>
      <c r="F16" s="4">
        <f t="shared" si="1"/>
        <v>733.51763219323823</v>
      </c>
    </row>
    <row r="17" spans="1:7">
      <c r="A17" s="7">
        <v>42531</v>
      </c>
      <c r="B17" s="1">
        <v>0.33333333333333298</v>
      </c>
      <c r="C17" s="2">
        <v>9266.9</v>
      </c>
      <c r="D17" s="2">
        <v>23.6</v>
      </c>
      <c r="E17" s="3">
        <f t="shared" si="0"/>
        <v>1.4854597819085186E-3</v>
      </c>
      <c r="F17" s="4">
        <f t="shared" si="1"/>
        <v>733.65151689775462</v>
      </c>
      <c r="G17" s="5" t="s">
        <v>14</v>
      </c>
    </row>
    <row r="18" spans="1:7">
      <c r="A18" s="7">
        <v>42536</v>
      </c>
      <c r="B18" s="1">
        <v>0.33333333333333298</v>
      </c>
      <c r="C18" s="2">
        <v>9370.1</v>
      </c>
      <c r="D18" s="2">
        <v>31</v>
      </c>
      <c r="E18" s="3">
        <f t="shared" si="0"/>
        <v>1.1767640559900601E-3</v>
      </c>
      <c r="F18" s="4">
        <f t="shared" si="1"/>
        <v>733.62002993371095</v>
      </c>
    </row>
    <row r="19" spans="1:7">
      <c r="A19" s="7">
        <v>42538</v>
      </c>
      <c r="B19" s="1">
        <v>0.33333333333333298</v>
      </c>
      <c r="C19" s="2">
        <v>9468</v>
      </c>
      <c r="D19" s="2">
        <v>37.4</v>
      </c>
      <c r="E19" s="3">
        <f t="shared" si="0"/>
        <v>3.5962407638344407E-4</v>
      </c>
      <c r="F19" s="4">
        <f t="shared" si="1"/>
        <v>733.53668165579109</v>
      </c>
    </row>
    <row r="20" spans="1:7">
      <c r="A20" s="7">
        <v>42541</v>
      </c>
      <c r="B20" s="1">
        <v>0.33333333333333298</v>
      </c>
      <c r="C20" s="2">
        <v>9501.2000000000007</v>
      </c>
      <c r="D20" s="2">
        <v>39.299999999999997</v>
      </c>
      <c r="E20" s="3">
        <f t="shared" si="0"/>
        <v>-1.4788150322214699E-4</v>
      </c>
      <c r="F20" s="4">
        <f t="shared" si="1"/>
        <v>733.48491608667132</v>
      </c>
      <c r="G20" s="2"/>
    </row>
    <row r="21" spans="1:7">
      <c r="A21" s="7">
        <v>42551</v>
      </c>
      <c r="B21" s="1">
        <v>0.33333333333333298</v>
      </c>
      <c r="C21" s="2">
        <v>9436.9</v>
      </c>
      <c r="D21" s="2">
        <v>34.5</v>
      </c>
      <c r="E21" s="3">
        <f t="shared" si="0"/>
        <v>-1.2608987668748933E-4</v>
      </c>
      <c r="F21" s="4">
        <f t="shared" si="1"/>
        <v>733.4871388325779</v>
      </c>
      <c r="G21" s="2"/>
    </row>
    <row r="22" spans="1:7">
      <c r="A22" s="7">
        <v>42561</v>
      </c>
      <c r="B22" s="9">
        <v>0.33333333333333298</v>
      </c>
      <c r="C22">
        <v>9376.1</v>
      </c>
      <c r="D22">
        <v>30.4</v>
      </c>
      <c r="E22" s="3">
        <f t="shared" si="0"/>
        <v>2.7438791762280507E-4</v>
      </c>
      <c r="F22" s="4">
        <f t="shared" si="1"/>
        <v>733.52798756759751</v>
      </c>
    </row>
    <row r="23" spans="1:7">
      <c r="A23" s="7">
        <v>42571</v>
      </c>
      <c r="B23" s="1">
        <v>0.33333333333333298</v>
      </c>
      <c r="C23" s="2">
        <v>9331.5</v>
      </c>
      <c r="D23" s="2">
        <v>27.1</v>
      </c>
      <c r="E23" s="3">
        <f t="shared" si="0"/>
        <v>3.189661860837946E-4</v>
      </c>
      <c r="F23" s="4">
        <f t="shared" si="1"/>
        <v>733.53253455098059</v>
      </c>
    </row>
    <row r="24" spans="1:7">
      <c r="A24" s="7">
        <v>42581</v>
      </c>
      <c r="B24" s="9">
        <v>0.33333333333333398</v>
      </c>
      <c r="C24" s="2">
        <v>9330.7999999999993</v>
      </c>
      <c r="D24" s="2">
        <v>27</v>
      </c>
      <c r="E24" s="3">
        <f t="shared" si="0"/>
        <v>2.7828240111067368E-4</v>
      </c>
      <c r="F24" s="4">
        <f t="shared" si="1"/>
        <v>733.52838480491334</v>
      </c>
    </row>
    <row r="25" spans="1:7">
      <c r="A25" s="6">
        <v>42592</v>
      </c>
      <c r="B25" s="1">
        <v>0.33333333333333298</v>
      </c>
      <c r="C25">
        <v>9274.5</v>
      </c>
      <c r="D25">
        <v>23.6</v>
      </c>
      <c r="E25" s="3">
        <f t="shared" ref="E25:E48" si="2">($B$2*C25^2+$B$3*C25+$B$4)-$B$5*D25-$E$7</f>
        <v>9.9445016077583104E-4</v>
      </c>
      <c r="F25" s="4">
        <f t="shared" si="1"/>
        <v>733.60143391639917</v>
      </c>
    </row>
    <row r="26" spans="1:7">
      <c r="A26" s="7">
        <v>42602</v>
      </c>
      <c r="B26" s="1">
        <v>0.33333333333333298</v>
      </c>
      <c r="C26">
        <v>9250.1</v>
      </c>
      <c r="D26">
        <v>21.9</v>
      </c>
      <c r="E26" s="3">
        <f t="shared" si="2"/>
        <v>1.1111666142139959E-3</v>
      </c>
      <c r="F26" s="4">
        <f t="shared" si="1"/>
        <v>733.61333899464978</v>
      </c>
    </row>
    <row r="27" spans="1:7">
      <c r="A27" s="7">
        <v>42612</v>
      </c>
      <c r="B27" s="1">
        <v>0.33333333333333298</v>
      </c>
      <c r="C27">
        <v>9231.6</v>
      </c>
      <c r="D27">
        <v>20.7</v>
      </c>
      <c r="E27" s="3">
        <f t="shared" si="2"/>
        <v>1.2763577713967023E-3</v>
      </c>
      <c r="F27" s="4">
        <f t="shared" si="1"/>
        <v>733.63018849268246</v>
      </c>
    </row>
    <row r="28" spans="1:7">
      <c r="A28" s="7">
        <v>42623</v>
      </c>
      <c r="B28" s="1">
        <v>0.33333333333333298</v>
      </c>
      <c r="C28">
        <v>9213</v>
      </c>
      <c r="D28">
        <v>19.3</v>
      </c>
      <c r="E28" s="3">
        <f t="shared" si="2"/>
        <v>1.2765482229133776E-3</v>
      </c>
      <c r="F28" s="4">
        <f t="shared" si="1"/>
        <v>733.63020791873714</v>
      </c>
    </row>
    <row r="29" spans="1:7">
      <c r="A29" s="7">
        <v>42633</v>
      </c>
      <c r="B29" s="1">
        <v>0.33333333333333331</v>
      </c>
      <c r="C29">
        <v>9192</v>
      </c>
      <c r="D29">
        <v>18.2</v>
      </c>
      <c r="E29" s="3">
        <f t="shared" si="2"/>
        <v>1.6898520685433398E-3</v>
      </c>
      <c r="F29" s="4">
        <f t="shared" si="1"/>
        <v>733.6723649109914</v>
      </c>
    </row>
    <row r="30" spans="1:7">
      <c r="A30" s="7">
        <v>42643</v>
      </c>
      <c r="B30" s="1">
        <v>0.33333333333333331</v>
      </c>
      <c r="C30">
        <v>8520.4</v>
      </c>
      <c r="D30">
        <v>17.5</v>
      </c>
      <c r="E30" s="3">
        <f t="shared" si="2"/>
        <v>4.4707127187499321E-2</v>
      </c>
      <c r="F30" s="4">
        <f t="shared" si="1"/>
        <v>738.06012697312497</v>
      </c>
    </row>
    <row r="31" spans="1:7">
      <c r="A31" s="7">
        <v>42653</v>
      </c>
      <c r="B31" s="1">
        <v>0.33333333333333331</v>
      </c>
      <c r="C31">
        <v>8531.6</v>
      </c>
      <c r="D31">
        <v>17.100000000000001</v>
      </c>
      <c r="E31" s="3">
        <f t="shared" si="2"/>
        <v>4.3633189093636775E-2</v>
      </c>
      <c r="F31" s="4">
        <f t="shared" si="1"/>
        <v>737.95058528755101</v>
      </c>
    </row>
    <row r="32" spans="1:7">
      <c r="A32" s="7">
        <v>42855</v>
      </c>
      <c r="B32" s="1">
        <v>0.33333333333333331</v>
      </c>
      <c r="C32">
        <v>8617.7000000000007</v>
      </c>
      <c r="D32">
        <v>3.4</v>
      </c>
      <c r="E32" s="3">
        <f t="shared" si="2"/>
        <v>2.6256660430824759E-2</v>
      </c>
      <c r="F32" s="4">
        <f t="shared" si="1"/>
        <v>736.17817936394408</v>
      </c>
    </row>
    <row r="33" spans="1:6">
      <c r="A33" s="7">
        <v>42865</v>
      </c>
      <c r="B33" s="1">
        <v>0.33333333333333331</v>
      </c>
      <c r="C33">
        <v>8501.2000000000007</v>
      </c>
      <c r="D33">
        <v>3.7</v>
      </c>
      <c r="E33" s="3">
        <f t="shared" si="2"/>
        <v>3.4108999279177966E-2</v>
      </c>
      <c r="F33" s="4">
        <f t="shared" si="1"/>
        <v>736.97911792647619</v>
      </c>
    </row>
    <row r="34" spans="1:6">
      <c r="A34" s="7">
        <v>42875</v>
      </c>
      <c r="B34" s="1">
        <v>0.33333333333333331</v>
      </c>
      <c r="C34">
        <v>8599.7999999999993</v>
      </c>
      <c r="D34">
        <v>4.5</v>
      </c>
      <c r="E34" s="3">
        <f t="shared" si="2"/>
        <v>2.8367458976074428E-2</v>
      </c>
      <c r="F34" s="4">
        <f t="shared" si="1"/>
        <v>736.39348081555954</v>
      </c>
    </row>
    <row r="35" spans="1:6">
      <c r="A35" s="7">
        <v>42885</v>
      </c>
      <c r="B35" s="1">
        <v>0.33333333333333331</v>
      </c>
      <c r="C35">
        <v>8657.5</v>
      </c>
      <c r="D35">
        <v>5.3</v>
      </c>
      <c r="E35" s="3">
        <f t="shared" si="2"/>
        <v>2.5296223155119882E-2</v>
      </c>
      <c r="F35" s="4">
        <f t="shared" si="1"/>
        <v>736.08021476182228</v>
      </c>
    </row>
    <row r="36" spans="1:6">
      <c r="A36" s="7">
        <v>42896</v>
      </c>
      <c r="B36" s="1">
        <v>0.33333333333333331</v>
      </c>
      <c r="C36">
        <v>8664.5</v>
      </c>
      <c r="D36">
        <v>6.3</v>
      </c>
      <c r="E36" s="3">
        <f t="shared" si="2"/>
        <v>2.5699208020315882E-2</v>
      </c>
      <c r="F36" s="4">
        <f t="shared" si="1"/>
        <v>736.12131921807224</v>
      </c>
    </row>
    <row r="37" spans="1:6">
      <c r="A37" s="7">
        <v>42906</v>
      </c>
      <c r="B37" s="1">
        <v>0.33333333333333331</v>
      </c>
      <c r="C37">
        <v>8658.2999999999993</v>
      </c>
      <c r="D37">
        <v>7.4</v>
      </c>
      <c r="E37" s="3">
        <f t="shared" si="2"/>
        <v>2.7047480874199288E-2</v>
      </c>
      <c r="F37" s="4">
        <f t="shared" si="1"/>
        <v>736.25884304916838</v>
      </c>
    </row>
    <row r="38" spans="1:6">
      <c r="A38" s="7">
        <v>42926</v>
      </c>
      <c r="B38" s="1">
        <v>0.33333333333333331</v>
      </c>
      <c r="C38">
        <v>8716.5</v>
      </c>
      <c r="D38">
        <v>9.8000000000000007</v>
      </c>
      <c r="E38" s="3">
        <f t="shared" si="2"/>
        <v>2.5320464109603903E-2</v>
      </c>
      <c r="F38" s="4">
        <f t="shared" si="1"/>
        <v>736.08268733917964</v>
      </c>
    </row>
    <row r="39" spans="1:6">
      <c r="A39" s="7">
        <v>42936</v>
      </c>
      <c r="B39" s="1">
        <v>0.33333333333333331</v>
      </c>
      <c r="C39">
        <v>8723.5</v>
      </c>
      <c r="D39">
        <v>10.6</v>
      </c>
      <c r="E39" s="3">
        <f t="shared" si="2"/>
        <v>2.5552040991523826E-2</v>
      </c>
      <c r="F39" s="4">
        <f t="shared" si="1"/>
        <v>736.10630818113543</v>
      </c>
    </row>
    <row r="40" spans="1:6">
      <c r="A40" s="7">
        <v>42946</v>
      </c>
      <c r="B40" s="1">
        <v>0.33333333333333331</v>
      </c>
      <c r="C40">
        <v>8743.6</v>
      </c>
      <c r="D40">
        <v>11.3</v>
      </c>
      <c r="E40" s="3">
        <f t="shared" si="2"/>
        <v>2.4845697096414397E-2</v>
      </c>
      <c r="F40" s="4">
        <f t="shared" si="1"/>
        <v>736.0342611038343</v>
      </c>
    </row>
    <row r="41" spans="1:6">
      <c r="A41" s="7">
        <v>42957</v>
      </c>
      <c r="B41" s="1">
        <v>0.33333333333333331</v>
      </c>
      <c r="C41">
        <v>8730.7999999999993</v>
      </c>
      <c r="D41">
        <v>11.9</v>
      </c>
      <c r="E41" s="3">
        <f t="shared" si="2"/>
        <v>2.6193511090070815E-2</v>
      </c>
      <c r="F41" s="4">
        <f t="shared" si="1"/>
        <v>736.17173813118723</v>
      </c>
    </row>
    <row r="42" spans="1:6">
      <c r="A42" s="7">
        <v>42967</v>
      </c>
      <c r="B42" s="1">
        <v>0.33333333333333331</v>
      </c>
      <c r="C42">
        <v>8759.5</v>
      </c>
      <c r="D42">
        <v>12.7</v>
      </c>
      <c r="E42" s="3">
        <f t="shared" si="2"/>
        <v>2.5013903879035924E-2</v>
      </c>
      <c r="F42" s="4">
        <f t="shared" si="1"/>
        <v>736.05141819566165</v>
      </c>
    </row>
    <row r="43" spans="1:6">
      <c r="A43" s="7">
        <v>42977</v>
      </c>
      <c r="B43" s="1">
        <v>0.33333333333333331</v>
      </c>
      <c r="C43">
        <v>8736.9</v>
      </c>
      <c r="D43">
        <v>12.5</v>
      </c>
      <c r="E43" s="3">
        <f t="shared" si="2"/>
        <v>2.6311963124472516E-2</v>
      </c>
      <c r="F43" s="4">
        <f t="shared" si="1"/>
        <v>736.18382023869617</v>
      </c>
    </row>
    <row r="44" spans="1:6">
      <c r="A44" s="7">
        <v>42988</v>
      </c>
      <c r="B44" s="1">
        <v>0.33333333333333331</v>
      </c>
      <c r="C44">
        <v>8729.7999999999993</v>
      </c>
      <c r="D44">
        <v>11.9</v>
      </c>
      <c r="E44" s="3">
        <f t="shared" si="2"/>
        <v>2.6258561475626413E-2</v>
      </c>
      <c r="F44" s="4">
        <f t="shared" si="1"/>
        <v>736.17837327051393</v>
      </c>
    </row>
    <row r="45" spans="1:6">
      <c r="A45" s="7">
        <v>42998</v>
      </c>
      <c r="B45" s="1">
        <v>0.33333333333333331</v>
      </c>
      <c r="C45">
        <v>8734.9</v>
      </c>
      <c r="D45">
        <v>11.6</v>
      </c>
      <c r="E45" s="3">
        <f t="shared" si="2"/>
        <v>2.5669192296486121E-2</v>
      </c>
      <c r="F45" s="4">
        <f t="shared" si="1"/>
        <v>736.11825761424154</v>
      </c>
    </row>
    <row r="46" spans="1:6">
      <c r="A46" s="7">
        <v>43008</v>
      </c>
      <c r="B46" s="1">
        <v>0.33333333333333331</v>
      </c>
      <c r="C46">
        <v>8740.6</v>
      </c>
      <c r="D46">
        <v>11.3</v>
      </c>
      <c r="E46" s="3">
        <f t="shared" si="2"/>
        <v>2.5040819177362027E-2</v>
      </c>
      <c r="F46" s="4">
        <f t="shared" si="1"/>
        <v>736.05416355609088</v>
      </c>
    </row>
    <row r="47" spans="1:6">
      <c r="A47" s="7">
        <v>43018</v>
      </c>
      <c r="B47" s="1">
        <v>0.33333333333333331</v>
      </c>
      <c r="C47">
        <v>8729.7000000000007</v>
      </c>
      <c r="D47">
        <v>10.9</v>
      </c>
      <c r="E47" s="3">
        <f t="shared" si="2"/>
        <v>2.5406330559355983E-2</v>
      </c>
      <c r="F47" s="4">
        <f t="shared" si="1"/>
        <v>736.09144571705428</v>
      </c>
    </row>
    <row r="48" spans="1:6">
      <c r="A48" s="7">
        <v>43230</v>
      </c>
      <c r="B48" s="1">
        <v>0.33333333333333331</v>
      </c>
      <c r="C48">
        <v>8694.7000000000007</v>
      </c>
      <c r="D48">
        <v>2.7</v>
      </c>
      <c r="E48" s="3">
        <f t="shared" si="2"/>
        <v>2.0641979177759957E-2</v>
      </c>
      <c r="F48" s="4">
        <f t="shared" si="1"/>
        <v>735.60548187613153</v>
      </c>
    </row>
    <row r="49" spans="1:6">
      <c r="A49" s="7">
        <v>43240</v>
      </c>
      <c r="B49" s="1">
        <v>0.33333333333333331</v>
      </c>
      <c r="C49">
        <v>8635.9</v>
      </c>
      <c r="D49">
        <v>3.2</v>
      </c>
      <c r="E49" s="3">
        <f>($B$2*C49^2+$B$3*C49+$B$4)-$B$5*D49-$E$7</f>
        <v>2.4899449040485376E-2</v>
      </c>
      <c r="F49" s="4">
        <f t="shared" si="1"/>
        <v>736.03974380212946</v>
      </c>
    </row>
    <row r="50" spans="1:6">
      <c r="A50" s="7">
        <v>43250</v>
      </c>
      <c r="B50" s="1">
        <v>0.33333333333333331</v>
      </c>
      <c r="C50">
        <v>8633</v>
      </c>
      <c r="D50">
        <v>3.3</v>
      </c>
      <c r="E50" s="3">
        <f>($B$2*C50^2+$B$3*C50+$B$4)-$B$5*D50-$E$7</f>
        <v>2.5174197064593354E-2</v>
      </c>
      <c r="F50" s="4">
        <f t="shared" si="1"/>
        <v>736.06776810058852</v>
      </c>
    </row>
    <row r="51" spans="1:6">
      <c r="A51" s="7">
        <v>43261</v>
      </c>
      <c r="B51" s="1">
        <v>0.33333333333333331</v>
      </c>
      <c r="C51">
        <v>8601.2999999999993</v>
      </c>
      <c r="D51">
        <v>4.3</v>
      </c>
      <c r="E51" s="3">
        <f>($B$2*C51^2+$B$3*C51+$B$4)-$B$5*D51-$E$7</f>
        <v>2.8097976342886508E-2</v>
      </c>
      <c r="F51" s="4">
        <f t="shared" si="1"/>
        <v>736.36599358697447</v>
      </c>
    </row>
    <row r="52" spans="1:6">
      <c r="A52" s="7">
        <v>43271</v>
      </c>
      <c r="B52" s="1">
        <v>0.33333333333333331</v>
      </c>
      <c r="C52">
        <v>8477.2999999999993</v>
      </c>
      <c r="D52">
        <v>7.5</v>
      </c>
      <c r="E52" s="3">
        <f>($B$2*C52^2+$B$3*C52+$B$4)-$B$5*D52-$E$7</f>
        <v>3.8931632157812812E-2</v>
      </c>
      <c r="F52" s="4">
        <f t="shared" si="1"/>
        <v>737.47102648009695</v>
      </c>
    </row>
    <row r="53" spans="1:6">
      <c r="A53" s="7">
        <v>43281</v>
      </c>
      <c r="B53" s="1">
        <v>0.33333333333333331</v>
      </c>
      <c r="C53">
        <v>8536.4</v>
      </c>
      <c r="D53">
        <v>7.6</v>
      </c>
      <c r="E53" s="3">
        <f>($B$2*C53^2+$B$3*C53+$B$4)-$B$5*D53-$E$7</f>
        <v>3.5162181336030433E-2</v>
      </c>
      <c r="F53" s="4">
        <f t="shared" si="1"/>
        <v>737.08654249627511</v>
      </c>
    </row>
    <row r="54" spans="1:6">
      <c r="A54" s="7">
        <v>43291</v>
      </c>
      <c r="B54" s="1">
        <v>0.33333333333333331</v>
      </c>
      <c r="C54">
        <v>8661.2999999999993</v>
      </c>
      <c r="D54">
        <v>9</v>
      </c>
      <c r="E54" s="3">
        <f t="shared" ref="E54:E59" si="3">($B$2*C54^2+$B$3*C54+$B$4)-$B$5*D54-$E$7</f>
        <v>2.8226133602430419E-2</v>
      </c>
      <c r="F54" s="4">
        <f t="shared" si="1"/>
        <v>736.37906562744786</v>
      </c>
    </row>
    <row r="55" spans="1:6">
      <c r="A55" s="7">
        <v>43301</v>
      </c>
      <c r="B55" s="1">
        <v>0.33333333333333331</v>
      </c>
      <c r="C55">
        <v>8651.1</v>
      </c>
      <c r="D55">
        <v>9.6999999999999993</v>
      </c>
      <c r="E55" s="3">
        <f t="shared" si="3"/>
        <v>2.9491383526342882E-2</v>
      </c>
      <c r="F55" s="4">
        <f t="shared" si="1"/>
        <v>736.50812111968696</v>
      </c>
    </row>
    <row r="56" spans="1:6">
      <c r="A56" s="7">
        <v>43311</v>
      </c>
      <c r="B56" s="1">
        <v>0.33333333333333331</v>
      </c>
      <c r="C56">
        <v>8658.6</v>
      </c>
      <c r="D56">
        <v>10.1</v>
      </c>
      <c r="E56" s="3">
        <f t="shared" si="3"/>
        <v>2.9346535254376367E-2</v>
      </c>
      <c r="F56" s="4">
        <f t="shared" si="1"/>
        <v>736.49334659594638</v>
      </c>
    </row>
    <row r="57" spans="1:6">
      <c r="A57" s="7">
        <v>43322</v>
      </c>
      <c r="B57" s="1">
        <v>0.33333333333333331</v>
      </c>
      <c r="C57">
        <v>8624.5</v>
      </c>
      <c r="D57">
        <v>10.9</v>
      </c>
      <c r="E57" s="3">
        <f t="shared" si="3"/>
        <v>3.2254227908875832E-2</v>
      </c>
      <c r="F57" s="4">
        <f t="shared" si="1"/>
        <v>736.78993124670535</v>
      </c>
    </row>
    <row r="58" spans="1:6">
      <c r="A58" s="7">
        <v>43332</v>
      </c>
      <c r="B58" s="1">
        <v>0.33333333333333331</v>
      </c>
      <c r="C58">
        <v>8659.9</v>
      </c>
      <c r="D58">
        <v>11</v>
      </c>
      <c r="E58" s="3">
        <f t="shared" si="3"/>
        <v>3.0034756289346091E-2</v>
      </c>
      <c r="F58" s="4">
        <f t="shared" si="1"/>
        <v>736.56354514151326</v>
      </c>
    </row>
    <row r="59" spans="1:6">
      <c r="A59" s="7">
        <v>43342</v>
      </c>
      <c r="B59" s="1">
        <v>0.33333333333333331</v>
      </c>
      <c r="C59">
        <v>8589.2000000000007</v>
      </c>
      <c r="D59">
        <v>11.3</v>
      </c>
      <c r="E59" s="3">
        <f t="shared" si="3"/>
        <v>3.4897580176982655E-2</v>
      </c>
      <c r="F59" s="4">
        <f t="shared" si="1"/>
        <v>737.05955317805228</v>
      </c>
    </row>
    <row r="60" spans="1:6">
      <c r="A60" s="7">
        <v>43353</v>
      </c>
      <c r="B60" s="1">
        <v>0.33333333333333331</v>
      </c>
      <c r="C60">
        <v>8529.1</v>
      </c>
      <c r="D60">
        <v>11.7</v>
      </c>
      <c r="E60" s="3">
        <f t="shared" ref="E60:E63" si="4">($B$2*C60^2+$B$3*C60+$B$4)-$B$5*D60-$E$7</f>
        <v>3.9159051228857204E-2</v>
      </c>
      <c r="F60" s="4">
        <f t="shared" ref="F60:F63" si="5">$D$1+102*E60</f>
        <v>737.49422322534349</v>
      </c>
    </row>
    <row r="61" spans="1:6">
      <c r="A61" s="7">
        <v>43363</v>
      </c>
      <c r="B61" s="1">
        <v>0.33333333333333331</v>
      </c>
      <c r="C61">
        <v>8596.4</v>
      </c>
      <c r="D61">
        <v>10.8</v>
      </c>
      <c r="E61" s="3">
        <f t="shared" si="4"/>
        <v>3.3999036266462342E-2</v>
      </c>
      <c r="F61" s="4">
        <f t="shared" si="5"/>
        <v>736.96790169917915</v>
      </c>
    </row>
    <row r="62" spans="1:6">
      <c r="A62" s="7">
        <v>43373</v>
      </c>
      <c r="B62" s="1">
        <v>0.33333333333333331</v>
      </c>
      <c r="C62">
        <v>8599.1</v>
      </c>
      <c r="D62">
        <v>10.7</v>
      </c>
      <c r="E62" s="3">
        <f t="shared" si="4"/>
        <v>3.3737232677333265E-2</v>
      </c>
      <c r="F62" s="4">
        <f t="shared" si="5"/>
        <v>736.94119773308796</v>
      </c>
    </row>
    <row r="63" spans="1:6">
      <c r="A63" s="7">
        <v>43383</v>
      </c>
      <c r="B63" s="1">
        <v>0.33333333333333331</v>
      </c>
      <c r="C63">
        <v>8599.7000000000007</v>
      </c>
      <c r="D63">
        <v>10.5</v>
      </c>
      <c r="E63" s="3">
        <f t="shared" si="4"/>
        <v>3.3526390737327973E-2</v>
      </c>
      <c r="F63" s="4">
        <f t="shared" si="5"/>
        <v>736.91969185520747</v>
      </c>
    </row>
    <row r="64" spans="1:6">
      <c r="A64" s="7">
        <v>43393</v>
      </c>
      <c r="B64" s="1">
        <v>0.33333333333333331</v>
      </c>
      <c r="C64">
        <v>8607.2000000000007</v>
      </c>
      <c r="D64">
        <v>10.199999999999999</v>
      </c>
      <c r="E64" s="3">
        <f t="shared" ref="E64:E75" si="6">($B$2*C64^2+$B$3*C64+$B$4)-$B$5*D64-$E$7</f>
        <v>3.2780110635707516E-2</v>
      </c>
      <c r="F64" s="4">
        <f t="shared" ref="F64:F75" si="7">$D$1+102*E64</f>
        <v>736.84357128484214</v>
      </c>
    </row>
    <row r="65" spans="1:6">
      <c r="A65" s="7">
        <v>43605</v>
      </c>
      <c r="B65" s="1">
        <v>0.33333333333333331</v>
      </c>
      <c r="C65">
        <v>8675.9</v>
      </c>
      <c r="D65">
        <v>9.1999999999999993</v>
      </c>
      <c r="E65" s="3">
        <f t="shared" si="6"/>
        <v>2.7447405286613352E-2</v>
      </c>
      <c r="F65" s="4">
        <f t="shared" si="7"/>
        <v>736.29963533923456</v>
      </c>
    </row>
    <row r="66" spans="1:6">
      <c r="A66" s="7">
        <v>43615</v>
      </c>
      <c r="B66" s="1">
        <v>0.33333333333333331</v>
      </c>
      <c r="C66">
        <v>8676.2000000000007</v>
      </c>
      <c r="D66">
        <v>9.5</v>
      </c>
      <c r="E66" s="3">
        <f t="shared" si="6"/>
        <v>2.7685497603507865E-2</v>
      </c>
      <c r="F66" s="4">
        <f t="shared" si="7"/>
        <v>736.32392075555777</v>
      </c>
    </row>
    <row r="67" spans="1:6">
      <c r="A67" s="7">
        <v>43626</v>
      </c>
      <c r="B67" s="1">
        <v>0.33333333333333331</v>
      </c>
      <c r="C67">
        <v>8677.4</v>
      </c>
      <c r="D67">
        <v>9.9</v>
      </c>
      <c r="E67" s="3">
        <f t="shared" si="6"/>
        <v>2.7950878810299701E-2</v>
      </c>
      <c r="F67" s="4">
        <f t="shared" si="7"/>
        <v>736.35098963865062</v>
      </c>
    </row>
    <row r="68" spans="1:6">
      <c r="A68" s="7">
        <v>43636</v>
      </c>
      <c r="B68" s="1">
        <v>0.33333333333333331</v>
      </c>
      <c r="C68">
        <v>8678.4</v>
      </c>
      <c r="D68">
        <v>10.199999999999999</v>
      </c>
      <c r="E68" s="3">
        <f t="shared" si="6"/>
        <v>2.8143406186108777E-2</v>
      </c>
      <c r="F68" s="4">
        <f t="shared" si="7"/>
        <v>736.37062743098306</v>
      </c>
    </row>
    <row r="69" spans="1:6">
      <c r="A69" s="7">
        <v>43646</v>
      </c>
      <c r="B69" s="1">
        <v>0.33333333333333331</v>
      </c>
      <c r="C69">
        <v>8668.2000000000007</v>
      </c>
      <c r="D69">
        <v>10.199999999999999</v>
      </c>
      <c r="E69" s="3">
        <f t="shared" si="6"/>
        <v>2.8807397650502997E-2</v>
      </c>
      <c r="F69" s="4">
        <f t="shared" si="7"/>
        <v>736.43835456035129</v>
      </c>
    </row>
    <row r="70" spans="1:6">
      <c r="A70" s="7">
        <v>43656</v>
      </c>
      <c r="B70" s="1">
        <v>0.33333333333333331</v>
      </c>
      <c r="C70">
        <v>8651.2000000000007</v>
      </c>
      <c r="D70">
        <v>10.4</v>
      </c>
      <c r="E70" s="3">
        <f t="shared" si="6"/>
        <v>3.0085987186817861E-2</v>
      </c>
      <c r="F70" s="4">
        <f t="shared" si="7"/>
        <v>736.5687706930554</v>
      </c>
    </row>
    <row r="71" spans="1:6">
      <c r="A71" s="7">
        <v>43666</v>
      </c>
      <c r="B71" s="1">
        <v>0.33333333333333331</v>
      </c>
      <c r="C71">
        <v>8609.4</v>
      </c>
      <c r="D71">
        <v>10.4</v>
      </c>
      <c r="E71" s="3">
        <f t="shared" si="6"/>
        <v>3.2808526537682056E-2</v>
      </c>
      <c r="F71" s="4">
        <f t="shared" si="7"/>
        <v>736.84646970684355</v>
      </c>
    </row>
    <row r="72" spans="1:6">
      <c r="A72" s="7">
        <v>43676</v>
      </c>
      <c r="B72" s="1">
        <v>0.33333333333333331</v>
      </c>
      <c r="C72">
        <v>8589.2000000000007</v>
      </c>
      <c r="D72">
        <v>10.5</v>
      </c>
      <c r="E72" s="3">
        <f t="shared" si="6"/>
        <v>3.4210591376982659E-2</v>
      </c>
      <c r="F72" s="4">
        <f t="shared" si="7"/>
        <v>736.98948032045223</v>
      </c>
    </row>
    <row r="73" spans="1:6">
      <c r="A73" s="7">
        <v>43687</v>
      </c>
      <c r="B73" s="1">
        <v>0.33333333333333331</v>
      </c>
      <c r="C73">
        <v>8576.2999999999993</v>
      </c>
      <c r="D73">
        <v>10.5</v>
      </c>
      <c r="E73" s="3">
        <f t="shared" si="6"/>
        <v>3.5051304700326448E-2</v>
      </c>
      <c r="F73" s="4">
        <f t="shared" si="7"/>
        <v>737.07523307943325</v>
      </c>
    </row>
    <row r="74" spans="1:6">
      <c r="A74" s="7">
        <v>43697</v>
      </c>
      <c r="B74" s="1">
        <v>0.33333333333333331</v>
      </c>
      <c r="C74">
        <v>8539.2000000000007</v>
      </c>
      <c r="D74">
        <v>10.6</v>
      </c>
      <c r="E74" s="3">
        <f t="shared" si="6"/>
        <v>3.7555805549902642E-2</v>
      </c>
      <c r="F74" s="4">
        <f t="shared" si="7"/>
        <v>737.3306921660901</v>
      </c>
    </row>
    <row r="75" spans="1:6">
      <c r="A75" s="7">
        <v>43707</v>
      </c>
      <c r="B75" s="1">
        <v>0.33333333333333331</v>
      </c>
      <c r="C75">
        <v>8504</v>
      </c>
      <c r="D75">
        <v>10.6</v>
      </c>
      <c r="E75" s="3">
        <f t="shared" si="6"/>
        <v>3.9851612940991342E-2</v>
      </c>
      <c r="F75" s="4">
        <f t="shared" si="7"/>
        <v>737.56486451998114</v>
      </c>
    </row>
  </sheetData>
  <phoneticPr fontId="4" type="noConversion"/>
  <pageMargins left="0.69930555555555596" right="0.69930555555555596" top="0.75" bottom="0.75" header="0.3" footer="0.3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115</vt:i4>
      </vt:variant>
    </vt:vector>
  </HeadingPairs>
  <TitlesOfParts>
    <vt:vector size="115" baseType="lpstr">
      <vt:lpstr>Pz-01</vt:lpstr>
      <vt:lpstr>Pz-02</vt:lpstr>
      <vt:lpstr>Pz-03</vt:lpstr>
      <vt:lpstr>Pz-04</vt:lpstr>
      <vt:lpstr>Pz-05</vt:lpstr>
      <vt:lpstr>Pz-06</vt:lpstr>
      <vt:lpstr>P1-01</vt:lpstr>
      <vt:lpstr>P1-02</vt:lpstr>
      <vt:lpstr>P1-03</vt:lpstr>
      <vt:lpstr>P1-04</vt:lpstr>
      <vt:lpstr>P1-05</vt:lpstr>
      <vt:lpstr>P1-06</vt:lpstr>
      <vt:lpstr>P1-07</vt:lpstr>
      <vt:lpstr>P1-08</vt:lpstr>
      <vt:lpstr>P1-09</vt:lpstr>
      <vt:lpstr>P1-10</vt:lpstr>
      <vt:lpstr>P1-11</vt:lpstr>
      <vt:lpstr>P1-12</vt:lpstr>
      <vt:lpstr>P2-01</vt:lpstr>
      <vt:lpstr>P2-02 </vt:lpstr>
      <vt:lpstr>P2-03</vt:lpstr>
      <vt:lpstr>P2-04</vt:lpstr>
      <vt:lpstr>P2-05</vt:lpstr>
      <vt:lpstr>P2-06</vt:lpstr>
      <vt:lpstr>P2-07</vt:lpstr>
      <vt:lpstr>P2-08</vt:lpstr>
      <vt:lpstr>P2-09</vt:lpstr>
      <vt:lpstr>P2-10</vt:lpstr>
      <vt:lpstr>P2-11</vt:lpstr>
      <vt:lpstr>P2-12</vt:lpstr>
      <vt:lpstr>P2-13</vt:lpstr>
      <vt:lpstr>P2-14</vt:lpstr>
      <vt:lpstr>P3-01</vt:lpstr>
      <vt:lpstr>P3-02</vt:lpstr>
      <vt:lpstr>P3-03</vt:lpstr>
      <vt:lpstr>P3-04</vt:lpstr>
      <vt:lpstr>P3-05</vt:lpstr>
      <vt:lpstr>P3-06</vt:lpstr>
      <vt:lpstr>P3-07</vt:lpstr>
      <vt:lpstr>P3-08</vt:lpstr>
      <vt:lpstr>P3-09</vt:lpstr>
      <vt:lpstr>P3-10</vt:lpstr>
      <vt:lpstr>P4-01</vt:lpstr>
      <vt:lpstr>P4-02</vt:lpstr>
      <vt:lpstr>P4-03</vt:lpstr>
      <vt:lpstr>P4-04</vt:lpstr>
      <vt:lpstr>P4-05</vt:lpstr>
      <vt:lpstr>P4-06</vt:lpstr>
      <vt:lpstr>P4-07</vt:lpstr>
      <vt:lpstr>P4-08</vt:lpstr>
      <vt:lpstr>P4-09</vt:lpstr>
      <vt:lpstr>P4-10</vt:lpstr>
      <vt:lpstr>P4-11</vt:lpstr>
      <vt:lpstr>P4-12</vt:lpstr>
      <vt:lpstr>P4-13</vt:lpstr>
      <vt:lpstr>P4-14</vt:lpstr>
      <vt:lpstr>P4-15</vt:lpstr>
      <vt:lpstr>P4-16</vt:lpstr>
      <vt:lpstr>P4-17</vt:lpstr>
      <vt:lpstr>P4-18</vt:lpstr>
      <vt:lpstr>P4-19</vt:lpstr>
      <vt:lpstr>P5-01</vt:lpstr>
      <vt:lpstr>P5-02</vt:lpstr>
      <vt:lpstr>P5-03</vt:lpstr>
      <vt:lpstr>P5-04</vt:lpstr>
      <vt:lpstr>P5-05</vt:lpstr>
      <vt:lpstr>P5-06</vt:lpstr>
      <vt:lpstr>P5-07</vt:lpstr>
      <vt:lpstr>P5-08</vt:lpstr>
      <vt:lpstr>P5-09</vt:lpstr>
      <vt:lpstr>P5-10</vt:lpstr>
      <vt:lpstr>P5-11</vt:lpstr>
      <vt:lpstr>P5-12</vt:lpstr>
      <vt:lpstr>P5-13</vt:lpstr>
      <vt:lpstr>P5-14</vt:lpstr>
      <vt:lpstr>P5-15</vt:lpstr>
      <vt:lpstr>P5-16</vt:lpstr>
      <vt:lpstr>P5-17</vt:lpstr>
      <vt:lpstr>P6-01</vt:lpstr>
      <vt:lpstr>P6-02</vt:lpstr>
      <vt:lpstr>P6-03</vt:lpstr>
      <vt:lpstr>P6-04</vt:lpstr>
      <vt:lpstr>P6-05</vt:lpstr>
      <vt:lpstr>P6-06</vt:lpstr>
      <vt:lpstr>P6-07</vt:lpstr>
      <vt:lpstr>P7-01</vt:lpstr>
      <vt:lpstr>P7-02</vt:lpstr>
      <vt:lpstr>P7-03</vt:lpstr>
      <vt:lpstr>P7-04</vt:lpstr>
      <vt:lpstr>P7-05</vt:lpstr>
      <vt:lpstr>P7-06</vt:lpstr>
      <vt:lpstr>P7-07</vt:lpstr>
      <vt:lpstr>P7-08</vt:lpstr>
      <vt:lpstr>P7-09</vt:lpstr>
      <vt:lpstr>P7-10</vt:lpstr>
      <vt:lpstr>P7-11</vt:lpstr>
      <vt:lpstr>P7-12</vt:lpstr>
      <vt:lpstr>P7-13</vt:lpstr>
      <vt:lpstr>P7-14</vt:lpstr>
      <vt:lpstr>P7-15</vt:lpstr>
      <vt:lpstr>P7-16</vt:lpstr>
      <vt:lpstr>P7-17</vt:lpstr>
      <vt:lpstr>P8-01</vt:lpstr>
      <vt:lpstr>P8-02</vt:lpstr>
      <vt:lpstr>P8-03</vt:lpstr>
      <vt:lpstr>P8-04</vt:lpstr>
      <vt:lpstr>P8-05</vt:lpstr>
      <vt:lpstr>P8-06</vt:lpstr>
      <vt:lpstr>P8-07</vt:lpstr>
      <vt:lpstr>Py-01</vt:lpstr>
      <vt:lpstr>Py-02</vt:lpstr>
      <vt:lpstr>Py-03</vt:lpstr>
      <vt:lpstr>Py-04</vt:lpstr>
      <vt:lpstr>Py-05</vt:lpstr>
      <vt:lpstr>Py-06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Wuxy</cp:lastModifiedBy>
  <dcterms:created xsi:type="dcterms:W3CDTF">2006-09-16T00:00:00Z</dcterms:created>
  <dcterms:modified xsi:type="dcterms:W3CDTF">2019-09-02T09:28:13Z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2052-10.1.0.5866</vt:lpwstr>
  </property>
</Properties>
</file>