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gma\"/>
    </mc:Choice>
  </mc:AlternateContent>
  <xr:revisionPtr revIDLastSave="0" documentId="8_{15A5D0AD-BE6C-45E7-9E0B-0A9D64C80583}" xr6:coauthVersionLast="47" xr6:coauthVersionMax="47" xr10:uidLastSave="{00000000-0000-0000-0000-000000000000}"/>
  <bookViews>
    <workbookView xWindow="-120" yWindow="-120" windowWidth="20730" windowHeight="11040" xr2:uid="{AA6566A7-F222-4640-BBD8-37DE5081884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N35" i="1"/>
  <c r="L37" i="1"/>
  <c r="J37" i="1"/>
  <c r="H35" i="1"/>
  <c r="G37" i="1"/>
  <c r="F35" i="1"/>
  <c r="D37" i="1"/>
  <c r="B37" i="1"/>
  <c r="A34" i="1"/>
  <c r="J43" i="1"/>
  <c r="K41" i="1"/>
  <c r="L40" i="1"/>
  <c r="L39" i="1"/>
  <c r="K39" i="1"/>
  <c r="J39" i="1"/>
  <c r="L38" i="1"/>
  <c r="L43" i="1" s="1"/>
  <c r="K38" i="1"/>
  <c r="K43" i="1" s="1"/>
  <c r="M37" i="1"/>
  <c r="K37" i="1"/>
  <c r="E37" i="1"/>
  <c r="L36" i="1"/>
  <c r="K36" i="1"/>
  <c r="J36" i="1"/>
  <c r="R35" i="1"/>
  <c r="M35" i="1"/>
  <c r="M36" i="1" s="1"/>
  <c r="L35" i="1"/>
  <c r="K35" i="1"/>
  <c r="J35" i="1"/>
  <c r="I35" i="1"/>
  <c r="G35" i="1"/>
  <c r="G36" i="1" s="1"/>
  <c r="E35" i="1"/>
  <c r="E36" i="1" s="1"/>
  <c r="D35" i="1"/>
  <c r="B35" i="1"/>
  <c r="S34" i="1"/>
  <c r="N34" i="1"/>
  <c r="O34" i="1" s="1"/>
  <c r="F34" i="1"/>
  <c r="S33" i="1"/>
  <c r="H33" i="1"/>
  <c r="N33" i="1" s="1"/>
  <c r="F33" i="1"/>
  <c r="A33" i="1"/>
  <c r="S32" i="1"/>
  <c r="N32" i="1"/>
  <c r="O32" i="1" s="1"/>
  <c r="F32" i="1"/>
  <c r="A32" i="1"/>
  <c r="S31" i="1"/>
  <c r="N31" i="1"/>
  <c r="O31" i="1" s="1"/>
  <c r="F31" i="1"/>
  <c r="A31" i="1"/>
  <c r="S30" i="1"/>
  <c r="H30" i="1"/>
  <c r="N30" i="1" s="1"/>
  <c r="F30" i="1"/>
  <c r="O30" i="1" s="1"/>
  <c r="A30" i="1"/>
  <c r="S29" i="1"/>
  <c r="N29" i="1"/>
  <c r="O29" i="1" s="1"/>
  <c r="F29" i="1"/>
  <c r="A29" i="1"/>
  <c r="S28" i="1"/>
  <c r="N28" i="1"/>
  <c r="O28" i="1" s="1"/>
  <c r="H28" i="1"/>
  <c r="F28" i="1"/>
  <c r="A28" i="1"/>
  <c r="S27" i="1"/>
  <c r="H27" i="1"/>
  <c r="N27" i="1" s="1"/>
  <c r="F27" i="1"/>
  <c r="A27" i="1"/>
  <c r="S26" i="1"/>
  <c r="H26" i="1"/>
  <c r="N26" i="1" s="1"/>
  <c r="F26" i="1"/>
  <c r="O26" i="1" s="1"/>
  <c r="A26" i="1"/>
  <c r="S25" i="1"/>
  <c r="H25" i="1"/>
  <c r="N25" i="1" s="1"/>
  <c r="F25" i="1"/>
  <c r="O25" i="1" s="1"/>
  <c r="A25" i="1"/>
  <c r="S24" i="1"/>
  <c r="N24" i="1"/>
  <c r="O24" i="1" s="1"/>
  <c r="H24" i="1"/>
  <c r="F24" i="1"/>
  <c r="A24" i="1"/>
  <c r="S23" i="1"/>
  <c r="N23" i="1"/>
  <c r="F23" i="1"/>
  <c r="O23" i="1" s="1"/>
  <c r="A23" i="1"/>
  <c r="S22" i="1"/>
  <c r="N22" i="1"/>
  <c r="O22" i="1" s="1"/>
  <c r="F22" i="1"/>
  <c r="A22" i="1"/>
  <c r="S21" i="1"/>
  <c r="N21" i="1"/>
  <c r="O21" i="1" s="1"/>
  <c r="H21" i="1"/>
  <c r="F21" i="1"/>
  <c r="A21" i="1"/>
  <c r="S20" i="1"/>
  <c r="N20" i="1"/>
  <c r="F20" i="1"/>
  <c r="O20" i="1" s="1"/>
  <c r="A20" i="1"/>
  <c r="S19" i="1"/>
  <c r="N19" i="1"/>
  <c r="H19" i="1"/>
  <c r="F19" i="1"/>
  <c r="O19" i="1" s="1"/>
  <c r="A19" i="1"/>
  <c r="S18" i="1"/>
  <c r="O18" i="1"/>
  <c r="N18" i="1"/>
  <c r="F18" i="1"/>
  <c r="A18" i="1"/>
  <c r="S17" i="1"/>
  <c r="N17" i="1"/>
  <c r="F17" i="1"/>
  <c r="O17" i="1" s="1"/>
  <c r="A17" i="1"/>
  <c r="S16" i="1"/>
  <c r="N16" i="1"/>
  <c r="O16" i="1" s="1"/>
  <c r="F16" i="1"/>
  <c r="A16" i="1"/>
  <c r="S15" i="1"/>
  <c r="N15" i="1"/>
  <c r="O15" i="1" s="1"/>
  <c r="H15" i="1"/>
  <c r="F15" i="1"/>
  <c r="A15" i="1"/>
  <c r="S14" i="1"/>
  <c r="H14" i="1"/>
  <c r="N14" i="1" s="1"/>
  <c r="F14" i="1"/>
  <c r="C14" i="1"/>
  <c r="C35" i="1" s="1"/>
  <c r="A14" i="1"/>
  <c r="S13" i="1"/>
  <c r="H13" i="1"/>
  <c r="N13" i="1" s="1"/>
  <c r="F13" i="1"/>
  <c r="O13" i="1" s="1"/>
  <c r="A13" i="1"/>
  <c r="S12" i="1"/>
  <c r="N12" i="1"/>
  <c r="H12" i="1"/>
  <c r="F12" i="1"/>
  <c r="O12" i="1" s="1"/>
  <c r="A12" i="1"/>
  <c r="S11" i="1"/>
  <c r="H11" i="1"/>
  <c r="N11" i="1" s="1"/>
  <c r="O11" i="1" s="1"/>
  <c r="F11" i="1"/>
  <c r="A11" i="1"/>
  <c r="S10" i="1"/>
  <c r="H10" i="1"/>
  <c r="N10" i="1" s="1"/>
  <c r="O10" i="1" s="1"/>
  <c r="F10" i="1"/>
  <c r="S9" i="1"/>
  <c r="N9" i="1"/>
  <c r="F9" i="1"/>
  <c r="O9" i="1" s="1"/>
  <c r="A9" i="1"/>
  <c r="S8" i="1"/>
  <c r="H8" i="1"/>
  <c r="N8" i="1" s="1"/>
  <c r="O8" i="1" s="1"/>
  <c r="F8" i="1"/>
  <c r="A8" i="1"/>
  <c r="S7" i="1"/>
  <c r="H7" i="1"/>
  <c r="F7" i="1"/>
  <c r="A7" i="1"/>
  <c r="S6" i="1"/>
  <c r="H6" i="1"/>
  <c r="N6" i="1" s="1"/>
  <c r="F6" i="1"/>
  <c r="O6" i="1" s="1"/>
  <c r="A6" i="1"/>
  <c r="S5" i="1"/>
  <c r="N5" i="1"/>
  <c r="H5" i="1"/>
  <c r="F5" i="1"/>
  <c r="O5" i="1" s="1"/>
  <c r="A5" i="1"/>
  <c r="S4" i="1"/>
  <c r="S35" i="1" s="1"/>
  <c r="H4" i="1"/>
  <c r="N4" i="1" s="1"/>
  <c r="F4" i="1"/>
  <c r="A4" i="1"/>
  <c r="A3" i="1"/>
  <c r="C36" i="1" l="1"/>
  <c r="C37" i="1"/>
  <c r="O14" i="1"/>
  <c r="O27" i="1"/>
  <c r="O4" i="1"/>
  <c r="O33" i="1"/>
  <c r="N7" i="1"/>
  <c r="O7" i="1" s="1"/>
  <c r="B36" i="1"/>
  <c r="D36" i="1"/>
  <c r="O35" i="1" l="1"/>
</calcChain>
</file>

<file path=xl/sharedStrings.xml><?xml version="1.0" encoding="utf-8"?>
<sst xmlns="http://schemas.openxmlformats.org/spreadsheetml/2006/main" count="30" uniqueCount="29">
  <si>
    <t xml:space="preserve"> North St SY 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</si>
  <si>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</si>
  <si>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</si>
  <si>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</si>
  <si>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</si>
  <si>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</si>
  <si>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</si>
  <si>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</si>
  <si>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</si>
  <si>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</si>
  <si>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</si>
  <si>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</si>
  <si>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</si>
  <si>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</si>
  <si>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</si>
  <si>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</si>
  <si>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</si>
  <si>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  NBT Bank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</si>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</sst>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sz val="18"/>
      <color rgb="FF444444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7" fontId="3" fillId="2" borderId="6" xfId="0" applyNumberFormat="1" applyFont="1" applyFill="1" applyBorder="1" applyAlignment="1">
      <alignment horizontal="center" vertical="center" wrapText="1"/>
    </xf>
    <xf numFmtId="17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wrapText="1"/>
    </xf>
    <xf numFmtId="14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5" fontId="6" fillId="0" borderId="12" xfId="0" applyNumberFormat="1" applyFont="1" applyBorder="1" applyAlignment="1">
      <alignment horizontal="right"/>
    </xf>
    <xf numFmtId="164" fontId="6" fillId="3" borderId="12" xfId="0" applyNumberFormat="1" applyFont="1" applyFill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4" fontId="6" fillId="0" borderId="12" xfId="0" applyNumberFormat="1" applyFont="1" applyBorder="1" applyAlignment="1">
      <alignment horizontal="right"/>
    </xf>
    <xf numFmtId="165" fontId="7" fillId="3" borderId="13" xfId="0" applyNumberFormat="1" applyFont="1" applyFill="1" applyBorder="1" applyAlignment="1">
      <alignment horizontal="right"/>
    </xf>
    <xf numFmtId="0" fontId="0" fillId="0" borderId="11" xfId="0" applyBorder="1"/>
    <xf numFmtId="14" fontId="6" fillId="0" borderId="14" xfId="0" applyNumberFormat="1" applyFont="1" applyBorder="1" applyAlignment="1">
      <alignment horizontal="right"/>
    </xf>
    <xf numFmtId="14" fontId="6" fillId="0" borderId="13" xfId="0" applyNumberFormat="1" applyFont="1" applyBorder="1" applyAlignment="1">
      <alignment horizontal="right"/>
    </xf>
    <xf numFmtId="165" fontId="6" fillId="0" borderId="15" xfId="0" applyNumberFormat="1" applyFont="1" applyBorder="1" applyAlignment="1">
      <alignment horizontal="right"/>
    </xf>
    <xf numFmtId="165" fontId="6" fillId="0" borderId="14" xfId="0" applyNumberFormat="1" applyFont="1" applyBorder="1" applyAlignment="1">
      <alignment horizontal="right"/>
    </xf>
    <xf numFmtId="14" fontId="0" fillId="0" borderId="0" xfId="0" applyNumberFormat="1"/>
    <xf numFmtId="165" fontId="6" fillId="0" borderId="16" xfId="0" applyNumberFormat="1" applyFont="1" applyBorder="1" applyAlignment="1">
      <alignment horizontal="right"/>
    </xf>
    <xf numFmtId="0" fontId="7" fillId="2" borderId="17" xfId="0" applyFont="1" applyFill="1" applyBorder="1" applyAlignment="1">
      <alignment horizontal="center"/>
    </xf>
    <xf numFmtId="165" fontId="7" fillId="2" borderId="18" xfId="0" applyNumberFormat="1" applyFont="1" applyFill="1" applyBorder="1" applyAlignment="1">
      <alignment horizontal="right"/>
    </xf>
    <xf numFmtId="165" fontId="7" fillId="3" borderId="18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5" borderId="11" xfId="0" applyFill="1" applyBorder="1" applyAlignment="1">
      <alignment horizontal="center"/>
    </xf>
    <xf numFmtId="165" fontId="0" fillId="5" borderId="20" xfId="0" applyNumberFormat="1" applyFill="1" applyBorder="1" applyAlignment="1">
      <alignment horizontal="center"/>
    </xf>
    <xf numFmtId="165" fontId="0" fillId="5" borderId="2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C398E-95EB-4652-AFE2-D7D4544703A9}">
  <dimension ref="A1:S44"/>
  <sheetViews>
    <sheetView tabSelected="1" workbookViewId="0">
      <selection activeCell="O3" sqref="O3"/>
    </sheetView>
  </sheetViews>
  <sheetFormatPr defaultRowHeight="15" x14ac:dyDescent="0.25"/>
  <cols>
    <col min="1" max="1" width="10.42578125" bestFit="1" customWidth="1"/>
    <col min="2" max="2" width="10.85546875" bestFit="1" customWidth="1"/>
    <col min="4" max="4" width="9.85546875" bestFit="1" customWidth="1"/>
    <col min="6" max="6" width="12.42578125" bestFit="1" customWidth="1"/>
    <col min="7" max="8" width="10.85546875" bestFit="1" customWidth="1"/>
    <col min="10" max="10" width="10.85546875" bestFit="1" customWidth="1"/>
    <col min="12" max="12" width="9.85546875" bestFit="1" customWidth="1"/>
    <col min="14" max="14" width="12.42578125" bestFit="1" customWidth="1"/>
    <col min="15" max="15" width="11.42578125" customWidth="1"/>
    <col min="16" max="16" width="10.85546875" bestFit="1" customWidth="1"/>
    <col min="17" max="17" width="10.42578125" bestFit="1" customWidth="1"/>
  </cols>
  <sheetData>
    <row r="1" spans="1:19" ht="24" thickBo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9.5" thickBot="1" x14ac:dyDescent="0.3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6" t="s">
        <v>2</v>
      </c>
      <c r="Q2" s="4"/>
      <c r="R2" s="4"/>
      <c r="S2" s="4"/>
    </row>
    <row r="3" spans="1:19" ht="63.75" thickBot="1" x14ac:dyDescent="0.3">
      <c r="A3" s="7">
        <f>'[1]Cash Variance'!A2</f>
        <v>45839</v>
      </c>
      <c r="B3" s="8" t="s">
        <v>3</v>
      </c>
      <c r="C3" s="8" t="s">
        <v>4</v>
      </c>
      <c r="D3" s="9" t="s">
        <v>5</v>
      </c>
      <c r="E3" s="9" t="s">
        <v>6</v>
      </c>
      <c r="F3" s="10" t="s">
        <v>7</v>
      </c>
      <c r="G3" s="9" t="s">
        <v>8</v>
      </c>
      <c r="H3" s="9" t="s">
        <v>9</v>
      </c>
      <c r="I3" s="9" t="s">
        <v>10</v>
      </c>
      <c r="J3" s="11" t="s">
        <v>11</v>
      </c>
      <c r="K3" s="11" t="s">
        <v>12</v>
      </c>
      <c r="L3" s="11" t="s">
        <v>13</v>
      </c>
      <c r="M3" s="9" t="s">
        <v>14</v>
      </c>
      <c r="N3" s="12" t="s">
        <v>15</v>
      </c>
      <c r="O3" s="12" t="s">
        <v>16</v>
      </c>
      <c r="P3" s="9" t="s">
        <v>17</v>
      </c>
      <c r="Q3" s="9" t="s">
        <v>18</v>
      </c>
      <c r="R3" s="9" t="s">
        <v>19</v>
      </c>
      <c r="S3" s="12" t="s">
        <v>20</v>
      </c>
    </row>
    <row r="4" spans="1:19" x14ac:dyDescent="0.25">
      <c r="A4" s="13">
        <f>'[1]Cash Variance'!A3</f>
        <v>45839</v>
      </c>
      <c r="B4" s="14">
        <v>3073.87</v>
      </c>
      <c r="C4" s="14">
        <v>43.69</v>
      </c>
      <c r="D4" s="15">
        <v>246.11</v>
      </c>
      <c r="E4" s="15">
        <v>14.01</v>
      </c>
      <c r="F4" s="16">
        <f>SUM(B4:E4)</f>
        <v>3377.6800000000003</v>
      </c>
      <c r="G4" s="15">
        <v>812.82</v>
      </c>
      <c r="H4" s="15">
        <f>1929.14-6.8</f>
        <v>1922.3400000000001</v>
      </c>
      <c r="I4" s="15">
        <v>123.05</v>
      </c>
      <c r="J4" s="15">
        <v>405.4</v>
      </c>
      <c r="K4" s="15">
        <v>0</v>
      </c>
      <c r="L4" s="15">
        <v>114.07</v>
      </c>
      <c r="M4" s="15">
        <v>0</v>
      </c>
      <c r="N4" s="17">
        <f t="shared" ref="N4:N34" si="0">SUM(G4:M4)</f>
        <v>3377.6800000000007</v>
      </c>
      <c r="O4" s="17">
        <f t="shared" ref="O4:O34" si="1">+F4-N4</f>
        <v>0</v>
      </c>
      <c r="P4" s="15">
        <v>795.58</v>
      </c>
      <c r="Q4" s="18">
        <v>45845</v>
      </c>
      <c r="R4" s="15"/>
      <c r="S4" s="19">
        <f t="shared" ref="S4:S34" si="2">P4-G4-R4</f>
        <v>-17.240000000000009</v>
      </c>
    </row>
    <row r="5" spans="1:19" x14ac:dyDescent="0.25">
      <c r="A5" s="13">
        <f>'[1]Cash Variance'!A4</f>
        <v>45840</v>
      </c>
      <c r="B5" s="14">
        <v>3295.72</v>
      </c>
      <c r="C5" s="15">
        <v>14.94</v>
      </c>
      <c r="D5" s="15">
        <v>263.87</v>
      </c>
      <c r="E5" s="15">
        <v>28.71</v>
      </c>
      <c r="F5" s="16">
        <f>SUM(B5:E5)</f>
        <v>3603.24</v>
      </c>
      <c r="G5" s="15">
        <v>727.08</v>
      </c>
      <c r="H5" s="15">
        <f>2093.79-2.48</f>
        <v>2091.31</v>
      </c>
      <c r="I5" s="15">
        <v>8.6300000000000008</v>
      </c>
      <c r="J5" s="15">
        <v>746.52</v>
      </c>
      <c r="K5" s="15">
        <v>0</v>
      </c>
      <c r="L5" s="15">
        <v>14.7</v>
      </c>
      <c r="M5" s="15">
        <v>15</v>
      </c>
      <c r="N5" s="17">
        <f t="shared" si="0"/>
        <v>3603.24</v>
      </c>
      <c r="O5" s="17">
        <f t="shared" si="1"/>
        <v>0</v>
      </c>
      <c r="P5" s="20">
        <v>669.65</v>
      </c>
      <c r="Q5" s="21">
        <v>45848</v>
      </c>
      <c r="R5" s="15"/>
      <c r="S5" s="19">
        <f t="shared" si="2"/>
        <v>-57.430000000000064</v>
      </c>
    </row>
    <row r="6" spans="1:19" x14ac:dyDescent="0.25">
      <c r="A6" s="13">
        <f>'[1]Cash Variance'!A5</f>
        <v>45841</v>
      </c>
      <c r="B6" s="14">
        <v>4790.6000000000004</v>
      </c>
      <c r="C6" s="14">
        <v>33.5</v>
      </c>
      <c r="D6" s="15">
        <v>383.58</v>
      </c>
      <c r="E6" s="15">
        <v>11.31</v>
      </c>
      <c r="F6" s="16">
        <f t="shared" ref="F6:F34" si="3">SUM(B6:E6)</f>
        <v>5218.9900000000007</v>
      </c>
      <c r="G6" s="15">
        <v>1146.8699999999999</v>
      </c>
      <c r="H6" s="15">
        <f>3301.53-9.01</f>
        <v>3292.52</v>
      </c>
      <c r="I6" s="15">
        <v>40.450000000000003</v>
      </c>
      <c r="J6" s="15">
        <v>652.04999999999995</v>
      </c>
      <c r="K6" s="15">
        <v>0</v>
      </c>
      <c r="L6" s="15">
        <v>79.010000000000005</v>
      </c>
      <c r="M6" s="15">
        <v>8.09</v>
      </c>
      <c r="N6" s="17">
        <f t="shared" si="0"/>
        <v>5218.99</v>
      </c>
      <c r="O6" s="17">
        <f t="shared" si="1"/>
        <v>0</v>
      </c>
      <c r="P6" s="20">
        <v>1130</v>
      </c>
      <c r="Q6" s="21">
        <v>45845</v>
      </c>
      <c r="R6" s="22"/>
      <c r="S6" s="19">
        <f t="shared" si="2"/>
        <v>-16.869999999999891</v>
      </c>
    </row>
    <row r="7" spans="1:19" x14ac:dyDescent="0.25">
      <c r="A7" s="13">
        <f>'[1]Cash Variance'!A6</f>
        <v>45842</v>
      </c>
      <c r="B7" s="14">
        <v>2479.61</v>
      </c>
      <c r="C7" s="14">
        <v>59.67</v>
      </c>
      <c r="D7" s="15">
        <v>198.49</v>
      </c>
      <c r="E7" s="15">
        <v>17.3</v>
      </c>
      <c r="F7" s="16">
        <f>SUM(B7:E7)</f>
        <v>2755.0700000000006</v>
      </c>
      <c r="G7" s="15">
        <v>751.07</v>
      </c>
      <c r="H7" s="15">
        <f>1364.41-6.51</f>
        <v>1357.9</v>
      </c>
      <c r="I7" s="15">
        <v>34.409999999999997</v>
      </c>
      <c r="J7" s="15">
        <v>497.06</v>
      </c>
      <c r="K7" s="15">
        <v>21.91</v>
      </c>
      <c r="L7" s="15">
        <v>92.72</v>
      </c>
      <c r="M7" s="15">
        <v>0</v>
      </c>
      <c r="N7" s="17">
        <f t="shared" si="0"/>
        <v>2755.0699999999997</v>
      </c>
      <c r="O7" s="17">
        <f t="shared" si="1"/>
        <v>0</v>
      </c>
      <c r="P7" s="20">
        <v>740</v>
      </c>
      <c r="Q7" s="21">
        <v>45848</v>
      </c>
      <c r="R7" s="22"/>
      <c r="S7" s="19">
        <f t="shared" si="2"/>
        <v>-11.07000000000005</v>
      </c>
    </row>
    <row r="8" spans="1:19" x14ac:dyDescent="0.25">
      <c r="A8" s="13">
        <f>'[1]Cash Variance'!A7</f>
        <v>45843</v>
      </c>
      <c r="B8" s="14">
        <v>2617.1999999999998</v>
      </c>
      <c r="C8" s="14">
        <v>8.82</v>
      </c>
      <c r="D8" s="15">
        <v>209.54</v>
      </c>
      <c r="E8" s="15">
        <v>17.510000000000002</v>
      </c>
      <c r="F8" s="16">
        <f t="shared" si="3"/>
        <v>2853.07</v>
      </c>
      <c r="G8" s="15">
        <v>660.4</v>
      </c>
      <c r="H8" s="15">
        <f>1782.73-2.24</f>
        <v>1780.49</v>
      </c>
      <c r="I8" s="15">
        <v>8.6300000000000008</v>
      </c>
      <c r="J8" s="15">
        <v>385.9</v>
      </c>
      <c r="K8" s="15">
        <v>0</v>
      </c>
      <c r="L8" s="15">
        <v>17.649999999999999</v>
      </c>
      <c r="M8" s="15">
        <v>0</v>
      </c>
      <c r="N8" s="17">
        <f t="shared" si="0"/>
        <v>2853.07</v>
      </c>
      <c r="O8" s="17">
        <f t="shared" si="1"/>
        <v>0</v>
      </c>
      <c r="P8" s="20">
        <v>662.06</v>
      </c>
      <c r="Q8" s="21">
        <v>45848</v>
      </c>
      <c r="R8" s="22"/>
      <c r="S8" s="19">
        <f t="shared" si="2"/>
        <v>1.6599999999999682</v>
      </c>
    </row>
    <row r="9" spans="1:19" x14ac:dyDescent="0.25">
      <c r="A9" s="13">
        <f>'[1]Cash Variance'!A8</f>
        <v>45844</v>
      </c>
      <c r="B9" s="14">
        <v>2980.18</v>
      </c>
      <c r="C9" s="14">
        <v>5.37</v>
      </c>
      <c r="D9" s="15">
        <v>238.67</v>
      </c>
      <c r="E9" s="15">
        <v>22.09</v>
      </c>
      <c r="F9" s="16">
        <f t="shared" si="3"/>
        <v>3246.31</v>
      </c>
      <c r="G9" s="15">
        <v>723.22</v>
      </c>
      <c r="H9" s="15">
        <v>1989.64</v>
      </c>
      <c r="I9" s="15">
        <v>16.559999999999999</v>
      </c>
      <c r="J9" s="15">
        <v>405.59</v>
      </c>
      <c r="K9" s="15">
        <v>31.81</v>
      </c>
      <c r="L9" s="15">
        <v>79.459999999999994</v>
      </c>
      <c r="M9" s="15">
        <v>0</v>
      </c>
      <c r="N9" s="17">
        <f t="shared" si="0"/>
        <v>3246.28</v>
      </c>
      <c r="O9" s="17">
        <f t="shared" si="1"/>
        <v>2.9999999999745341E-2</v>
      </c>
      <c r="P9" s="23">
        <v>726.27</v>
      </c>
      <c r="Q9" s="21">
        <v>45845</v>
      </c>
      <c r="R9" s="22"/>
      <c r="S9" s="19">
        <f t="shared" si="2"/>
        <v>3.0499999999999545</v>
      </c>
    </row>
    <row r="10" spans="1:19" x14ac:dyDescent="0.25">
      <c r="A10" s="13">
        <v>45815</v>
      </c>
      <c r="B10" s="14">
        <v>2392.9699999999998</v>
      </c>
      <c r="C10" s="14">
        <v>0</v>
      </c>
      <c r="D10" s="15">
        <v>191.63</v>
      </c>
      <c r="E10" s="15">
        <v>16.3</v>
      </c>
      <c r="F10" s="16">
        <f t="shared" si="3"/>
        <v>2600.9</v>
      </c>
      <c r="G10" s="15">
        <v>601.61</v>
      </c>
      <c r="H10" s="15">
        <f>1538.03-4.96</f>
        <v>1533.07</v>
      </c>
      <c r="I10" s="15">
        <v>47.59</v>
      </c>
      <c r="J10" s="15">
        <v>368.61</v>
      </c>
      <c r="K10" s="15">
        <v>0</v>
      </c>
      <c r="L10" s="15">
        <v>40.020000000000003</v>
      </c>
      <c r="M10" s="15">
        <v>10</v>
      </c>
      <c r="N10" s="17">
        <f t="shared" si="0"/>
        <v>2600.9</v>
      </c>
      <c r="O10" s="17">
        <f t="shared" si="1"/>
        <v>0</v>
      </c>
      <c r="P10" s="15">
        <v>674.76</v>
      </c>
      <c r="Q10" s="21">
        <v>45848</v>
      </c>
      <c r="R10" s="22"/>
      <c r="S10" s="19">
        <f t="shared" si="2"/>
        <v>73.149999999999977</v>
      </c>
    </row>
    <row r="11" spans="1:19" x14ac:dyDescent="0.25">
      <c r="A11" s="13">
        <f>'[1]Cash Variance'!A10</f>
        <v>45846</v>
      </c>
      <c r="B11" s="14">
        <v>2893.77</v>
      </c>
      <c r="C11" s="14">
        <v>16.18</v>
      </c>
      <c r="D11" s="24">
        <v>231.74</v>
      </c>
      <c r="E11" s="15">
        <v>3</v>
      </c>
      <c r="F11" s="16">
        <f t="shared" si="3"/>
        <v>3144.6899999999996</v>
      </c>
      <c r="G11" s="15">
        <v>734.16</v>
      </c>
      <c r="H11" s="15">
        <f>1987.51-1.73</f>
        <v>1985.78</v>
      </c>
      <c r="I11" s="15">
        <v>28.58</v>
      </c>
      <c r="J11" s="15">
        <v>304.54000000000002</v>
      </c>
      <c r="K11" s="15">
        <v>38.69</v>
      </c>
      <c r="L11" s="15">
        <v>50.94</v>
      </c>
      <c r="M11" s="15">
        <v>0</v>
      </c>
      <c r="N11" s="17">
        <f t="shared" si="0"/>
        <v>3142.69</v>
      </c>
      <c r="O11" s="17">
        <f t="shared" si="1"/>
        <v>1.9999999999995453</v>
      </c>
      <c r="P11" s="20">
        <v>736</v>
      </c>
      <c r="Q11" s="21">
        <v>45848</v>
      </c>
      <c r="R11" s="22"/>
      <c r="S11" s="19">
        <f t="shared" si="2"/>
        <v>1.8400000000000318</v>
      </c>
    </row>
    <row r="12" spans="1:19" x14ac:dyDescent="0.25">
      <c r="A12" s="13">
        <f>'[1]Cash Variance'!A11</f>
        <v>45847</v>
      </c>
      <c r="B12" s="14">
        <v>2687.97</v>
      </c>
      <c r="C12" s="14">
        <v>0</v>
      </c>
      <c r="D12" s="24">
        <v>215.26</v>
      </c>
      <c r="E12" s="15">
        <v>7</v>
      </c>
      <c r="F12" s="16">
        <f t="shared" si="3"/>
        <v>2910.2299999999996</v>
      </c>
      <c r="G12" s="15">
        <v>752.13</v>
      </c>
      <c r="H12" s="15">
        <f>1605.31-6.93</f>
        <v>1598.3799999999999</v>
      </c>
      <c r="I12" s="15">
        <v>0</v>
      </c>
      <c r="J12" s="15">
        <v>378.55</v>
      </c>
      <c r="K12" s="15">
        <v>0</v>
      </c>
      <c r="L12" s="15">
        <v>168.77</v>
      </c>
      <c r="M12" s="15">
        <v>12.4</v>
      </c>
      <c r="N12" s="17">
        <f t="shared" si="0"/>
        <v>2910.23</v>
      </c>
      <c r="O12" s="17">
        <f t="shared" si="1"/>
        <v>0</v>
      </c>
      <c r="P12" s="15">
        <v>793</v>
      </c>
      <c r="Q12" s="21">
        <v>45848</v>
      </c>
      <c r="R12" s="22"/>
      <c r="S12" s="19">
        <f t="shared" si="2"/>
        <v>40.870000000000005</v>
      </c>
    </row>
    <row r="13" spans="1:19" x14ac:dyDescent="0.25">
      <c r="A13" s="13">
        <f>'[1]Cash Variance'!A12</f>
        <v>45848</v>
      </c>
      <c r="B13" s="14">
        <v>3134.61</v>
      </c>
      <c r="C13" s="14">
        <v>22.53</v>
      </c>
      <c r="D13" s="15">
        <v>250.91</v>
      </c>
      <c r="E13" s="15">
        <v>2.95</v>
      </c>
      <c r="F13" s="16">
        <f t="shared" si="3"/>
        <v>3411</v>
      </c>
      <c r="G13" s="15">
        <v>864.71</v>
      </c>
      <c r="H13" s="15">
        <f>2036.79-2.35</f>
        <v>2034.44</v>
      </c>
      <c r="I13" s="15">
        <v>0</v>
      </c>
      <c r="J13" s="15">
        <v>444.7</v>
      </c>
      <c r="K13" s="15">
        <v>0</v>
      </c>
      <c r="L13" s="15">
        <v>60.14</v>
      </c>
      <c r="M13" s="15">
        <v>7.01</v>
      </c>
      <c r="N13" s="17">
        <f t="shared" si="0"/>
        <v>3411</v>
      </c>
      <c r="O13" s="17">
        <f t="shared" si="1"/>
        <v>0</v>
      </c>
      <c r="P13" s="15">
        <v>864.65</v>
      </c>
      <c r="Q13" s="25">
        <v>45852</v>
      </c>
      <c r="R13" s="22"/>
      <c r="S13" s="19">
        <f t="shared" si="2"/>
        <v>-6.0000000000059117E-2</v>
      </c>
    </row>
    <row r="14" spans="1:19" x14ac:dyDescent="0.25">
      <c r="A14" s="13">
        <f>'[1]Cash Variance'!A13</f>
        <v>45849</v>
      </c>
      <c r="B14" s="14">
        <v>3199.47</v>
      </c>
      <c r="C14" s="14">
        <f>19.64+14.98</f>
        <v>34.620000000000005</v>
      </c>
      <c r="D14" s="15">
        <v>256.16000000000003</v>
      </c>
      <c r="E14" s="15">
        <v>16.059999999999999</v>
      </c>
      <c r="F14" s="16">
        <f t="shared" si="3"/>
        <v>3506.3099999999995</v>
      </c>
      <c r="G14" s="15">
        <v>800.58</v>
      </c>
      <c r="H14" s="15">
        <f>1953.77-3.56</f>
        <v>1950.21</v>
      </c>
      <c r="I14" s="15">
        <v>36.04</v>
      </c>
      <c r="J14" s="15">
        <v>626.17999999999995</v>
      </c>
      <c r="K14" s="15">
        <v>0</v>
      </c>
      <c r="L14" s="15">
        <v>90.62</v>
      </c>
      <c r="M14" s="15">
        <v>2.68</v>
      </c>
      <c r="N14" s="17">
        <f t="shared" si="0"/>
        <v>3506.3099999999995</v>
      </c>
      <c r="O14" s="17">
        <f t="shared" si="1"/>
        <v>0</v>
      </c>
      <c r="P14" s="26">
        <v>800</v>
      </c>
      <c r="Q14" s="25">
        <v>45852</v>
      </c>
      <c r="R14" s="22"/>
      <c r="S14" s="19">
        <f t="shared" si="2"/>
        <v>-0.58000000000004093</v>
      </c>
    </row>
    <row r="15" spans="1:19" x14ac:dyDescent="0.25">
      <c r="A15" s="13">
        <f>'[1]Cash Variance'!A14</f>
        <v>45850</v>
      </c>
      <c r="B15" s="14">
        <v>3133.1</v>
      </c>
      <c r="C15" s="14">
        <v>37.08</v>
      </c>
      <c r="D15" s="15">
        <v>250.85</v>
      </c>
      <c r="E15" s="15">
        <v>5.31</v>
      </c>
      <c r="F15" s="16">
        <f t="shared" si="3"/>
        <v>3426.3399999999997</v>
      </c>
      <c r="G15" s="15">
        <v>614.66</v>
      </c>
      <c r="H15" s="15">
        <f>2218.16-3.65</f>
        <v>2214.5099999999998</v>
      </c>
      <c r="I15" s="15">
        <v>30.21</v>
      </c>
      <c r="J15" s="15">
        <v>487.69</v>
      </c>
      <c r="K15" s="15">
        <v>43.83</v>
      </c>
      <c r="L15" s="15">
        <v>26.27</v>
      </c>
      <c r="M15" s="15">
        <v>9.17</v>
      </c>
      <c r="N15" s="17">
        <f t="shared" si="0"/>
        <v>3426.3399999999997</v>
      </c>
      <c r="O15" s="17">
        <f t="shared" si="1"/>
        <v>0</v>
      </c>
      <c r="P15">
        <v>614</v>
      </c>
      <c r="Q15" s="25">
        <v>45852</v>
      </c>
      <c r="R15" s="15"/>
      <c r="S15" s="19">
        <f t="shared" si="2"/>
        <v>-0.65999999999996817</v>
      </c>
    </row>
    <row r="16" spans="1:19" x14ac:dyDescent="0.25">
      <c r="A16" s="13">
        <f>'[1]Cash Variance'!A15</f>
        <v>45851</v>
      </c>
      <c r="B16" s="14">
        <v>3344.94</v>
      </c>
      <c r="C16" s="14">
        <v>15.31</v>
      </c>
      <c r="D16" s="15">
        <v>267.76</v>
      </c>
      <c r="E16" s="15">
        <v>38.450000000000003</v>
      </c>
      <c r="F16" s="16">
        <f t="shared" si="3"/>
        <v>3666.46</v>
      </c>
      <c r="G16" s="15">
        <v>994.44</v>
      </c>
      <c r="H16" s="15">
        <v>2025.12</v>
      </c>
      <c r="I16" s="15">
        <v>41</v>
      </c>
      <c r="J16" s="15">
        <v>606.66</v>
      </c>
      <c r="K16" s="15">
        <v>0</v>
      </c>
      <c r="L16" s="15">
        <v>0</v>
      </c>
      <c r="M16" s="15">
        <v>0</v>
      </c>
      <c r="N16" s="17">
        <f t="shared" si="0"/>
        <v>3667.22</v>
      </c>
      <c r="O16" s="17">
        <f t="shared" si="1"/>
        <v>-0.75999999999976353</v>
      </c>
      <c r="P16">
        <v>995</v>
      </c>
      <c r="Q16" s="25">
        <v>45852</v>
      </c>
      <c r="R16" s="15"/>
      <c r="S16" s="19">
        <f t="shared" si="2"/>
        <v>0.55999999999994543</v>
      </c>
    </row>
    <row r="17" spans="1:19" x14ac:dyDescent="0.25">
      <c r="A17" s="13">
        <f>'[1]Cash Variance'!A16</f>
        <v>45852</v>
      </c>
      <c r="B17" s="14">
        <v>2367.71</v>
      </c>
      <c r="C17" s="14">
        <v>0</v>
      </c>
      <c r="D17" s="15">
        <v>189.56</v>
      </c>
      <c r="E17" s="15">
        <v>27.45</v>
      </c>
      <c r="F17" s="16">
        <f t="shared" si="3"/>
        <v>2584.7199999999998</v>
      </c>
      <c r="G17" s="15">
        <v>562.97</v>
      </c>
      <c r="H17" s="15">
        <v>1545.11</v>
      </c>
      <c r="I17" s="15">
        <v>0</v>
      </c>
      <c r="J17" s="15">
        <v>399.42</v>
      </c>
      <c r="K17" s="15">
        <v>0</v>
      </c>
      <c r="L17" s="15">
        <v>63.19</v>
      </c>
      <c r="M17" s="15">
        <v>14.02</v>
      </c>
      <c r="N17" s="17">
        <f t="shared" si="0"/>
        <v>2584.71</v>
      </c>
      <c r="O17" s="17">
        <f t="shared" si="1"/>
        <v>9.9999999997635314E-3</v>
      </c>
      <c r="P17">
        <v>498.35</v>
      </c>
      <c r="Q17" s="18">
        <v>45855</v>
      </c>
      <c r="R17" s="15"/>
      <c r="S17" s="19">
        <f t="shared" si="2"/>
        <v>-64.62</v>
      </c>
    </row>
    <row r="18" spans="1:19" x14ac:dyDescent="0.25">
      <c r="A18" s="13">
        <f>'[1]Cash Variance'!A17</f>
        <v>45853</v>
      </c>
      <c r="B18" s="14">
        <v>2336.5100000000002</v>
      </c>
      <c r="C18" s="14">
        <v>13.47</v>
      </c>
      <c r="D18" s="15">
        <v>187.04</v>
      </c>
      <c r="E18" s="15">
        <v>8.4499999999999993</v>
      </c>
      <c r="F18" s="16">
        <f t="shared" si="3"/>
        <v>2545.4699999999998</v>
      </c>
      <c r="G18" s="15">
        <v>782.68</v>
      </c>
      <c r="H18" s="15">
        <v>1477.44</v>
      </c>
      <c r="I18" s="15">
        <v>0</v>
      </c>
      <c r="J18" s="15">
        <v>285.3</v>
      </c>
      <c r="K18" s="15">
        <v>0</v>
      </c>
      <c r="L18" s="15">
        <v>0</v>
      </c>
      <c r="M18" s="15">
        <v>0</v>
      </c>
      <c r="N18" s="17">
        <f t="shared" si="0"/>
        <v>2545.42</v>
      </c>
      <c r="O18" s="17">
        <f t="shared" si="1"/>
        <v>4.9999999999727152E-2</v>
      </c>
      <c r="P18" s="15">
        <v>781.9</v>
      </c>
      <c r="Q18" s="18">
        <v>45855</v>
      </c>
      <c r="R18" s="22"/>
      <c r="S18" s="19">
        <f t="shared" si="2"/>
        <v>-0.77999999999997272</v>
      </c>
    </row>
    <row r="19" spans="1:19" x14ac:dyDescent="0.25">
      <c r="A19" s="13">
        <f>'[1]Cash Variance'!A18</f>
        <v>45854</v>
      </c>
      <c r="B19" s="14">
        <v>2929.84</v>
      </c>
      <c r="C19" s="14">
        <v>22.77</v>
      </c>
      <c r="D19" s="15">
        <v>232.81</v>
      </c>
      <c r="E19" s="15">
        <v>14.75</v>
      </c>
      <c r="F19" s="16">
        <f t="shared" si="3"/>
        <v>3200.17</v>
      </c>
      <c r="G19" s="15">
        <v>443.08</v>
      </c>
      <c r="H19" s="15">
        <f>2050.81-5.02</f>
        <v>2045.79</v>
      </c>
      <c r="I19" s="15">
        <v>22.85</v>
      </c>
      <c r="J19" s="15">
        <v>626.97</v>
      </c>
      <c r="K19" s="15">
        <v>0</v>
      </c>
      <c r="L19" s="15">
        <v>61.48</v>
      </c>
      <c r="M19" s="15">
        <v>0</v>
      </c>
      <c r="N19" s="17">
        <f t="shared" si="0"/>
        <v>3200.1699999999996</v>
      </c>
      <c r="O19" s="17">
        <f t="shared" si="1"/>
        <v>0</v>
      </c>
      <c r="P19" s="15">
        <v>444.29</v>
      </c>
      <c r="Q19" s="18">
        <v>45855</v>
      </c>
      <c r="R19" s="22"/>
      <c r="S19" s="19">
        <f t="shared" si="2"/>
        <v>1.2100000000000364</v>
      </c>
    </row>
    <row r="20" spans="1:19" x14ac:dyDescent="0.25">
      <c r="A20" s="13">
        <f>'[1]Cash Variance'!A19</f>
        <v>45855</v>
      </c>
      <c r="B20" s="14">
        <v>3202.09</v>
      </c>
      <c r="C20" s="14">
        <v>14.05</v>
      </c>
      <c r="D20" s="15">
        <v>256.37</v>
      </c>
      <c r="E20" s="15">
        <v>29.44</v>
      </c>
      <c r="F20" s="16">
        <f t="shared" si="3"/>
        <v>3501.9500000000003</v>
      </c>
      <c r="G20" s="15">
        <v>537.32000000000005</v>
      </c>
      <c r="H20" s="15">
        <v>2222.23</v>
      </c>
      <c r="I20" s="15">
        <v>64.040000000000006</v>
      </c>
      <c r="J20" s="15">
        <v>616.14</v>
      </c>
      <c r="K20" s="15">
        <v>0</v>
      </c>
      <c r="L20" s="15">
        <v>62.44</v>
      </c>
      <c r="M20" s="15">
        <v>0</v>
      </c>
      <c r="N20" s="17">
        <f t="shared" si="0"/>
        <v>3502.17</v>
      </c>
      <c r="O20" s="17">
        <f t="shared" si="1"/>
        <v>-0.21999999999979991</v>
      </c>
      <c r="P20">
        <v>531.91</v>
      </c>
      <c r="Q20" s="25">
        <v>45863</v>
      </c>
      <c r="R20" s="22"/>
      <c r="S20" s="19">
        <f t="shared" si="2"/>
        <v>-5.4100000000000819</v>
      </c>
    </row>
    <row r="21" spans="1:19" x14ac:dyDescent="0.25">
      <c r="A21" s="13">
        <f>'[1]Cash Variance'!A20</f>
        <v>45856</v>
      </c>
      <c r="B21" s="14">
        <v>4316.63</v>
      </c>
      <c r="C21" s="14">
        <v>31.96</v>
      </c>
      <c r="D21" s="15">
        <v>345.61</v>
      </c>
      <c r="E21" s="15">
        <v>36.46</v>
      </c>
      <c r="F21" s="16">
        <f t="shared" si="3"/>
        <v>4730.66</v>
      </c>
      <c r="G21" s="15">
        <v>940.87</v>
      </c>
      <c r="H21" s="15">
        <f>3062.2-7.91</f>
        <v>3054.29</v>
      </c>
      <c r="I21" s="15">
        <v>0</v>
      </c>
      <c r="J21" s="15">
        <v>621.04999999999995</v>
      </c>
      <c r="K21" s="15">
        <v>0</v>
      </c>
      <c r="L21" s="15">
        <v>114.45</v>
      </c>
      <c r="M21" s="15">
        <v>0</v>
      </c>
      <c r="N21" s="17">
        <f t="shared" si="0"/>
        <v>4730.66</v>
      </c>
      <c r="O21" s="17">
        <f t="shared" si="1"/>
        <v>0</v>
      </c>
      <c r="P21" s="15">
        <v>939.91</v>
      </c>
      <c r="Q21" s="25">
        <v>45863</v>
      </c>
      <c r="R21" s="22"/>
      <c r="S21" s="19">
        <f t="shared" si="2"/>
        <v>-0.96000000000003638</v>
      </c>
    </row>
    <row r="22" spans="1:19" x14ac:dyDescent="0.25">
      <c r="A22" s="13">
        <f>'[1]Cash Variance'!A21</f>
        <v>45857</v>
      </c>
      <c r="B22" s="14">
        <v>2944.97</v>
      </c>
      <c r="C22" s="14">
        <v>14.23</v>
      </c>
      <c r="D22" s="15">
        <v>235.78</v>
      </c>
      <c r="E22" s="15">
        <v>11.14</v>
      </c>
      <c r="F22" s="16">
        <f t="shared" si="3"/>
        <v>3206.12</v>
      </c>
      <c r="G22" s="15">
        <v>499.59</v>
      </c>
      <c r="H22" s="15">
        <v>2085.0100000000002</v>
      </c>
      <c r="I22" s="15">
        <v>81.209999999999994</v>
      </c>
      <c r="J22" s="15">
        <v>437.09</v>
      </c>
      <c r="K22" s="15">
        <v>0</v>
      </c>
      <c r="L22" s="15">
        <v>103.87</v>
      </c>
      <c r="M22" s="15">
        <v>0</v>
      </c>
      <c r="N22" s="17">
        <f t="shared" si="0"/>
        <v>3206.7700000000004</v>
      </c>
      <c r="O22" s="17">
        <f t="shared" si="1"/>
        <v>-0.6500000000005457</v>
      </c>
      <c r="P22">
        <v>497.24</v>
      </c>
      <c r="Q22" s="25">
        <v>45863</v>
      </c>
      <c r="R22" s="22"/>
      <c r="S22" s="19">
        <f t="shared" si="2"/>
        <v>-2.3499999999999659</v>
      </c>
    </row>
    <row r="23" spans="1:19" x14ac:dyDescent="0.25">
      <c r="A23" s="13">
        <f>'[1]Cash Variance'!A22</f>
        <v>45858</v>
      </c>
      <c r="B23" s="14">
        <v>2568.0700000000002</v>
      </c>
      <c r="C23" s="14">
        <v>18.37</v>
      </c>
      <c r="D23" s="15">
        <v>205.61</v>
      </c>
      <c r="E23" s="15">
        <v>14.35</v>
      </c>
      <c r="F23" s="16">
        <f t="shared" si="3"/>
        <v>2806.4</v>
      </c>
      <c r="G23" s="15">
        <v>788.16</v>
      </c>
      <c r="H23" s="15">
        <v>1550.95</v>
      </c>
      <c r="I23" s="15">
        <v>0</v>
      </c>
      <c r="J23" s="15">
        <v>315.35000000000002</v>
      </c>
      <c r="K23" s="15">
        <v>18.05</v>
      </c>
      <c r="L23" s="15">
        <v>134.31</v>
      </c>
      <c r="M23" s="15">
        <v>0</v>
      </c>
      <c r="N23" s="17">
        <f t="shared" si="0"/>
        <v>2806.82</v>
      </c>
      <c r="O23" s="17">
        <f t="shared" si="1"/>
        <v>-0.42000000000007276</v>
      </c>
      <c r="P23" s="15">
        <v>789.4</v>
      </c>
      <c r="Q23" s="25">
        <v>45863</v>
      </c>
      <c r="R23" s="22"/>
      <c r="S23" s="19">
        <f t="shared" si="2"/>
        <v>1.2400000000000091</v>
      </c>
    </row>
    <row r="24" spans="1:19" x14ac:dyDescent="0.25">
      <c r="A24" s="13">
        <f>'[1]Cash Variance'!A23</f>
        <v>45859</v>
      </c>
      <c r="B24" s="14">
        <v>2878.12</v>
      </c>
      <c r="C24" s="14">
        <v>22.76</v>
      </c>
      <c r="D24" s="15">
        <v>230.42</v>
      </c>
      <c r="E24" s="15">
        <v>12.9</v>
      </c>
      <c r="F24" s="16">
        <f t="shared" si="3"/>
        <v>3144.2000000000003</v>
      </c>
      <c r="G24" s="15">
        <v>745.86</v>
      </c>
      <c r="H24" s="15">
        <f>1477.94-1.81</f>
        <v>1476.13</v>
      </c>
      <c r="I24" s="15">
        <v>0</v>
      </c>
      <c r="J24" s="15">
        <v>817.62</v>
      </c>
      <c r="K24" s="15">
        <v>25.8</v>
      </c>
      <c r="L24" s="15">
        <v>78.790000000000006</v>
      </c>
      <c r="M24" s="15">
        <v>0</v>
      </c>
      <c r="N24" s="17">
        <f t="shared" si="0"/>
        <v>3144.2000000000003</v>
      </c>
      <c r="O24" s="17">
        <f t="shared" si="1"/>
        <v>0</v>
      </c>
      <c r="P24" s="15">
        <v>745.85</v>
      </c>
      <c r="Q24" s="25">
        <v>45863</v>
      </c>
      <c r="R24" s="22"/>
      <c r="S24" s="19">
        <f t="shared" si="2"/>
        <v>-9.9999999999909051E-3</v>
      </c>
    </row>
    <row r="25" spans="1:19" x14ac:dyDescent="0.25">
      <c r="A25" s="13">
        <f>'[1]Cash Variance'!A24</f>
        <v>45860</v>
      </c>
      <c r="B25" s="14">
        <v>2854.6</v>
      </c>
      <c r="C25" s="14">
        <v>26.44</v>
      </c>
      <c r="D25" s="15">
        <v>228.52</v>
      </c>
      <c r="E25" s="15">
        <v>12.19</v>
      </c>
      <c r="F25" s="16">
        <f t="shared" si="3"/>
        <v>3121.75</v>
      </c>
      <c r="G25" s="15">
        <v>619.15</v>
      </c>
      <c r="H25" s="15">
        <f>1865.05-2.81</f>
        <v>1862.24</v>
      </c>
      <c r="I25" s="15">
        <v>0</v>
      </c>
      <c r="J25" s="15">
        <v>520.98</v>
      </c>
      <c r="K25" s="15">
        <v>0</v>
      </c>
      <c r="L25" s="15">
        <v>119.38</v>
      </c>
      <c r="M25" s="15">
        <v>0</v>
      </c>
      <c r="N25" s="17">
        <f t="shared" si="0"/>
        <v>3121.75</v>
      </c>
      <c r="O25" s="17">
        <f t="shared" si="1"/>
        <v>0</v>
      </c>
      <c r="P25" s="15">
        <v>619.58000000000004</v>
      </c>
      <c r="Q25" s="25">
        <v>45863</v>
      </c>
      <c r="R25" s="22"/>
      <c r="S25" s="19">
        <f t="shared" si="2"/>
        <v>0.43000000000006366</v>
      </c>
    </row>
    <row r="26" spans="1:19" x14ac:dyDescent="0.25">
      <c r="A26" s="13">
        <f>'[1]Cash Variance'!A25</f>
        <v>45861</v>
      </c>
      <c r="B26" s="14">
        <v>3099.97</v>
      </c>
      <c r="C26" s="14">
        <v>25.95</v>
      </c>
      <c r="D26" s="15">
        <v>248.22</v>
      </c>
      <c r="E26" s="15">
        <v>35.200000000000003</v>
      </c>
      <c r="F26" s="16">
        <f t="shared" si="3"/>
        <v>3409.3399999999992</v>
      </c>
      <c r="G26" s="15">
        <v>694.45</v>
      </c>
      <c r="H26" s="15">
        <f>2319.55-2.4</f>
        <v>2317.15</v>
      </c>
      <c r="I26" s="15">
        <v>0</v>
      </c>
      <c r="J26" s="15">
        <v>329.49</v>
      </c>
      <c r="K26" s="15">
        <v>0</v>
      </c>
      <c r="L26" s="15">
        <v>68.25</v>
      </c>
      <c r="M26" s="15">
        <v>0</v>
      </c>
      <c r="N26" s="17">
        <f t="shared" si="0"/>
        <v>3409.34</v>
      </c>
      <c r="O26" s="17">
        <f t="shared" si="1"/>
        <v>0</v>
      </c>
      <c r="P26">
        <v>694.06</v>
      </c>
      <c r="Q26" s="25">
        <v>45863</v>
      </c>
      <c r="R26" s="22"/>
      <c r="S26" s="19">
        <f t="shared" si="2"/>
        <v>-0.39000000000010004</v>
      </c>
    </row>
    <row r="27" spans="1:19" x14ac:dyDescent="0.25">
      <c r="A27" s="13">
        <f>'[1]Cash Variance'!A26</f>
        <v>45862</v>
      </c>
      <c r="B27" s="14">
        <v>3353.12</v>
      </c>
      <c r="C27" s="14">
        <v>23.37</v>
      </c>
      <c r="D27" s="15">
        <v>268.45999999999998</v>
      </c>
      <c r="E27" s="15">
        <v>17.72</v>
      </c>
      <c r="F27" s="16">
        <f t="shared" si="3"/>
        <v>3662.6699999999996</v>
      </c>
      <c r="G27" s="15">
        <v>620.46</v>
      </c>
      <c r="H27" s="15">
        <f>2392.71-1.81</f>
        <v>2390.9</v>
      </c>
      <c r="I27" s="15">
        <v>0</v>
      </c>
      <c r="J27" s="15">
        <v>521.01</v>
      </c>
      <c r="K27" s="15">
        <v>0</v>
      </c>
      <c r="L27" s="15">
        <v>100.3</v>
      </c>
      <c r="M27" s="15">
        <v>30</v>
      </c>
      <c r="N27" s="17">
        <f t="shared" si="0"/>
        <v>3662.67</v>
      </c>
      <c r="O27" s="17">
        <f t="shared" si="1"/>
        <v>0</v>
      </c>
      <c r="P27" s="15">
        <v>620.57000000000005</v>
      </c>
      <c r="Q27" s="25">
        <v>45863</v>
      </c>
      <c r="R27" s="22"/>
      <c r="S27" s="19">
        <f t="shared" si="2"/>
        <v>0.11000000000001364</v>
      </c>
    </row>
    <row r="28" spans="1:19" x14ac:dyDescent="0.25">
      <c r="A28" s="13">
        <f>'[1]Cash Variance'!A27</f>
        <v>45863</v>
      </c>
      <c r="B28" s="15">
        <v>3298.26</v>
      </c>
      <c r="C28" s="15">
        <v>17.96</v>
      </c>
      <c r="D28" s="15">
        <v>264.07</v>
      </c>
      <c r="E28" s="15">
        <v>13.05</v>
      </c>
      <c r="F28" s="16">
        <f t="shared" si="3"/>
        <v>3593.3400000000006</v>
      </c>
      <c r="G28" s="15">
        <v>890.93</v>
      </c>
      <c r="H28" s="15">
        <f>2120.9-2.74</f>
        <v>2118.1600000000003</v>
      </c>
      <c r="I28" s="15">
        <v>0</v>
      </c>
      <c r="J28" s="15">
        <v>527.01</v>
      </c>
      <c r="K28" s="15">
        <v>31.57</v>
      </c>
      <c r="L28" s="15">
        <v>25.67</v>
      </c>
      <c r="M28" s="15">
        <v>0</v>
      </c>
      <c r="N28" s="17">
        <f t="shared" si="0"/>
        <v>3593.3400000000006</v>
      </c>
      <c r="O28" s="17">
        <f t="shared" si="1"/>
        <v>0</v>
      </c>
      <c r="P28">
        <v>890.15</v>
      </c>
      <c r="Q28" s="25">
        <v>45870</v>
      </c>
      <c r="R28" s="22"/>
      <c r="S28" s="19">
        <f t="shared" si="2"/>
        <v>-0.77999999999997272</v>
      </c>
    </row>
    <row r="29" spans="1:19" x14ac:dyDescent="0.25">
      <c r="A29" s="13">
        <f>'[1]Cash Variance'!A28</f>
        <v>45864</v>
      </c>
      <c r="B29" s="14">
        <v>3272.62</v>
      </c>
      <c r="C29" s="15">
        <v>26.38</v>
      </c>
      <c r="D29" s="15">
        <v>262</v>
      </c>
      <c r="E29" s="15">
        <v>5.5</v>
      </c>
      <c r="F29" s="16">
        <f t="shared" si="3"/>
        <v>3566.5</v>
      </c>
      <c r="G29" s="15">
        <v>684.3</v>
      </c>
      <c r="H29" s="15">
        <v>2288.73</v>
      </c>
      <c r="I29" s="15">
        <v>54.48</v>
      </c>
      <c r="J29" s="15">
        <v>412.43</v>
      </c>
      <c r="K29" s="15">
        <v>21.28</v>
      </c>
      <c r="L29" s="15">
        <v>105.78</v>
      </c>
      <c r="M29" s="15">
        <v>0</v>
      </c>
      <c r="N29" s="17">
        <f t="shared" si="0"/>
        <v>3567</v>
      </c>
      <c r="O29" s="17">
        <f t="shared" si="1"/>
        <v>-0.5</v>
      </c>
      <c r="P29">
        <v>683.45</v>
      </c>
      <c r="Q29" s="25">
        <v>45870</v>
      </c>
      <c r="R29" s="22"/>
      <c r="S29" s="19">
        <f t="shared" si="2"/>
        <v>-0.84999999999990905</v>
      </c>
    </row>
    <row r="30" spans="1:19" x14ac:dyDescent="0.25">
      <c r="A30" s="13">
        <f>'[1]Cash Variance'!A29</f>
        <v>45865</v>
      </c>
      <c r="B30" s="14">
        <v>2392.58</v>
      </c>
      <c r="C30" s="14">
        <v>22.15</v>
      </c>
      <c r="D30" s="15">
        <v>191.57</v>
      </c>
      <c r="E30" s="15">
        <v>9.74</v>
      </c>
      <c r="F30" s="16">
        <f t="shared" si="3"/>
        <v>2616.04</v>
      </c>
      <c r="G30" s="15">
        <v>506.87</v>
      </c>
      <c r="H30" s="15">
        <f>1597.41-3.52</f>
        <v>1593.89</v>
      </c>
      <c r="I30" s="15">
        <v>0</v>
      </c>
      <c r="J30" s="15">
        <v>388.54</v>
      </c>
      <c r="K30" s="15">
        <v>14.18</v>
      </c>
      <c r="L30" s="15">
        <v>112.56</v>
      </c>
      <c r="M30" s="15">
        <v>0</v>
      </c>
      <c r="N30" s="17">
        <f t="shared" si="0"/>
        <v>2616.04</v>
      </c>
      <c r="O30" s="17">
        <f t="shared" si="1"/>
        <v>0</v>
      </c>
      <c r="P30">
        <v>507.02</v>
      </c>
      <c r="Q30" s="25">
        <v>45870</v>
      </c>
      <c r="R30" s="22"/>
      <c r="S30" s="19">
        <f t="shared" si="2"/>
        <v>0.14999999999997726</v>
      </c>
    </row>
    <row r="31" spans="1:19" x14ac:dyDescent="0.25">
      <c r="A31" s="13">
        <f>'[1]Cash Variance'!A30</f>
        <v>45866</v>
      </c>
      <c r="B31" s="14">
        <v>2794.81</v>
      </c>
      <c r="C31" s="14">
        <v>17.96</v>
      </c>
      <c r="D31" s="15">
        <v>223.74</v>
      </c>
      <c r="E31" s="15">
        <v>7</v>
      </c>
      <c r="F31" s="16">
        <f t="shared" si="3"/>
        <v>3043.51</v>
      </c>
      <c r="G31" s="15">
        <v>702.01</v>
      </c>
      <c r="H31" s="15">
        <v>1635.93</v>
      </c>
      <c r="I31" s="15">
        <v>0</v>
      </c>
      <c r="J31" s="15">
        <v>555.99</v>
      </c>
      <c r="K31" s="15">
        <v>0</v>
      </c>
      <c r="L31" s="15">
        <v>139.53</v>
      </c>
      <c r="M31" s="15">
        <v>10</v>
      </c>
      <c r="N31" s="17">
        <f t="shared" si="0"/>
        <v>3043.4600000000005</v>
      </c>
      <c r="O31" s="17">
        <f t="shared" si="1"/>
        <v>4.9999999999727152E-2</v>
      </c>
      <c r="P31">
        <v>694</v>
      </c>
      <c r="Q31" s="25">
        <v>45870</v>
      </c>
      <c r="R31" s="22"/>
      <c r="S31" s="19">
        <f t="shared" si="2"/>
        <v>-8.0099999999999909</v>
      </c>
    </row>
    <row r="32" spans="1:19" x14ac:dyDescent="0.25">
      <c r="A32" s="13">
        <f>'[1]Cash Variance'!A31</f>
        <v>45867</v>
      </c>
      <c r="B32" s="14">
        <v>3169.57</v>
      </c>
      <c r="C32" s="14">
        <v>22.48</v>
      </c>
      <c r="D32" s="15">
        <v>253.72</v>
      </c>
      <c r="E32" s="15">
        <v>6.45</v>
      </c>
      <c r="F32" s="16">
        <f t="shared" si="3"/>
        <v>3452.22</v>
      </c>
      <c r="G32" s="15">
        <v>832.76</v>
      </c>
      <c r="H32" s="15">
        <v>1909.86</v>
      </c>
      <c r="I32" s="15">
        <v>39.909999999999997</v>
      </c>
      <c r="J32" s="15">
        <v>580.22</v>
      </c>
      <c r="K32" s="15">
        <v>0</v>
      </c>
      <c r="L32" s="15">
        <v>81.150000000000006</v>
      </c>
      <c r="M32" s="15">
        <v>10</v>
      </c>
      <c r="N32" s="17">
        <f t="shared" si="0"/>
        <v>3453.9</v>
      </c>
      <c r="O32" s="17">
        <f t="shared" si="1"/>
        <v>-1.680000000000291</v>
      </c>
      <c r="P32">
        <v>834.8</v>
      </c>
      <c r="Q32" s="25">
        <v>45870</v>
      </c>
      <c r="R32" s="22"/>
      <c r="S32" s="19">
        <f t="shared" si="2"/>
        <v>2.0399999999999636</v>
      </c>
    </row>
    <row r="33" spans="1:19" x14ac:dyDescent="0.25">
      <c r="A33" s="13">
        <f>'[1]Cash Variance'!A32</f>
        <v>45868</v>
      </c>
      <c r="B33" s="14">
        <v>3190.45</v>
      </c>
      <c r="C33" s="14">
        <v>75.25</v>
      </c>
      <c r="D33" s="15">
        <v>255.41</v>
      </c>
      <c r="E33" s="15">
        <v>14</v>
      </c>
      <c r="F33" s="16">
        <f t="shared" si="3"/>
        <v>3535.1099999999997</v>
      </c>
      <c r="G33" s="15">
        <v>871.91</v>
      </c>
      <c r="H33" s="15">
        <f>1988.71-2.45</f>
        <v>1986.26</v>
      </c>
      <c r="I33" s="15">
        <v>0</v>
      </c>
      <c r="J33" s="15">
        <v>577.65</v>
      </c>
      <c r="K33" s="15">
        <v>0</v>
      </c>
      <c r="L33" s="15">
        <v>78.3</v>
      </c>
      <c r="M33" s="15">
        <v>20.99</v>
      </c>
      <c r="N33" s="17">
        <f t="shared" si="0"/>
        <v>3535.11</v>
      </c>
      <c r="O33" s="17">
        <f t="shared" si="1"/>
        <v>0</v>
      </c>
      <c r="P33">
        <v>872.5</v>
      </c>
      <c r="Q33" s="25">
        <v>45870</v>
      </c>
      <c r="R33" s="22"/>
      <c r="S33" s="19">
        <f t="shared" si="2"/>
        <v>0.59000000000003183</v>
      </c>
    </row>
    <row r="34" spans="1:19" ht="15.75" thickBot="1" x14ac:dyDescent="0.3">
      <c r="A34" s="13">
        <f>'[1]Cash Variance'!A33</f>
        <v>45869</v>
      </c>
      <c r="B34" s="14">
        <v>3741.16</v>
      </c>
      <c r="C34" s="14">
        <v>37.56</v>
      </c>
      <c r="D34" s="15">
        <v>299.49</v>
      </c>
      <c r="E34" s="15">
        <v>26.71</v>
      </c>
      <c r="F34" s="16">
        <f t="shared" si="3"/>
        <v>4104.92</v>
      </c>
      <c r="G34" s="15">
        <v>894.91</v>
      </c>
      <c r="H34" s="15">
        <v>2496.2399999999998</v>
      </c>
      <c r="I34" s="15">
        <v>0</v>
      </c>
      <c r="J34" s="15">
        <v>638.46</v>
      </c>
      <c r="K34" s="15">
        <v>19.14</v>
      </c>
      <c r="L34" s="15">
        <v>56.87</v>
      </c>
      <c r="M34" s="15">
        <v>0</v>
      </c>
      <c r="N34" s="17">
        <f t="shared" si="0"/>
        <v>4105.62</v>
      </c>
      <c r="O34" s="17">
        <f t="shared" si="1"/>
        <v>-0.6999999999998181</v>
      </c>
      <c r="P34">
        <v>894.72</v>
      </c>
      <c r="Q34" s="25">
        <v>45870</v>
      </c>
      <c r="R34" s="22"/>
      <c r="S34" s="19">
        <f t="shared" si="2"/>
        <v>-0.18999999999994088</v>
      </c>
    </row>
    <row r="35" spans="1:19" ht="15.75" thickBot="1" x14ac:dyDescent="0.3">
      <c r="A35" s="27" t="s">
        <v>21</v>
      </c>
      <c r="B35" s="28">
        <f t="shared" ref="B35:M35" si="4">SUM(B4:B34)</f>
        <v>94735.09</v>
      </c>
      <c r="C35" s="28">
        <f t="shared" si="4"/>
        <v>724.82000000000016</v>
      </c>
      <c r="D35" s="28">
        <f t="shared" si="4"/>
        <v>7582.9699999999984</v>
      </c>
      <c r="E35" s="28">
        <f>SUM(E4:E34)</f>
        <v>502.49999999999994</v>
      </c>
      <c r="F35" s="29">
        <f>SUM(F4:F34)</f>
        <v>103545.37999999998</v>
      </c>
      <c r="G35" s="28">
        <f t="shared" si="4"/>
        <v>22802.029999999995</v>
      </c>
      <c r="H35" s="28">
        <f>SUM(H4:H34)</f>
        <v>61832.020000000004</v>
      </c>
      <c r="I35" s="28">
        <f t="shared" si="4"/>
        <v>677.64</v>
      </c>
      <c r="J35" s="28">
        <f t="shared" si="4"/>
        <v>15480.170000000002</v>
      </c>
      <c r="K35" s="28">
        <f t="shared" si="4"/>
        <v>266.26000000000005</v>
      </c>
      <c r="L35" s="28">
        <f t="shared" si="4"/>
        <v>2340.6900000000005</v>
      </c>
      <c r="M35" s="28">
        <f t="shared" si="4"/>
        <v>149.36000000000001</v>
      </c>
      <c r="N35" s="29">
        <f>SUM(N4:N34)</f>
        <v>103548.16999999997</v>
      </c>
      <c r="O35" s="29">
        <f t="shared" ref="O35:R35" si="5">SUM(O4:O34)</f>
        <v>-2.7900000000017826</v>
      </c>
      <c r="P35" s="28">
        <f>SUM(P4:P34)</f>
        <v>22740.670000000002</v>
      </c>
      <c r="Q35" s="28"/>
      <c r="R35" s="28">
        <f t="shared" si="5"/>
        <v>0</v>
      </c>
      <c r="S35" s="29">
        <f>SUM(S4:S34)</f>
        <v>-61.36000000000007</v>
      </c>
    </row>
    <row r="36" spans="1:19" x14ac:dyDescent="0.25">
      <c r="A36" s="30" t="s">
        <v>1</v>
      </c>
      <c r="B36" s="31">
        <f>+B35</f>
        <v>94735.09</v>
      </c>
      <c r="C36" s="31">
        <f>+C35</f>
        <v>724.82000000000016</v>
      </c>
      <c r="D36" s="31">
        <f>+D35</f>
        <v>7582.9699999999984</v>
      </c>
      <c r="E36" s="31">
        <f>+E35</f>
        <v>502.49999999999994</v>
      </c>
      <c r="F36" s="30"/>
      <c r="G36" s="31">
        <f>+G35</f>
        <v>22802.029999999995</v>
      </c>
      <c r="H36" s="30"/>
      <c r="I36" s="30"/>
      <c r="J36" s="31">
        <f>+J35</f>
        <v>15480.170000000002</v>
      </c>
      <c r="K36" s="31">
        <f>+K35</f>
        <v>266.26000000000005</v>
      </c>
      <c r="L36" s="31">
        <f>+L35</f>
        <v>2340.6900000000005</v>
      </c>
      <c r="M36" s="31">
        <f>+M35</f>
        <v>149.36000000000001</v>
      </c>
      <c r="N36" s="30"/>
      <c r="O36" s="30"/>
      <c r="P36" s="30"/>
      <c r="Q36" s="30"/>
      <c r="R36" s="30"/>
      <c r="S36" s="30"/>
    </row>
    <row r="37" spans="1:19" x14ac:dyDescent="0.25">
      <c r="A37" s="32" t="s">
        <v>22</v>
      </c>
      <c r="B37" s="33">
        <f>+B35</f>
        <v>94735.09</v>
      </c>
      <c r="C37" s="33">
        <f>+C35</f>
        <v>724.82000000000016</v>
      </c>
      <c r="D37" s="33">
        <f>+D35</f>
        <v>7582.9699999999984</v>
      </c>
      <c r="E37" s="33">
        <f>+E35</f>
        <v>502.49999999999994</v>
      </c>
      <c r="F37" s="32"/>
      <c r="G37" s="33">
        <f>+G35</f>
        <v>22802.029999999995</v>
      </c>
      <c r="H37" s="32"/>
      <c r="I37" s="32"/>
      <c r="J37" s="33">
        <f>+J35</f>
        <v>15480.170000000002</v>
      </c>
      <c r="K37" s="33">
        <f>+K35</f>
        <v>266.26000000000005</v>
      </c>
      <c r="L37" s="33">
        <f>+L35</f>
        <v>2340.6900000000005</v>
      </c>
      <c r="M37" s="33">
        <f>+M35</f>
        <v>149.36000000000001</v>
      </c>
      <c r="N37" s="32"/>
      <c r="O37" s="32"/>
      <c r="P37" s="32"/>
      <c r="Q37" s="32"/>
      <c r="R37" s="32"/>
      <c r="S37" s="32"/>
    </row>
    <row r="38" spans="1:19" x14ac:dyDescent="0.25">
      <c r="A38" s="32"/>
      <c r="B38" s="32"/>
      <c r="C38" s="32"/>
      <c r="D38" s="32"/>
      <c r="E38" s="32"/>
      <c r="F38" s="32"/>
      <c r="G38" s="32"/>
      <c r="H38" s="34" t="s">
        <v>23</v>
      </c>
      <c r="I38" s="34"/>
      <c r="J38" s="35">
        <v>18566.97</v>
      </c>
      <c r="K38" s="36">
        <f>277.44</f>
        <v>277.44</v>
      </c>
      <c r="L38" s="36">
        <f>2441.74+168.23</f>
        <v>2609.9699999999998</v>
      </c>
      <c r="M38" s="32"/>
      <c r="N38" s="32"/>
      <c r="O38" s="32"/>
      <c r="P38" s="32"/>
      <c r="Q38" s="32"/>
      <c r="R38" s="32"/>
      <c r="S38" s="32"/>
    </row>
    <row r="39" spans="1:19" x14ac:dyDescent="0.25">
      <c r="A39" s="32"/>
      <c r="B39" s="32"/>
      <c r="C39" s="32"/>
      <c r="D39" s="32"/>
      <c r="E39" s="32"/>
      <c r="F39" s="32"/>
      <c r="G39" s="32"/>
      <c r="H39" s="34" t="s">
        <v>24</v>
      </c>
      <c r="I39" s="34"/>
      <c r="J39" s="37">
        <f>+J38-J35</f>
        <v>3086.7999999999993</v>
      </c>
      <c r="K39" s="38">
        <f>+K38-K35</f>
        <v>11.17999999999995</v>
      </c>
      <c r="L39" s="38">
        <f>+L38-L35</f>
        <v>269.27999999999929</v>
      </c>
      <c r="M39" s="32"/>
      <c r="N39" s="32"/>
      <c r="O39" s="32"/>
      <c r="P39" s="32"/>
      <c r="Q39" s="32"/>
      <c r="R39" s="32"/>
      <c r="S39" s="32"/>
    </row>
    <row r="40" spans="1:19" x14ac:dyDescent="0.25">
      <c r="A40" s="32"/>
      <c r="B40" s="32"/>
      <c r="C40" s="32"/>
      <c r="D40" s="32"/>
      <c r="E40" s="32"/>
      <c r="F40" s="32"/>
      <c r="G40" s="32"/>
      <c r="H40" s="34" t="s">
        <v>25</v>
      </c>
      <c r="I40" s="34"/>
      <c r="J40" s="35">
        <v>-2973.14</v>
      </c>
      <c r="K40" s="36">
        <v>-25.85</v>
      </c>
      <c r="L40" s="36">
        <f>-422.04+95.84</f>
        <v>-326.20000000000005</v>
      </c>
      <c r="M40" s="32"/>
      <c r="N40" s="32"/>
      <c r="O40" s="32"/>
      <c r="P40" s="32"/>
      <c r="Q40" s="32"/>
      <c r="R40" s="32"/>
      <c r="S40" s="32"/>
    </row>
    <row r="41" spans="1:19" x14ac:dyDescent="0.25">
      <c r="A41" s="32"/>
      <c r="B41" s="32"/>
      <c r="C41" s="32"/>
      <c r="D41" s="32"/>
      <c r="E41" s="32"/>
      <c r="F41" s="32"/>
      <c r="G41" s="32"/>
      <c r="H41" s="34" t="s">
        <v>26</v>
      </c>
      <c r="I41" s="34"/>
      <c r="J41" s="35">
        <v>-3446.43</v>
      </c>
      <c r="K41" s="36">
        <f>-23.5-11.18</f>
        <v>-34.68</v>
      </c>
      <c r="L41" s="36">
        <v>-269.29000000000002</v>
      </c>
      <c r="M41" s="32"/>
      <c r="N41" s="32"/>
      <c r="O41" s="32"/>
      <c r="P41" s="32"/>
      <c r="Q41" s="32"/>
      <c r="R41" s="32"/>
      <c r="S41" s="32"/>
    </row>
    <row r="42" spans="1:19" x14ac:dyDescent="0.25">
      <c r="A42" s="32"/>
      <c r="B42" s="32"/>
      <c r="C42" s="32"/>
      <c r="D42" s="32"/>
      <c r="E42" s="32"/>
      <c r="F42" s="32"/>
      <c r="G42" s="32"/>
      <c r="H42" s="34" t="s">
        <v>27</v>
      </c>
      <c r="I42" s="34"/>
      <c r="J42" s="35">
        <v>-93.34</v>
      </c>
      <c r="K42" s="36">
        <v>0</v>
      </c>
      <c r="L42" s="36">
        <v>1.69</v>
      </c>
      <c r="M42" s="32"/>
      <c r="N42" s="32"/>
      <c r="O42" s="32"/>
      <c r="P42" s="32"/>
      <c r="Q42" s="32"/>
      <c r="R42" s="32"/>
      <c r="S42" s="32"/>
    </row>
    <row r="43" spans="1:19" ht="15.75" thickBot="1" x14ac:dyDescent="0.3">
      <c r="A43" s="32"/>
      <c r="B43" s="32"/>
      <c r="C43" s="32"/>
      <c r="D43" s="32"/>
      <c r="E43" s="32"/>
      <c r="F43" s="32"/>
      <c r="G43" s="32"/>
      <c r="H43" s="39" t="s">
        <v>28</v>
      </c>
      <c r="I43" s="39"/>
      <c r="J43" s="40">
        <f>+J38+J40+J41+J42</f>
        <v>12054.060000000001</v>
      </c>
      <c r="K43" s="41">
        <f>+K38+K40+K41+K42</f>
        <v>216.91</v>
      </c>
      <c r="L43" s="41">
        <f>+L38+L40+L41+L42</f>
        <v>2016.1699999999996</v>
      </c>
      <c r="M43" s="32"/>
      <c r="N43" s="32"/>
      <c r="O43" s="32"/>
      <c r="P43" s="32"/>
      <c r="Q43" s="32"/>
      <c r="R43" s="32"/>
      <c r="S43" s="32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2025-08-20T13:00:18Z</dcterms:created>
  <dcterms:modified xsi:type="dcterms:W3CDTF">2025-08-20T13:01:05Z</dcterms:modified>
</cp:coreProperties>
</file>