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7D9B9CA2-98F9-417B-AEC9-9764B4035878}" xr6:coauthVersionLast="47" xr6:coauthVersionMax="47" xr10:uidLastSave="{00000000-0000-0000-0000-000000000000}"/>
  <bookViews>
    <workbookView xWindow="-120" yWindow="-120" windowWidth="20730" windowHeight="11040" xr2:uid="{54C8D2C2-E16F-4DFF-B4CC-35765EE2E0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K37" i="1"/>
  <c r="J37" i="1"/>
  <c r="I35" i="1"/>
  <c r="H35" i="1"/>
  <c r="G37" i="1"/>
  <c r="F35" i="1"/>
  <c r="D37" i="1"/>
  <c r="C37" i="1"/>
  <c r="B37" i="1"/>
  <c r="F4" i="1"/>
  <c r="A4" i="1"/>
  <c r="L43" i="1"/>
  <c r="J43" i="1"/>
  <c r="K41" i="1"/>
  <c r="L39" i="1"/>
  <c r="K39" i="1"/>
  <c r="J39" i="1"/>
  <c r="K38" i="1"/>
  <c r="K43" i="1" s="1"/>
  <c r="E37" i="1"/>
  <c r="L36" i="1"/>
  <c r="K36" i="1"/>
  <c r="E36" i="1"/>
  <c r="D36" i="1"/>
  <c r="R35" i="1"/>
  <c r="M35" i="1"/>
  <c r="M37" i="1" s="1"/>
  <c r="L35" i="1"/>
  <c r="K35" i="1"/>
  <c r="J35" i="1"/>
  <c r="G35" i="1"/>
  <c r="G36" i="1" s="1"/>
  <c r="E35" i="1"/>
  <c r="D35" i="1"/>
  <c r="C35" i="1"/>
  <c r="C36" i="1" s="1"/>
  <c r="B35" i="1"/>
  <c r="S34" i="1"/>
  <c r="N34" i="1"/>
  <c r="H34" i="1"/>
  <c r="F34" i="1"/>
  <c r="O34" i="1" s="1"/>
  <c r="A34" i="1"/>
  <c r="S33" i="1"/>
  <c r="N33" i="1"/>
  <c r="H33" i="1"/>
  <c r="F33" i="1"/>
  <c r="O33" i="1" s="1"/>
  <c r="A33" i="1"/>
  <c r="S32" i="1"/>
  <c r="N32" i="1"/>
  <c r="F32" i="1"/>
  <c r="O32" i="1" s="1"/>
  <c r="A32" i="1"/>
  <c r="S31" i="1"/>
  <c r="O31" i="1"/>
  <c r="N31" i="1"/>
  <c r="F31" i="1"/>
  <c r="A31" i="1"/>
  <c r="S30" i="1"/>
  <c r="N30" i="1"/>
  <c r="H30" i="1"/>
  <c r="F30" i="1"/>
  <c r="O30" i="1" s="1"/>
  <c r="A30" i="1"/>
  <c r="S29" i="1"/>
  <c r="H29" i="1"/>
  <c r="N29" i="1" s="1"/>
  <c r="F29" i="1"/>
  <c r="O29" i="1" s="1"/>
  <c r="A29" i="1"/>
  <c r="S28" i="1"/>
  <c r="O28" i="1"/>
  <c r="N28" i="1"/>
  <c r="H28" i="1"/>
  <c r="F28" i="1"/>
  <c r="A28" i="1"/>
  <c r="S27" i="1"/>
  <c r="N27" i="1"/>
  <c r="H27" i="1"/>
  <c r="F27" i="1"/>
  <c r="O27" i="1" s="1"/>
  <c r="A27" i="1"/>
  <c r="S26" i="1"/>
  <c r="N26" i="1"/>
  <c r="H26" i="1"/>
  <c r="F26" i="1"/>
  <c r="O26" i="1" s="1"/>
  <c r="A26" i="1"/>
  <c r="S25" i="1"/>
  <c r="H25" i="1"/>
  <c r="N25" i="1" s="1"/>
  <c r="F25" i="1"/>
  <c r="O25" i="1" s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O21" i="1"/>
  <c r="N21" i="1"/>
  <c r="H21" i="1"/>
  <c r="F21" i="1"/>
  <c r="A21" i="1"/>
  <c r="S20" i="1"/>
  <c r="H20" i="1"/>
  <c r="N20" i="1" s="1"/>
  <c r="F20" i="1"/>
  <c r="A20" i="1"/>
  <c r="S19" i="1"/>
  <c r="H19" i="1"/>
  <c r="N19" i="1" s="1"/>
  <c r="F19" i="1"/>
  <c r="O19" i="1" s="1"/>
  <c r="A19" i="1"/>
  <c r="S18" i="1"/>
  <c r="H18" i="1"/>
  <c r="N18" i="1" s="1"/>
  <c r="O18" i="1" s="1"/>
  <c r="F18" i="1"/>
  <c r="A18" i="1"/>
  <c r="S17" i="1"/>
  <c r="O17" i="1"/>
  <c r="N17" i="1"/>
  <c r="H17" i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O15" i="1" s="1"/>
  <c r="A15" i="1"/>
  <c r="S14" i="1"/>
  <c r="H14" i="1"/>
  <c r="N14" i="1" s="1"/>
  <c r="O14" i="1" s="1"/>
  <c r="F14" i="1"/>
  <c r="A14" i="1"/>
  <c r="S13" i="1"/>
  <c r="O13" i="1"/>
  <c r="N13" i="1"/>
  <c r="H13" i="1"/>
  <c r="F13" i="1"/>
  <c r="A13" i="1"/>
  <c r="S12" i="1"/>
  <c r="H12" i="1"/>
  <c r="N12" i="1" s="1"/>
  <c r="F12" i="1"/>
  <c r="O12" i="1" s="1"/>
  <c r="A12" i="1"/>
  <c r="S11" i="1"/>
  <c r="H11" i="1"/>
  <c r="N11" i="1" s="1"/>
  <c r="F11" i="1"/>
  <c r="A11" i="1"/>
  <c r="S10" i="1"/>
  <c r="H10" i="1"/>
  <c r="N10" i="1" s="1"/>
  <c r="O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O6" i="1" s="1"/>
  <c r="F6" i="1"/>
  <c r="A6" i="1"/>
  <c r="S5" i="1"/>
  <c r="N5" i="1"/>
  <c r="O5" i="1" s="1"/>
  <c r="H5" i="1"/>
  <c r="F5" i="1"/>
  <c r="A5" i="1"/>
  <c r="S4" i="1"/>
  <c r="S35" i="1" s="1"/>
  <c r="H4" i="1"/>
  <c r="A3" i="1"/>
  <c r="O11" i="1" l="1"/>
  <c r="O20" i="1"/>
  <c r="N4" i="1"/>
  <c r="J36" i="1"/>
  <c r="B36" i="1"/>
  <c r="M36" i="1"/>
  <c r="O4" i="1" l="1"/>
  <c r="O35" i="1" s="1"/>
</calcChain>
</file>

<file path=xl/sharedStrings.xml><?xml version="1.0" encoding="utf-8"?>
<sst xmlns="http://schemas.openxmlformats.org/spreadsheetml/2006/main" count="30" uniqueCount="29">
  <si>
    <t>SEVENTH ST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</si>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</sst>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4" fontId="5" fillId="0" borderId="15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6" fillId="0" borderId="13" xfId="0" applyNumberFormat="1" applyFont="1" applyBorder="1" applyAlignment="1">
      <alignment horizontal="right"/>
    </xf>
    <xf numFmtId="0" fontId="7" fillId="2" borderId="16" xfId="0" applyFont="1" applyFill="1" applyBorder="1" applyAlignment="1">
      <alignment horizontal="center"/>
    </xf>
    <xf numFmtId="165" fontId="7" fillId="2" borderId="17" xfId="0" applyNumberFormat="1" applyFont="1" applyFill="1" applyBorder="1" applyAlignment="1">
      <alignment horizontal="right"/>
    </xf>
    <xf numFmtId="165" fontId="7" fillId="3" borderId="17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19C-7513-4AB2-83E0-80545A22FA14}">
  <dimension ref="A1:S44"/>
  <sheetViews>
    <sheetView tabSelected="1" workbookViewId="0">
      <selection activeCell="Q34" sqref="Q34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4" width="9.85546875" bestFit="1" customWidth="1"/>
    <col min="6" max="6" width="12.42578125" bestFit="1" customWidth="1"/>
    <col min="7" max="8" width="10.85546875" bestFit="1" customWidth="1"/>
    <col min="9" max="9" width="9.85546875" bestFit="1" customWidth="1"/>
    <col min="10" max="10" width="10.85546875" bestFit="1" customWidth="1"/>
    <col min="11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3598.35</v>
      </c>
      <c r="C4" s="13">
        <v>37.39</v>
      </c>
      <c r="D4" s="14">
        <v>288.05</v>
      </c>
      <c r="E4" s="14">
        <v>24.83</v>
      </c>
      <c r="F4" s="15">
        <f>SUM(B4:E4)</f>
        <v>3948.62</v>
      </c>
      <c r="G4" s="16">
        <v>895.32</v>
      </c>
      <c r="H4" s="14">
        <f>2275.4-7.07</f>
        <v>2268.33</v>
      </c>
      <c r="I4" s="14">
        <v>8.09</v>
      </c>
      <c r="J4" s="14">
        <v>405.65</v>
      </c>
      <c r="K4" s="14">
        <v>170.59</v>
      </c>
      <c r="L4" s="14">
        <v>176.91</v>
      </c>
      <c r="M4" s="14">
        <v>23.73</v>
      </c>
      <c r="N4" s="17">
        <f t="shared" ref="N4:N26" si="0">SUM(G4:M4)</f>
        <v>3948.6200000000003</v>
      </c>
      <c r="O4" s="18">
        <f t="shared" ref="O4:O34" si="1">+F4-N4</f>
        <v>0</v>
      </c>
      <c r="P4" s="14">
        <v>895</v>
      </c>
      <c r="Q4" s="19">
        <v>45841</v>
      </c>
      <c r="R4" s="14"/>
      <c r="S4" s="20">
        <f t="shared" ref="S4:S34" si="2">P4-G4-R4</f>
        <v>-0.32000000000005002</v>
      </c>
    </row>
    <row r="5" spans="1:19" x14ac:dyDescent="0.25">
      <c r="A5" s="12">
        <f>'[1]Cash Variance'!A4</f>
        <v>45840</v>
      </c>
      <c r="B5" s="13">
        <v>4425.46</v>
      </c>
      <c r="C5" s="13">
        <v>52.14</v>
      </c>
      <c r="D5" s="14">
        <v>354.27</v>
      </c>
      <c r="E5" s="14">
        <v>25.53</v>
      </c>
      <c r="F5" s="15">
        <f t="shared" ref="F5:F34" si="3">SUM(B5:E5)</f>
        <v>4857.4000000000005</v>
      </c>
      <c r="G5" s="14">
        <v>1087.21</v>
      </c>
      <c r="H5" s="14">
        <f>3070.94-7.82</f>
        <v>3063.12</v>
      </c>
      <c r="I5" s="14">
        <v>0</v>
      </c>
      <c r="J5" s="14">
        <v>544.29999999999995</v>
      </c>
      <c r="K5" s="14">
        <v>61.09</v>
      </c>
      <c r="L5" s="14">
        <v>101.68</v>
      </c>
      <c r="M5" s="14">
        <v>0</v>
      </c>
      <c r="N5" s="17">
        <f t="shared" si="0"/>
        <v>4857.4000000000005</v>
      </c>
      <c r="O5" s="18">
        <f t="shared" si="1"/>
        <v>0</v>
      </c>
      <c r="P5" s="14">
        <v>1089.74</v>
      </c>
      <c r="Q5" s="19">
        <v>45841</v>
      </c>
      <c r="R5" s="14"/>
      <c r="S5" s="20">
        <f t="shared" si="2"/>
        <v>2.5299999999999727</v>
      </c>
    </row>
    <row r="6" spans="1:19" x14ac:dyDescent="0.25">
      <c r="A6" s="12">
        <f>'[1]Cash Variance'!A5</f>
        <v>45841</v>
      </c>
      <c r="B6" s="13">
        <v>4395.33</v>
      </c>
      <c r="C6" s="13">
        <v>27.19</v>
      </c>
      <c r="D6" s="14">
        <v>351.92</v>
      </c>
      <c r="E6" s="14">
        <v>12</v>
      </c>
      <c r="F6" s="15">
        <f t="shared" si="3"/>
        <v>4786.4399999999996</v>
      </c>
      <c r="G6" s="14">
        <v>999.2</v>
      </c>
      <c r="H6" s="14">
        <f>2864.1-16.82</f>
        <v>2847.2799999999997</v>
      </c>
      <c r="I6" s="14">
        <v>36.340000000000003</v>
      </c>
      <c r="J6" s="14">
        <v>543.45000000000005</v>
      </c>
      <c r="K6" s="14">
        <v>61.9</v>
      </c>
      <c r="L6" s="14">
        <v>273.83</v>
      </c>
      <c r="M6" s="14">
        <v>24.44</v>
      </c>
      <c r="N6" s="17">
        <f t="shared" si="0"/>
        <v>4786.4399999999987</v>
      </c>
      <c r="O6" s="18">
        <f t="shared" si="1"/>
        <v>0</v>
      </c>
      <c r="P6" s="14">
        <v>1112.29</v>
      </c>
      <c r="Q6" s="19">
        <v>45845</v>
      </c>
      <c r="R6" s="14"/>
      <c r="S6" s="20">
        <f t="shared" si="2"/>
        <v>113.08999999999992</v>
      </c>
    </row>
    <row r="7" spans="1:19" x14ac:dyDescent="0.25">
      <c r="A7" s="12">
        <f>'[1]Cash Variance'!A6</f>
        <v>45842</v>
      </c>
      <c r="B7" s="13">
        <v>2879.3</v>
      </c>
      <c r="C7" s="13">
        <v>41.91</v>
      </c>
      <c r="D7" s="14">
        <v>230.52</v>
      </c>
      <c r="E7" s="14">
        <v>24.15</v>
      </c>
      <c r="F7" s="15">
        <f t="shared" si="3"/>
        <v>3175.88</v>
      </c>
      <c r="G7" s="14">
        <v>496.2</v>
      </c>
      <c r="H7" s="14">
        <f>2075.12-8.11</f>
        <v>2067.0099999999998</v>
      </c>
      <c r="I7" s="14">
        <v>35.06</v>
      </c>
      <c r="J7" s="14">
        <v>290.88</v>
      </c>
      <c r="K7" s="14">
        <v>27.94</v>
      </c>
      <c r="L7" s="14">
        <v>258.79000000000002</v>
      </c>
      <c r="M7" s="14">
        <v>0</v>
      </c>
      <c r="N7" s="17">
        <f t="shared" si="0"/>
        <v>3175.8799999999997</v>
      </c>
      <c r="O7" s="18">
        <f t="shared" si="1"/>
        <v>0</v>
      </c>
      <c r="P7" s="14">
        <v>497.04</v>
      </c>
      <c r="Q7" s="19">
        <v>45845</v>
      </c>
      <c r="R7" s="21"/>
      <c r="S7" s="20">
        <f t="shared" si="2"/>
        <v>0.84000000000003183</v>
      </c>
    </row>
    <row r="8" spans="1:19" x14ac:dyDescent="0.25">
      <c r="A8" s="12">
        <f>'[1]Cash Variance'!A7</f>
        <v>45843</v>
      </c>
      <c r="B8" s="13">
        <v>3294.87</v>
      </c>
      <c r="C8" s="13">
        <v>38.44</v>
      </c>
      <c r="D8" s="14">
        <v>263.82</v>
      </c>
      <c r="E8" s="14">
        <v>23.35</v>
      </c>
      <c r="F8" s="15">
        <f t="shared" si="3"/>
        <v>3620.48</v>
      </c>
      <c r="G8" s="14">
        <v>665.18</v>
      </c>
      <c r="H8" s="14">
        <f>2193.38-14.48</f>
        <v>2178.9</v>
      </c>
      <c r="I8" s="14">
        <v>35.06</v>
      </c>
      <c r="J8" s="14">
        <v>429.97</v>
      </c>
      <c r="K8" s="14">
        <v>131.78</v>
      </c>
      <c r="L8" s="14">
        <v>173.76</v>
      </c>
      <c r="M8" s="14">
        <v>5.83</v>
      </c>
      <c r="N8" s="17">
        <f t="shared" si="0"/>
        <v>3620.4799999999996</v>
      </c>
      <c r="O8" s="18">
        <f t="shared" si="1"/>
        <v>0</v>
      </c>
      <c r="P8" s="14">
        <v>664.81</v>
      </c>
      <c r="Q8" s="19">
        <v>45845</v>
      </c>
      <c r="R8" s="21"/>
      <c r="S8" s="20">
        <f t="shared" si="2"/>
        <v>-0.37000000000000455</v>
      </c>
    </row>
    <row r="9" spans="1:19" x14ac:dyDescent="0.25">
      <c r="A9" s="12">
        <f>'[1]Cash Variance'!A8</f>
        <v>45844</v>
      </c>
      <c r="B9" s="13">
        <v>3319.57</v>
      </c>
      <c r="C9" s="13">
        <v>32.31</v>
      </c>
      <c r="D9" s="14">
        <v>265.75</v>
      </c>
      <c r="E9" s="14">
        <v>34.159999999999997</v>
      </c>
      <c r="F9" s="15">
        <f t="shared" si="3"/>
        <v>3651.79</v>
      </c>
      <c r="G9" s="14">
        <v>505.01</v>
      </c>
      <c r="H9" s="14">
        <f>2345.29-14.43</f>
        <v>2330.86</v>
      </c>
      <c r="I9" s="14">
        <v>67</v>
      </c>
      <c r="J9" s="14">
        <v>498.1</v>
      </c>
      <c r="K9" s="14">
        <v>60.87</v>
      </c>
      <c r="L9" s="14">
        <v>189.95</v>
      </c>
      <c r="M9" s="14">
        <v>0</v>
      </c>
      <c r="N9" s="17">
        <f t="shared" si="0"/>
        <v>3651.7899999999995</v>
      </c>
      <c r="O9" s="18">
        <f t="shared" si="1"/>
        <v>0</v>
      </c>
      <c r="P9" s="14">
        <v>507.88</v>
      </c>
      <c r="Q9" s="19">
        <v>45845</v>
      </c>
      <c r="R9" s="21"/>
      <c r="S9" s="20">
        <f t="shared" si="2"/>
        <v>2.8700000000000045</v>
      </c>
    </row>
    <row r="10" spans="1:19" x14ac:dyDescent="0.25">
      <c r="A10" s="12">
        <f>'[1]Cash Variance'!A9</f>
        <v>45845</v>
      </c>
      <c r="B10" s="13">
        <v>2976.7</v>
      </c>
      <c r="C10" s="13">
        <v>8.82</v>
      </c>
      <c r="D10" s="14">
        <v>238.38</v>
      </c>
      <c r="E10" s="14">
        <v>29.27</v>
      </c>
      <c r="F10" s="15">
        <f t="shared" si="3"/>
        <v>3253.17</v>
      </c>
      <c r="G10" s="14">
        <v>673.76</v>
      </c>
      <c r="H10" s="14">
        <f>1972.67-9.76</f>
        <v>1962.91</v>
      </c>
      <c r="I10" s="14">
        <v>59</v>
      </c>
      <c r="J10" s="14">
        <v>386.37</v>
      </c>
      <c r="K10" s="14">
        <v>82.09</v>
      </c>
      <c r="L10" s="14">
        <v>89.04</v>
      </c>
      <c r="M10" s="14">
        <v>0</v>
      </c>
      <c r="N10" s="17">
        <f t="shared" si="0"/>
        <v>3253.17</v>
      </c>
      <c r="O10" s="18">
        <f t="shared" si="1"/>
        <v>0</v>
      </c>
      <c r="P10" s="14">
        <v>674.85</v>
      </c>
      <c r="Q10" s="19">
        <v>45848</v>
      </c>
      <c r="R10" s="21"/>
      <c r="S10" s="20">
        <f t="shared" si="2"/>
        <v>1.0900000000000318</v>
      </c>
    </row>
    <row r="11" spans="1:19" x14ac:dyDescent="0.25">
      <c r="A11" s="12">
        <f>'[1]Cash Variance'!A10</f>
        <v>45846</v>
      </c>
      <c r="B11" s="13">
        <v>2724.05</v>
      </c>
      <c r="C11" s="13">
        <v>22.45</v>
      </c>
      <c r="D11" s="22">
        <v>218.11</v>
      </c>
      <c r="E11" s="14">
        <v>8</v>
      </c>
      <c r="F11" s="15">
        <f t="shared" si="3"/>
        <v>2972.61</v>
      </c>
      <c r="G11" s="14">
        <v>728.97</v>
      </c>
      <c r="H11" s="14">
        <f>1667.78-4.94</f>
        <v>1662.84</v>
      </c>
      <c r="I11" s="14">
        <v>40.98</v>
      </c>
      <c r="J11" s="14">
        <v>488.39</v>
      </c>
      <c r="K11" s="14">
        <v>12.89</v>
      </c>
      <c r="L11" s="14">
        <v>38.54</v>
      </c>
      <c r="M11" s="14">
        <v>0</v>
      </c>
      <c r="N11" s="17">
        <f t="shared" si="0"/>
        <v>2972.6099999999997</v>
      </c>
      <c r="O11" s="18">
        <f t="shared" si="1"/>
        <v>0</v>
      </c>
      <c r="P11" s="14">
        <v>728.82</v>
      </c>
      <c r="Q11" s="19">
        <v>45848</v>
      </c>
      <c r="R11" s="21"/>
      <c r="S11" s="20">
        <f t="shared" si="2"/>
        <v>-0.14999999999997726</v>
      </c>
    </row>
    <row r="12" spans="1:19" x14ac:dyDescent="0.25">
      <c r="A12" s="12">
        <f>'[1]Cash Variance'!A11</f>
        <v>45847</v>
      </c>
      <c r="B12" s="13">
        <v>3388.87</v>
      </c>
      <c r="C12" s="13">
        <v>31.81</v>
      </c>
      <c r="D12" s="22">
        <v>271.33</v>
      </c>
      <c r="E12" s="14">
        <v>25.2</v>
      </c>
      <c r="F12" s="15">
        <f t="shared" si="3"/>
        <v>3717.2099999999996</v>
      </c>
      <c r="G12" s="14">
        <v>702.39</v>
      </c>
      <c r="H12" s="14">
        <f>2349.48-4.8</f>
        <v>2344.6799999999998</v>
      </c>
      <c r="I12" s="14">
        <v>62.27</v>
      </c>
      <c r="J12" s="14">
        <v>477.28</v>
      </c>
      <c r="K12" s="14">
        <v>69.84</v>
      </c>
      <c r="L12" s="14">
        <v>60.75</v>
      </c>
      <c r="M12" s="14">
        <v>0</v>
      </c>
      <c r="N12" s="17">
        <f t="shared" si="0"/>
        <v>3717.21</v>
      </c>
      <c r="O12" s="18">
        <f t="shared" si="1"/>
        <v>0</v>
      </c>
      <c r="P12" s="14">
        <v>702.6</v>
      </c>
      <c r="Q12" s="19">
        <v>45849</v>
      </c>
      <c r="R12" s="21"/>
      <c r="S12" s="20">
        <f t="shared" si="2"/>
        <v>0.21000000000003638</v>
      </c>
    </row>
    <row r="13" spans="1:19" x14ac:dyDescent="0.25">
      <c r="A13" s="12">
        <f>'[1]Cash Variance'!A12</f>
        <v>45848</v>
      </c>
      <c r="B13" s="13">
        <v>3502.7</v>
      </c>
      <c r="C13" s="13">
        <v>12.6</v>
      </c>
      <c r="D13" s="14">
        <v>280.47000000000003</v>
      </c>
      <c r="E13" s="14">
        <v>13</v>
      </c>
      <c r="F13" s="15">
        <f t="shared" si="3"/>
        <v>3808.7699999999995</v>
      </c>
      <c r="G13" s="14">
        <v>505.69</v>
      </c>
      <c r="H13" s="14">
        <f>2359.72-12.12</f>
        <v>2347.6</v>
      </c>
      <c r="I13" s="14">
        <v>40.229999999999997</v>
      </c>
      <c r="J13" s="14">
        <v>587.45000000000005</v>
      </c>
      <c r="K13" s="14">
        <v>115.65</v>
      </c>
      <c r="L13" s="14">
        <v>212.15</v>
      </c>
      <c r="M13" s="14">
        <v>0</v>
      </c>
      <c r="N13" s="17">
        <f t="shared" si="0"/>
        <v>3808.7700000000004</v>
      </c>
      <c r="O13" s="18">
        <f t="shared" si="1"/>
        <v>0</v>
      </c>
      <c r="P13" s="14">
        <v>501.73</v>
      </c>
      <c r="Q13" s="19">
        <v>45849</v>
      </c>
      <c r="R13" s="21"/>
      <c r="S13" s="20">
        <f t="shared" si="2"/>
        <v>-3.9599999999999795</v>
      </c>
    </row>
    <row r="14" spans="1:19" x14ac:dyDescent="0.25">
      <c r="A14" s="23">
        <f>'[1]Cash Variance'!A13</f>
        <v>45849</v>
      </c>
      <c r="B14" s="13">
        <v>4342.04</v>
      </c>
      <c r="C14" s="13">
        <v>53.54</v>
      </c>
      <c r="D14" s="14">
        <v>347.69</v>
      </c>
      <c r="E14" s="14">
        <v>29.16</v>
      </c>
      <c r="F14" s="15">
        <f t="shared" si="3"/>
        <v>4772.4299999999994</v>
      </c>
      <c r="G14" s="14">
        <v>986.24</v>
      </c>
      <c r="H14" s="14">
        <f>3000.75-5.17</f>
        <v>2995.58</v>
      </c>
      <c r="I14" s="14">
        <v>57.82</v>
      </c>
      <c r="J14" s="14">
        <v>479.9</v>
      </c>
      <c r="K14" s="14">
        <v>59.37</v>
      </c>
      <c r="L14" s="14">
        <v>174.44</v>
      </c>
      <c r="M14" s="14">
        <v>19.079999999999998</v>
      </c>
      <c r="N14" s="17">
        <f t="shared" si="0"/>
        <v>4772.4299999999994</v>
      </c>
      <c r="O14" s="18">
        <f t="shared" si="1"/>
        <v>0</v>
      </c>
      <c r="P14" s="14">
        <v>981.4</v>
      </c>
      <c r="Q14" s="19">
        <v>45852</v>
      </c>
      <c r="R14" s="21"/>
      <c r="S14" s="20">
        <f t="shared" si="2"/>
        <v>-4.8400000000000318</v>
      </c>
    </row>
    <row r="15" spans="1:19" x14ac:dyDescent="0.25">
      <c r="A15" s="24">
        <f>'[1]Cash Variance'!A14</f>
        <v>45850</v>
      </c>
      <c r="B15" s="13">
        <v>3519.4</v>
      </c>
      <c r="C15" s="13">
        <v>28.74</v>
      </c>
      <c r="D15" s="14">
        <v>281.82</v>
      </c>
      <c r="E15" s="14">
        <v>21.99</v>
      </c>
      <c r="F15" s="15">
        <f t="shared" si="3"/>
        <v>3851.95</v>
      </c>
      <c r="G15" s="14">
        <v>749.17</v>
      </c>
      <c r="H15" s="14">
        <f>2421.29-5.97</f>
        <v>2415.3200000000002</v>
      </c>
      <c r="I15" s="14">
        <v>35.1</v>
      </c>
      <c r="J15" s="14">
        <v>443.36</v>
      </c>
      <c r="K15" s="14">
        <v>109.3</v>
      </c>
      <c r="L15" s="14">
        <v>78.67</v>
      </c>
      <c r="M15" s="14">
        <v>21.03</v>
      </c>
      <c r="N15" s="17">
        <f t="shared" si="0"/>
        <v>3851.9500000000007</v>
      </c>
      <c r="O15" s="18">
        <f t="shared" si="1"/>
        <v>0</v>
      </c>
      <c r="P15" s="14">
        <v>749.3</v>
      </c>
      <c r="Q15" s="19">
        <v>45853</v>
      </c>
      <c r="R15" s="21"/>
      <c r="S15" s="20">
        <f t="shared" si="2"/>
        <v>0.12999999999999545</v>
      </c>
    </row>
    <row r="16" spans="1:19" x14ac:dyDescent="0.25">
      <c r="A16" s="12">
        <f>'[1]Cash Variance'!A15</f>
        <v>45851</v>
      </c>
      <c r="B16" s="13">
        <v>3225.41</v>
      </c>
      <c r="C16" s="13">
        <v>4.49</v>
      </c>
      <c r="D16" s="14">
        <v>258.24</v>
      </c>
      <c r="E16" s="14">
        <v>20.57</v>
      </c>
      <c r="F16" s="15">
        <f t="shared" si="3"/>
        <v>3508.7099999999996</v>
      </c>
      <c r="G16" s="14">
        <v>600.65</v>
      </c>
      <c r="H16" s="14">
        <f>2158.26-4.88</f>
        <v>2153.38</v>
      </c>
      <c r="I16" s="14">
        <v>73.91</v>
      </c>
      <c r="J16" s="14">
        <v>524.33000000000004</v>
      </c>
      <c r="K16" s="14">
        <v>21.28</v>
      </c>
      <c r="L16" s="14">
        <v>135.16</v>
      </c>
      <c r="M16" s="14">
        <v>0</v>
      </c>
      <c r="N16" s="17">
        <f t="shared" si="0"/>
        <v>3508.71</v>
      </c>
      <c r="O16" s="18">
        <f t="shared" si="1"/>
        <v>0</v>
      </c>
      <c r="P16" s="14">
        <v>599.64</v>
      </c>
      <c r="Q16" s="19">
        <v>45853</v>
      </c>
      <c r="R16" s="21"/>
      <c r="S16" s="20">
        <f t="shared" si="2"/>
        <v>-1.0099999999999909</v>
      </c>
    </row>
    <row r="17" spans="1:19" x14ac:dyDescent="0.25">
      <c r="A17" s="12">
        <f>'[1]Cash Variance'!A16</f>
        <v>45852</v>
      </c>
      <c r="B17" s="13">
        <v>2906.8</v>
      </c>
      <c r="C17" s="13">
        <v>14.46</v>
      </c>
      <c r="D17" s="16">
        <v>232.78</v>
      </c>
      <c r="E17" s="14">
        <v>21.8</v>
      </c>
      <c r="F17" s="15">
        <f t="shared" si="3"/>
        <v>3175.8400000000006</v>
      </c>
      <c r="G17" s="14">
        <v>834.49</v>
      </c>
      <c r="H17" s="14">
        <f>1921.88-5.37</f>
        <v>1916.5100000000002</v>
      </c>
      <c r="I17" s="14">
        <v>15.1</v>
      </c>
      <c r="J17" s="14">
        <v>256.20999999999998</v>
      </c>
      <c r="K17" s="14">
        <v>73.63</v>
      </c>
      <c r="L17" s="14">
        <v>72.849999999999994</v>
      </c>
      <c r="M17" s="14">
        <v>7.05</v>
      </c>
      <c r="N17" s="17">
        <f t="shared" si="0"/>
        <v>3175.84</v>
      </c>
      <c r="O17" s="18">
        <f t="shared" si="1"/>
        <v>0</v>
      </c>
      <c r="P17" s="14">
        <v>834.82</v>
      </c>
      <c r="Q17" s="19">
        <v>45853</v>
      </c>
      <c r="R17" s="21"/>
      <c r="S17" s="20">
        <f t="shared" si="2"/>
        <v>0.33000000000004093</v>
      </c>
    </row>
    <row r="18" spans="1:19" x14ac:dyDescent="0.25">
      <c r="A18" s="12">
        <f>'[1]Cash Variance'!A17</f>
        <v>45853</v>
      </c>
      <c r="B18" s="13">
        <v>3082.97</v>
      </c>
      <c r="C18" s="13">
        <v>13.12</v>
      </c>
      <c r="D18" s="16">
        <v>246.83</v>
      </c>
      <c r="E18" s="16">
        <v>8.9499999999999993</v>
      </c>
      <c r="F18" s="15">
        <f t="shared" si="3"/>
        <v>3351.8699999999994</v>
      </c>
      <c r="G18" s="16">
        <v>621.14</v>
      </c>
      <c r="H18" s="16">
        <f>2101.38-9.61</f>
        <v>2091.77</v>
      </c>
      <c r="I18" s="16">
        <v>32.89</v>
      </c>
      <c r="J18" s="16">
        <v>350.01</v>
      </c>
      <c r="K18" s="16">
        <v>68.22</v>
      </c>
      <c r="L18" s="16">
        <v>187.84</v>
      </c>
      <c r="M18" s="14">
        <v>0</v>
      </c>
      <c r="N18" s="17">
        <f t="shared" si="0"/>
        <v>3351.8699999999994</v>
      </c>
      <c r="O18" s="18">
        <f t="shared" si="1"/>
        <v>0</v>
      </c>
      <c r="P18" s="14">
        <v>620.42999999999995</v>
      </c>
      <c r="Q18" s="19">
        <v>45854</v>
      </c>
      <c r="R18" s="21"/>
      <c r="S18" s="20">
        <f t="shared" si="2"/>
        <v>-0.71000000000003638</v>
      </c>
    </row>
    <row r="19" spans="1:19" x14ac:dyDescent="0.25">
      <c r="A19" s="12">
        <f>'[1]Cash Variance'!A18</f>
        <v>45854</v>
      </c>
      <c r="B19" s="13">
        <v>3052.04</v>
      </c>
      <c r="C19" s="13">
        <v>35.92</v>
      </c>
      <c r="D19" s="16">
        <v>244.36</v>
      </c>
      <c r="E19" s="16">
        <v>17.940000000000001</v>
      </c>
      <c r="F19" s="15">
        <f t="shared" si="3"/>
        <v>3350.26</v>
      </c>
      <c r="G19" s="16">
        <v>643.23</v>
      </c>
      <c r="H19" s="16">
        <f>1962.44-11.91</f>
        <v>1950.53</v>
      </c>
      <c r="I19" s="16">
        <v>49.07</v>
      </c>
      <c r="J19" s="16">
        <v>446.82</v>
      </c>
      <c r="K19" s="16">
        <v>62.16</v>
      </c>
      <c r="L19" s="16">
        <v>198.45</v>
      </c>
      <c r="M19" s="14">
        <v>0</v>
      </c>
      <c r="N19" s="17">
        <f t="shared" si="0"/>
        <v>3350.26</v>
      </c>
      <c r="O19" s="18">
        <f t="shared" si="1"/>
        <v>0</v>
      </c>
      <c r="P19" s="14">
        <v>643.47</v>
      </c>
      <c r="Q19" s="19">
        <v>45855</v>
      </c>
      <c r="R19" s="21"/>
      <c r="S19" s="20">
        <f t="shared" si="2"/>
        <v>0.24000000000000909</v>
      </c>
    </row>
    <row r="20" spans="1:19" x14ac:dyDescent="0.25">
      <c r="A20" s="12">
        <f>'[1]Cash Variance'!A19</f>
        <v>45855</v>
      </c>
      <c r="B20" s="13">
        <v>3646.38</v>
      </c>
      <c r="C20" s="13">
        <v>21.65</v>
      </c>
      <c r="D20" s="16">
        <v>291.92</v>
      </c>
      <c r="E20" s="16">
        <v>32.96</v>
      </c>
      <c r="F20" s="15">
        <f t="shared" si="3"/>
        <v>3992.9100000000003</v>
      </c>
      <c r="G20" s="16">
        <v>778.68</v>
      </c>
      <c r="H20" s="16">
        <f>2321.47-12</f>
        <v>2309.4699999999998</v>
      </c>
      <c r="I20" s="16">
        <v>79.5</v>
      </c>
      <c r="J20" s="16">
        <v>593.99</v>
      </c>
      <c r="K20" s="16">
        <v>69.16</v>
      </c>
      <c r="L20" s="16">
        <v>162.11000000000001</v>
      </c>
      <c r="M20" s="14">
        <v>0</v>
      </c>
      <c r="N20" s="17">
        <f t="shared" si="0"/>
        <v>3992.9099999999994</v>
      </c>
      <c r="O20" s="18">
        <f t="shared" si="1"/>
        <v>0</v>
      </c>
      <c r="P20" s="14">
        <v>773.49</v>
      </c>
      <c r="Q20" s="19">
        <v>45856</v>
      </c>
      <c r="R20" s="21"/>
      <c r="S20" s="20">
        <f t="shared" si="2"/>
        <v>-5.1899999999999409</v>
      </c>
    </row>
    <row r="21" spans="1:19" x14ac:dyDescent="0.25">
      <c r="A21" s="12">
        <f>'[1]Cash Variance'!A20</f>
        <v>45856</v>
      </c>
      <c r="B21" s="13">
        <v>5087.47</v>
      </c>
      <c r="C21" s="13">
        <v>51.62</v>
      </c>
      <c r="D21" s="14">
        <v>407.35</v>
      </c>
      <c r="E21" s="14">
        <v>24.94</v>
      </c>
      <c r="F21" s="15">
        <f t="shared" si="3"/>
        <v>5571.38</v>
      </c>
      <c r="G21" s="14">
        <v>1184.56</v>
      </c>
      <c r="H21" s="14">
        <f>3182.65-13.8</f>
        <v>3168.85</v>
      </c>
      <c r="I21" s="14">
        <v>192.1</v>
      </c>
      <c r="J21" s="14">
        <v>751.61</v>
      </c>
      <c r="K21" s="14">
        <v>54.37</v>
      </c>
      <c r="L21" s="14">
        <v>204.89</v>
      </c>
      <c r="M21" s="14">
        <v>15</v>
      </c>
      <c r="N21" s="17">
        <f t="shared" si="0"/>
        <v>5571.38</v>
      </c>
      <c r="O21" s="18">
        <f t="shared" si="1"/>
        <v>0</v>
      </c>
      <c r="P21" s="14">
        <v>1161.5999999999999</v>
      </c>
      <c r="Q21" s="19">
        <v>45861</v>
      </c>
      <c r="R21" s="21"/>
      <c r="S21" s="20">
        <f t="shared" si="2"/>
        <v>-22.960000000000036</v>
      </c>
    </row>
    <row r="22" spans="1:19" x14ac:dyDescent="0.25">
      <c r="A22" s="12">
        <f>'[1]Cash Variance'!A21</f>
        <v>45857</v>
      </c>
      <c r="B22" s="13">
        <v>4571.0600000000004</v>
      </c>
      <c r="C22" s="13">
        <v>45.47</v>
      </c>
      <c r="D22" s="14">
        <v>366.01</v>
      </c>
      <c r="E22" s="14">
        <v>28.71</v>
      </c>
      <c r="F22" s="15">
        <f t="shared" si="3"/>
        <v>5011.2500000000009</v>
      </c>
      <c r="G22" s="14">
        <v>1083.31</v>
      </c>
      <c r="H22" s="14">
        <v>3106.48</v>
      </c>
      <c r="I22" s="14">
        <v>83.01</v>
      </c>
      <c r="J22" s="14">
        <v>479.74</v>
      </c>
      <c r="K22" s="14">
        <v>94.68</v>
      </c>
      <c r="L22" s="14">
        <v>143.87</v>
      </c>
      <c r="M22" s="14">
        <v>20.83</v>
      </c>
      <c r="N22" s="17">
        <f t="shared" si="0"/>
        <v>5011.92</v>
      </c>
      <c r="O22" s="18">
        <f t="shared" si="1"/>
        <v>-0.66999999999916326</v>
      </c>
      <c r="P22" s="14">
        <v>1098.98</v>
      </c>
      <c r="Q22" s="19">
        <v>45859</v>
      </c>
      <c r="R22" s="21"/>
      <c r="S22" s="20">
        <f t="shared" si="2"/>
        <v>15.670000000000073</v>
      </c>
    </row>
    <row r="23" spans="1:19" x14ac:dyDescent="0.25">
      <c r="A23" s="12">
        <f>'[1]Cash Variance'!A22</f>
        <v>45858</v>
      </c>
      <c r="B23" s="13">
        <v>3488.92</v>
      </c>
      <c r="C23" s="13">
        <v>37.96</v>
      </c>
      <c r="D23" s="14">
        <v>279.31</v>
      </c>
      <c r="E23" s="14">
        <v>28.95</v>
      </c>
      <c r="F23" s="15">
        <f t="shared" si="3"/>
        <v>3835.14</v>
      </c>
      <c r="G23" s="14">
        <v>676.63</v>
      </c>
      <c r="H23" s="14">
        <v>2345.85</v>
      </c>
      <c r="I23" s="14">
        <v>0</v>
      </c>
      <c r="J23" s="14">
        <v>634.35</v>
      </c>
      <c r="K23" s="14">
        <v>48.13</v>
      </c>
      <c r="L23" s="14">
        <v>114.59</v>
      </c>
      <c r="M23" s="14">
        <v>17.059999999999999</v>
      </c>
      <c r="N23" s="17">
        <f t="shared" si="0"/>
        <v>3836.61</v>
      </c>
      <c r="O23" s="18">
        <f t="shared" si="1"/>
        <v>-1.4700000000002547</v>
      </c>
      <c r="P23" s="14">
        <v>678.45</v>
      </c>
      <c r="Q23" s="19">
        <v>45861</v>
      </c>
      <c r="R23" s="21"/>
      <c r="S23" s="20">
        <f t="shared" si="2"/>
        <v>1.82000000000005</v>
      </c>
    </row>
    <row r="24" spans="1:19" x14ac:dyDescent="0.25">
      <c r="A24" s="12">
        <f>'[1]Cash Variance'!A23</f>
        <v>45859</v>
      </c>
      <c r="B24" s="13">
        <v>3010.75</v>
      </c>
      <c r="C24" s="13">
        <v>4.49</v>
      </c>
      <c r="D24" s="14">
        <v>241.09</v>
      </c>
      <c r="E24" s="16">
        <v>18.63</v>
      </c>
      <c r="F24" s="15">
        <f t="shared" si="3"/>
        <v>3274.96</v>
      </c>
      <c r="G24" s="14">
        <v>735.73</v>
      </c>
      <c r="H24" s="14">
        <v>1833.84</v>
      </c>
      <c r="I24" s="14">
        <v>27.5</v>
      </c>
      <c r="J24" s="14">
        <v>396.7</v>
      </c>
      <c r="K24" s="14">
        <v>13.55</v>
      </c>
      <c r="L24" s="14">
        <v>259.25</v>
      </c>
      <c r="M24" s="14">
        <v>8.09</v>
      </c>
      <c r="N24" s="17">
        <f t="shared" si="0"/>
        <v>3274.66</v>
      </c>
      <c r="O24" s="18">
        <f t="shared" si="1"/>
        <v>0.3000000000001819</v>
      </c>
      <c r="P24" s="14">
        <v>740.45</v>
      </c>
      <c r="Q24" s="19">
        <v>45861</v>
      </c>
      <c r="R24" s="25"/>
      <c r="S24" s="20">
        <f t="shared" si="2"/>
        <v>4.7200000000000273</v>
      </c>
    </row>
    <row r="25" spans="1:19" x14ac:dyDescent="0.25">
      <c r="A25" s="12">
        <f>'[1]Cash Variance'!A24</f>
        <v>45860</v>
      </c>
      <c r="B25" s="13">
        <v>3523.01</v>
      </c>
      <c r="C25" s="13">
        <v>37.49</v>
      </c>
      <c r="D25" s="14">
        <v>282.06</v>
      </c>
      <c r="E25" s="16">
        <v>24.11</v>
      </c>
      <c r="F25" s="15">
        <f t="shared" si="3"/>
        <v>3866.67</v>
      </c>
      <c r="G25" s="14">
        <v>659.11</v>
      </c>
      <c r="H25" s="14">
        <f>2357.94-4.1</f>
        <v>2353.84</v>
      </c>
      <c r="I25" s="14">
        <v>8.09</v>
      </c>
      <c r="J25" s="14">
        <v>604.71</v>
      </c>
      <c r="K25" s="14">
        <v>110.9</v>
      </c>
      <c r="L25" s="14">
        <v>130.02000000000001</v>
      </c>
      <c r="M25" s="14">
        <v>0</v>
      </c>
      <c r="N25" s="17">
        <f t="shared" si="0"/>
        <v>3866.6700000000005</v>
      </c>
      <c r="O25" s="18">
        <f t="shared" si="1"/>
        <v>0</v>
      </c>
      <c r="P25" s="14">
        <v>661.08</v>
      </c>
      <c r="Q25" s="19">
        <v>45861</v>
      </c>
      <c r="R25" s="21"/>
      <c r="S25" s="20">
        <f t="shared" si="2"/>
        <v>1.9700000000000273</v>
      </c>
    </row>
    <row r="26" spans="1:19" x14ac:dyDescent="0.25">
      <c r="A26" s="12">
        <f>'[1]Cash Variance'!A25</f>
        <v>45861</v>
      </c>
      <c r="B26" s="13">
        <v>3606.48</v>
      </c>
      <c r="C26" s="13">
        <v>36.799999999999997</v>
      </c>
      <c r="D26" s="14">
        <v>288.77999999999997</v>
      </c>
      <c r="E26" s="14">
        <v>20.74</v>
      </c>
      <c r="F26" s="15">
        <f t="shared" si="3"/>
        <v>3952.8</v>
      </c>
      <c r="G26" s="14">
        <v>659.62</v>
      </c>
      <c r="H26" s="14">
        <f>2503.78-2.22</f>
        <v>2501.5600000000004</v>
      </c>
      <c r="I26" s="14">
        <v>15.1</v>
      </c>
      <c r="J26" s="14">
        <v>603.25</v>
      </c>
      <c r="K26" s="14">
        <v>61.13</v>
      </c>
      <c r="L26" s="14">
        <v>112.14</v>
      </c>
      <c r="M26" s="14">
        <v>0</v>
      </c>
      <c r="N26" s="17">
        <f t="shared" si="0"/>
        <v>3952.8</v>
      </c>
      <c r="O26" s="18">
        <f t="shared" si="1"/>
        <v>0</v>
      </c>
      <c r="P26" s="14">
        <v>657.85</v>
      </c>
      <c r="Q26" s="19">
        <v>45869</v>
      </c>
      <c r="R26" s="21"/>
      <c r="S26" s="20">
        <f t="shared" si="2"/>
        <v>-1.7699999999999818</v>
      </c>
    </row>
    <row r="27" spans="1:19" x14ac:dyDescent="0.25">
      <c r="A27" s="12">
        <f>'[1]Cash Variance'!A26</f>
        <v>45862</v>
      </c>
      <c r="B27" s="13">
        <v>4586.04</v>
      </c>
      <c r="C27" s="13">
        <v>48.62</v>
      </c>
      <c r="D27" s="14">
        <v>367.15</v>
      </c>
      <c r="E27" s="14">
        <v>21.15</v>
      </c>
      <c r="F27" s="15">
        <f t="shared" si="3"/>
        <v>5022.9599999999991</v>
      </c>
      <c r="G27" s="14">
        <v>843.69</v>
      </c>
      <c r="H27" s="14">
        <f>2799.11-6.56</f>
        <v>2792.55</v>
      </c>
      <c r="I27" s="14">
        <v>44.22</v>
      </c>
      <c r="J27" s="14">
        <v>1060.95</v>
      </c>
      <c r="K27" s="14">
        <v>57.16</v>
      </c>
      <c r="L27" s="14">
        <v>223.56</v>
      </c>
      <c r="M27" s="14">
        <v>0.83</v>
      </c>
      <c r="N27" s="17">
        <f t="shared" ref="N27:N34" si="4">SUM(G27:M27)</f>
        <v>5022.96</v>
      </c>
      <c r="O27" s="18">
        <f t="shared" si="1"/>
        <v>0</v>
      </c>
      <c r="P27" s="14">
        <v>844.53</v>
      </c>
      <c r="Q27" s="19">
        <v>45869</v>
      </c>
      <c r="R27" s="21"/>
      <c r="S27" s="20">
        <f t="shared" si="2"/>
        <v>0.83999999999991815</v>
      </c>
    </row>
    <row r="28" spans="1:19" x14ac:dyDescent="0.25">
      <c r="A28" s="12">
        <f>'[1]Cash Variance'!A27</f>
        <v>45863</v>
      </c>
      <c r="B28" s="13">
        <v>4772.8500000000004</v>
      </c>
      <c r="C28" s="13">
        <v>67</v>
      </c>
      <c r="D28" s="14">
        <v>382.07</v>
      </c>
      <c r="E28" s="14">
        <v>51.96</v>
      </c>
      <c r="F28" s="15">
        <f t="shared" si="3"/>
        <v>5273.88</v>
      </c>
      <c r="G28" s="14">
        <v>776.64</v>
      </c>
      <c r="H28" s="14">
        <f>2955.31-7.72</f>
        <v>2947.59</v>
      </c>
      <c r="I28" s="14">
        <v>45.31</v>
      </c>
      <c r="J28" s="14">
        <v>1167.6400000000001</v>
      </c>
      <c r="K28" s="14">
        <v>68.33</v>
      </c>
      <c r="L28" s="14">
        <v>249.28</v>
      </c>
      <c r="M28" s="14">
        <v>18.09</v>
      </c>
      <c r="N28" s="17">
        <f t="shared" si="4"/>
        <v>5272.88</v>
      </c>
      <c r="O28" s="18">
        <f t="shared" si="1"/>
        <v>1</v>
      </c>
      <c r="P28" s="14">
        <v>776.26</v>
      </c>
      <c r="Q28" s="19">
        <v>45869</v>
      </c>
      <c r="R28" s="21"/>
      <c r="S28" s="20">
        <f t="shared" si="2"/>
        <v>-0.37999999999999545</v>
      </c>
    </row>
    <row r="29" spans="1:19" x14ac:dyDescent="0.25">
      <c r="A29" s="12">
        <f>'[1]Cash Variance'!A28</f>
        <v>45864</v>
      </c>
      <c r="B29" s="13">
        <v>3647.35</v>
      </c>
      <c r="C29" s="13">
        <v>51.22</v>
      </c>
      <c r="D29" s="14">
        <v>292.01</v>
      </c>
      <c r="E29" s="14">
        <v>23.06</v>
      </c>
      <c r="F29" s="15">
        <f t="shared" si="3"/>
        <v>4013.64</v>
      </c>
      <c r="G29" s="14">
        <v>744.37</v>
      </c>
      <c r="H29" s="14">
        <f>2198.52-4.74</f>
        <v>2193.7800000000002</v>
      </c>
      <c r="I29" s="14">
        <v>55.33</v>
      </c>
      <c r="J29" s="14">
        <v>747.13</v>
      </c>
      <c r="K29" s="14">
        <v>114.36</v>
      </c>
      <c r="L29" s="14">
        <v>158.66999999999999</v>
      </c>
      <c r="M29" s="14">
        <v>0</v>
      </c>
      <c r="N29" s="17">
        <f t="shared" si="4"/>
        <v>4013.6400000000003</v>
      </c>
      <c r="O29" s="18">
        <f t="shared" si="1"/>
        <v>0</v>
      </c>
      <c r="P29" s="14">
        <v>753.49</v>
      </c>
      <c r="Q29" s="19">
        <v>45869</v>
      </c>
      <c r="R29" s="21"/>
      <c r="S29" s="20">
        <f t="shared" si="2"/>
        <v>9.1200000000000045</v>
      </c>
    </row>
    <row r="30" spans="1:19" x14ac:dyDescent="0.25">
      <c r="A30" s="12">
        <f>'[1]Cash Variance'!A29</f>
        <v>45865</v>
      </c>
      <c r="B30" s="13">
        <v>3940.69</v>
      </c>
      <c r="C30" s="13">
        <v>27.87</v>
      </c>
      <c r="D30" s="14">
        <v>315.52999999999997</v>
      </c>
      <c r="E30" s="14">
        <v>30.8</v>
      </c>
      <c r="F30" s="15">
        <f t="shared" si="3"/>
        <v>4314.8900000000003</v>
      </c>
      <c r="G30" s="14">
        <v>823.88</v>
      </c>
      <c r="H30" s="14">
        <f>2532.62-4.24</f>
        <v>2528.38</v>
      </c>
      <c r="I30" s="14">
        <v>64.72</v>
      </c>
      <c r="J30" s="14">
        <v>636.85</v>
      </c>
      <c r="K30" s="14">
        <v>50.92</v>
      </c>
      <c r="L30" s="14">
        <v>210.14</v>
      </c>
      <c r="M30" s="14">
        <v>0</v>
      </c>
      <c r="N30" s="17">
        <f t="shared" si="4"/>
        <v>4314.8900000000003</v>
      </c>
      <c r="O30" s="18">
        <f t="shared" si="1"/>
        <v>0</v>
      </c>
      <c r="P30" s="14">
        <v>817.96</v>
      </c>
      <c r="Q30" s="19">
        <v>45869</v>
      </c>
      <c r="R30" s="21"/>
      <c r="S30" s="20">
        <f t="shared" si="2"/>
        <v>-5.9199999999999591</v>
      </c>
    </row>
    <row r="31" spans="1:19" x14ac:dyDescent="0.25">
      <c r="A31" s="12">
        <f>'[1]Cash Variance'!A30</f>
        <v>45866</v>
      </c>
      <c r="B31" s="13">
        <v>3889.51</v>
      </c>
      <c r="C31" s="13">
        <v>10.85</v>
      </c>
      <c r="D31" s="14">
        <v>311.42</v>
      </c>
      <c r="E31" s="14">
        <v>21.84</v>
      </c>
      <c r="F31" s="15">
        <f t="shared" si="3"/>
        <v>4233.62</v>
      </c>
      <c r="G31" s="14">
        <v>899.06</v>
      </c>
      <c r="H31" s="14">
        <v>2224.86</v>
      </c>
      <c r="I31" s="14">
        <v>31.82</v>
      </c>
      <c r="J31" s="14">
        <v>644.97</v>
      </c>
      <c r="K31" s="14">
        <v>95.88</v>
      </c>
      <c r="L31" s="14">
        <v>337.22</v>
      </c>
      <c r="M31" s="14">
        <v>0</v>
      </c>
      <c r="N31" s="17">
        <f t="shared" si="4"/>
        <v>4233.8100000000004</v>
      </c>
      <c r="O31" s="18">
        <f t="shared" si="1"/>
        <v>-0.19000000000050932</v>
      </c>
      <c r="P31" s="14">
        <v>903.77</v>
      </c>
      <c r="Q31" s="19">
        <v>45869</v>
      </c>
      <c r="R31" s="21"/>
      <c r="S31" s="20">
        <f t="shared" si="2"/>
        <v>4.7100000000000364</v>
      </c>
    </row>
    <row r="32" spans="1:19" x14ac:dyDescent="0.25">
      <c r="A32" s="12">
        <f>'[1]Cash Variance'!A31</f>
        <v>45867</v>
      </c>
      <c r="B32" s="13">
        <v>3621.46</v>
      </c>
      <c r="C32" s="13">
        <v>18.95</v>
      </c>
      <c r="D32" s="14">
        <v>289.95999999999998</v>
      </c>
      <c r="E32" s="14">
        <v>20.72</v>
      </c>
      <c r="F32" s="15">
        <f t="shared" si="3"/>
        <v>3951.0899999999997</v>
      </c>
      <c r="G32" s="14">
        <v>770.26</v>
      </c>
      <c r="H32" s="14">
        <v>2241.09</v>
      </c>
      <c r="I32" s="14">
        <v>35.590000000000003</v>
      </c>
      <c r="J32" s="14">
        <v>676.92</v>
      </c>
      <c r="K32" s="14">
        <v>39.97</v>
      </c>
      <c r="L32" s="14">
        <v>187.65</v>
      </c>
      <c r="M32" s="14">
        <v>0</v>
      </c>
      <c r="N32" s="17">
        <f t="shared" si="4"/>
        <v>3951.4800000000005</v>
      </c>
      <c r="O32" s="18">
        <f t="shared" si="1"/>
        <v>-0.39000000000078217</v>
      </c>
      <c r="P32" s="14">
        <v>809.91</v>
      </c>
      <c r="Q32" s="19">
        <v>45869</v>
      </c>
      <c r="R32" s="21"/>
      <c r="S32" s="20">
        <f t="shared" si="2"/>
        <v>39.649999999999977</v>
      </c>
    </row>
    <row r="33" spans="1:19" x14ac:dyDescent="0.25">
      <c r="A33" s="12">
        <f>'[1]Cash Variance'!A32</f>
        <v>45868</v>
      </c>
      <c r="B33" s="13">
        <v>4590.47</v>
      </c>
      <c r="C33" s="13">
        <v>64.430000000000007</v>
      </c>
      <c r="D33" s="14">
        <v>367.52</v>
      </c>
      <c r="E33" s="14">
        <v>46.67</v>
      </c>
      <c r="F33" s="15">
        <f t="shared" si="3"/>
        <v>5069.09</v>
      </c>
      <c r="G33" s="14">
        <v>805.59</v>
      </c>
      <c r="H33" s="14">
        <f>3089.53-6.28</f>
        <v>3083.25</v>
      </c>
      <c r="I33" s="14">
        <v>53.08</v>
      </c>
      <c r="J33" s="14">
        <v>922.78</v>
      </c>
      <c r="K33" s="14">
        <v>48.79</v>
      </c>
      <c r="L33" s="14">
        <v>155.6</v>
      </c>
      <c r="M33" s="14">
        <v>0</v>
      </c>
      <c r="N33" s="17">
        <f t="shared" si="4"/>
        <v>5069.09</v>
      </c>
      <c r="O33" s="18">
        <f t="shared" si="1"/>
        <v>0</v>
      </c>
      <c r="P33" s="14">
        <v>761.12</v>
      </c>
      <c r="Q33" s="19">
        <v>45869</v>
      </c>
      <c r="R33" s="21"/>
      <c r="S33" s="20">
        <f t="shared" si="2"/>
        <v>-44.470000000000027</v>
      </c>
    </row>
    <row r="34" spans="1:19" ht="15.75" thickBot="1" x14ac:dyDescent="0.3">
      <c r="A34" s="12">
        <f>'[1]Cash Variance'!A33</f>
        <v>45869</v>
      </c>
      <c r="B34" s="13">
        <v>4599.93</v>
      </c>
      <c r="C34" s="13">
        <v>88.89</v>
      </c>
      <c r="D34" s="14">
        <v>368.23</v>
      </c>
      <c r="E34" s="14">
        <v>21.48</v>
      </c>
      <c r="F34" s="15">
        <f t="shared" si="3"/>
        <v>5078.5300000000007</v>
      </c>
      <c r="G34" s="14">
        <v>706.38</v>
      </c>
      <c r="H34" s="14">
        <f>2766.02-14.62</f>
        <v>2751.4</v>
      </c>
      <c r="I34" s="14">
        <v>58.44</v>
      </c>
      <c r="J34" s="14">
        <v>1337.32</v>
      </c>
      <c r="K34" s="14">
        <v>32.229999999999997</v>
      </c>
      <c r="L34" s="14">
        <v>192.76</v>
      </c>
      <c r="M34" s="14">
        <v>0</v>
      </c>
      <c r="N34" s="17">
        <f t="shared" si="4"/>
        <v>5078.53</v>
      </c>
      <c r="O34" s="18">
        <f t="shared" si="1"/>
        <v>0</v>
      </c>
      <c r="P34" s="14"/>
      <c r="Q34" s="19"/>
      <c r="R34" s="21"/>
      <c r="S34" s="20">
        <f t="shared" si="2"/>
        <v>-706.38</v>
      </c>
    </row>
    <row r="35" spans="1:19" ht="15.75" thickBot="1" x14ac:dyDescent="0.3">
      <c r="A35" s="26" t="s">
        <v>21</v>
      </c>
      <c r="B35" s="27">
        <f t="shared" ref="B35:M35" si="5">SUM(B4:B34)</f>
        <v>115216.23000000001</v>
      </c>
      <c r="C35" s="27">
        <f t="shared" si="5"/>
        <v>1068.6400000000003</v>
      </c>
      <c r="D35" s="27">
        <f t="shared" si="5"/>
        <v>9224.75</v>
      </c>
      <c r="E35" s="27">
        <f>SUM(E4:E34)</f>
        <v>756.61999999999989</v>
      </c>
      <c r="F35" s="28">
        <f>SUM(F4:F34)</f>
        <v>126266.23999999999</v>
      </c>
      <c r="G35" s="27">
        <f t="shared" si="5"/>
        <v>23841.359999999997</v>
      </c>
      <c r="H35" s="27">
        <f>SUM(H4:H34)</f>
        <v>74979.409999999974</v>
      </c>
      <c r="I35" s="27">
        <f>SUM(I4:I34)</f>
        <v>1441.7299999999998</v>
      </c>
      <c r="J35" s="27">
        <f t="shared" si="5"/>
        <v>18411.379999999997</v>
      </c>
      <c r="K35" s="27">
        <f t="shared" si="5"/>
        <v>2148.16</v>
      </c>
      <c r="L35" s="27">
        <f t="shared" si="5"/>
        <v>5264.56</v>
      </c>
      <c r="M35" s="27">
        <f t="shared" si="5"/>
        <v>181.06000000000003</v>
      </c>
      <c r="N35" s="28">
        <f>SUM(N4:N34)</f>
        <v>126267.66</v>
      </c>
      <c r="O35" s="28">
        <f t="shared" ref="O35:R35" si="6">SUM(O4:O34)</f>
        <v>-1.4200000000005275</v>
      </c>
      <c r="P35" s="27">
        <f>SUM(P4:P34)</f>
        <v>23242.759999999995</v>
      </c>
      <c r="Q35" s="27"/>
      <c r="R35" s="27">
        <f t="shared" si="6"/>
        <v>0</v>
      </c>
      <c r="S35" s="28">
        <f>SUM(S4:S34)</f>
        <v>-598.59999999999991</v>
      </c>
    </row>
    <row r="36" spans="1:19" x14ac:dyDescent="0.25">
      <c r="A36" s="29" t="s">
        <v>1</v>
      </c>
      <c r="B36" s="30">
        <f>+B35</f>
        <v>115216.23000000001</v>
      </c>
      <c r="C36" s="30">
        <f>+C35</f>
        <v>1068.6400000000003</v>
      </c>
      <c r="D36" s="30">
        <f>+D35</f>
        <v>9224.75</v>
      </c>
      <c r="E36" s="30">
        <f>+E35</f>
        <v>756.61999999999989</v>
      </c>
      <c r="F36" s="29"/>
      <c r="G36" s="30">
        <f>+G35</f>
        <v>23841.359999999997</v>
      </c>
      <c r="H36" s="29"/>
      <c r="I36" s="29"/>
      <c r="J36" s="30">
        <f>+J35</f>
        <v>18411.379999999997</v>
      </c>
      <c r="K36" s="30">
        <f>+K35</f>
        <v>2148.16</v>
      </c>
      <c r="L36" s="30">
        <f>+L35</f>
        <v>5264.56</v>
      </c>
      <c r="M36" s="30">
        <f>+M35</f>
        <v>181.06000000000003</v>
      </c>
      <c r="N36" s="29"/>
      <c r="O36" s="29"/>
      <c r="P36" s="29"/>
      <c r="Q36" s="31"/>
      <c r="R36" s="29"/>
      <c r="S36" s="29"/>
    </row>
    <row r="37" spans="1:19" x14ac:dyDescent="0.25">
      <c r="A37" s="32" t="s">
        <v>22</v>
      </c>
      <c r="B37" s="33">
        <f>+B35</f>
        <v>115216.23000000001</v>
      </c>
      <c r="C37" s="33">
        <f>+C35</f>
        <v>1068.6400000000003</v>
      </c>
      <c r="D37" s="33">
        <f>+D35</f>
        <v>9224.75</v>
      </c>
      <c r="E37" s="33">
        <f>+E35</f>
        <v>756.61999999999989</v>
      </c>
      <c r="F37" s="32"/>
      <c r="G37" s="33">
        <f>+G35</f>
        <v>23841.359999999997</v>
      </c>
      <c r="H37" s="32"/>
      <c r="I37" s="32"/>
      <c r="J37" s="33">
        <f>+J35</f>
        <v>18411.379999999997</v>
      </c>
      <c r="K37" s="33">
        <f>+K35</f>
        <v>2148.16</v>
      </c>
      <c r="L37" s="33">
        <f>+L35</f>
        <v>5264.56</v>
      </c>
      <c r="M37" s="33">
        <f>+M35</f>
        <v>181.06000000000003</v>
      </c>
      <c r="N37" s="32"/>
      <c r="O37" s="32"/>
      <c r="P37" s="32"/>
      <c r="Q37" s="32"/>
      <c r="R37" s="32"/>
      <c r="S37" s="32"/>
    </row>
    <row r="38" spans="1:19" x14ac:dyDescent="0.25">
      <c r="A38" s="32"/>
      <c r="B38" s="32"/>
      <c r="C38" s="32"/>
      <c r="D38" s="32"/>
      <c r="E38" s="32"/>
      <c r="F38" s="32"/>
      <c r="G38" s="32"/>
      <c r="H38" s="34" t="s">
        <v>23</v>
      </c>
      <c r="I38" s="34"/>
      <c r="J38" s="35">
        <v>22379.09</v>
      </c>
      <c r="K38" s="36">
        <f>2260.4</f>
        <v>2260.4</v>
      </c>
      <c r="L38" s="36">
        <v>0</v>
      </c>
      <c r="M38" s="32"/>
      <c r="N38" s="32"/>
      <c r="O38" s="32"/>
      <c r="P38" s="32"/>
      <c r="Q38" s="32"/>
      <c r="R38" s="32"/>
      <c r="S38" s="32"/>
    </row>
    <row r="39" spans="1:19" x14ac:dyDescent="0.25">
      <c r="A39" s="32"/>
      <c r="B39" s="32"/>
      <c r="C39" s="32"/>
      <c r="D39" s="32"/>
      <c r="E39" s="32"/>
      <c r="F39" s="32"/>
      <c r="G39" s="32"/>
      <c r="H39" s="34" t="s">
        <v>24</v>
      </c>
      <c r="I39" s="34"/>
      <c r="J39" s="37">
        <f>+J38-J35</f>
        <v>3967.7100000000028</v>
      </c>
      <c r="K39" s="38">
        <f>+K38-K35</f>
        <v>112.24000000000024</v>
      </c>
      <c r="L39" s="38">
        <f>+L38-L35</f>
        <v>-5264.56</v>
      </c>
      <c r="M39" s="32"/>
      <c r="N39" s="32"/>
      <c r="O39" s="32"/>
      <c r="P39" s="32"/>
      <c r="Q39" s="32"/>
      <c r="R39" s="32"/>
      <c r="S39" s="32"/>
    </row>
    <row r="40" spans="1:19" x14ac:dyDescent="0.25">
      <c r="A40" s="32"/>
      <c r="B40" s="32"/>
      <c r="C40" s="32"/>
      <c r="D40" s="32"/>
      <c r="E40" s="32"/>
      <c r="F40" s="32"/>
      <c r="G40" s="32"/>
      <c r="H40" s="34" t="s">
        <v>25</v>
      </c>
      <c r="I40" s="34"/>
      <c r="J40" s="35">
        <v>-3552.31</v>
      </c>
      <c r="K40" s="36">
        <v>-210.62</v>
      </c>
      <c r="L40" s="36">
        <v>0</v>
      </c>
      <c r="M40" s="32"/>
      <c r="N40" s="32"/>
      <c r="O40" s="32"/>
      <c r="P40" s="32"/>
      <c r="Q40" s="32"/>
      <c r="R40" s="32"/>
      <c r="S40" s="32"/>
    </row>
    <row r="41" spans="1:19" x14ac:dyDescent="0.25">
      <c r="A41" s="32"/>
      <c r="B41" s="32"/>
      <c r="C41" s="32"/>
      <c r="D41" s="32"/>
      <c r="E41" s="32"/>
      <c r="F41" s="32"/>
      <c r="G41" s="32"/>
      <c r="H41" s="34" t="s">
        <v>26</v>
      </c>
      <c r="I41" s="34"/>
      <c r="J41" s="35">
        <v>-4297.1400000000003</v>
      </c>
      <c r="K41" s="36">
        <f>-189.32-111.28</f>
        <v>-300.60000000000002</v>
      </c>
      <c r="L41" s="36">
        <v>0</v>
      </c>
      <c r="M41" s="32"/>
      <c r="N41" s="32"/>
      <c r="O41" s="32"/>
      <c r="P41" s="32"/>
      <c r="Q41" s="32"/>
      <c r="R41" s="32"/>
      <c r="S41" s="32"/>
    </row>
    <row r="42" spans="1:19" x14ac:dyDescent="0.25">
      <c r="A42" s="32"/>
      <c r="B42" s="32"/>
      <c r="C42" s="32"/>
      <c r="D42" s="32"/>
      <c r="E42" s="32"/>
      <c r="F42" s="32"/>
      <c r="G42" s="32"/>
      <c r="H42" s="34" t="s">
        <v>27</v>
      </c>
      <c r="I42" s="34"/>
      <c r="J42" s="35">
        <v>-122.88</v>
      </c>
      <c r="K42" s="36">
        <v>-42.15</v>
      </c>
      <c r="L42" s="36">
        <v>0</v>
      </c>
      <c r="M42" s="32"/>
      <c r="N42" s="32"/>
      <c r="O42" s="32"/>
      <c r="P42" s="32"/>
      <c r="Q42" s="32"/>
      <c r="R42" s="32"/>
      <c r="S42" s="32"/>
    </row>
    <row r="43" spans="1:19" ht="15.75" thickBot="1" x14ac:dyDescent="0.3">
      <c r="A43" s="32"/>
      <c r="B43" s="32"/>
      <c r="C43" s="32"/>
      <c r="D43" s="32"/>
      <c r="E43" s="32"/>
      <c r="F43" s="32"/>
      <c r="G43" s="32"/>
      <c r="H43" s="39" t="s">
        <v>28</v>
      </c>
      <c r="I43" s="39"/>
      <c r="J43" s="40">
        <f>+J38+J40+J41+J42</f>
        <v>14406.76</v>
      </c>
      <c r="K43" s="41">
        <f>+K38+K40+K41+K42</f>
        <v>1707.0300000000002</v>
      </c>
      <c r="L43" s="41">
        <f>+L38+L40+L41+L42</f>
        <v>0</v>
      </c>
      <c r="M43" s="32"/>
      <c r="N43" s="32"/>
      <c r="O43" s="32"/>
      <c r="P43" s="32"/>
      <c r="Q43" s="32"/>
      <c r="R43" s="32"/>
      <c r="S43" s="32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2025-08-21T05:46:01Z</dcterms:created>
  <dcterms:modified xsi:type="dcterms:W3CDTF">2025-08-21T05:47:08Z</dcterms:modified>
</cp:coreProperties>
</file>